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2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TH!$A$9:$M$1151</definedName>
    <definedName name="_xlnm._FilterDatabase" localSheetId="3" hidden="1">'TH - TT'!$A$4:$M$168</definedName>
    <definedName name="Dong">IF([0]!Loai="x",ROW([0]!Loai)-1,"")</definedName>
    <definedName name="DSKH">'331'!$B$4:$B$34</definedName>
    <definedName name="DSTK">CDPS!$A$10:$D$40</definedName>
    <definedName name="DSTT" localSheetId="6">'HOANG KIM'!$K$5:$K$18</definedName>
    <definedName name="DSTT">'TH - TT'!$K$7:$K$231</definedName>
    <definedName name="DSTT1" localSheetId="6">'HOANG KIM'!$I$5:$I$18</definedName>
    <definedName name="DSTT1">'TH - TT'!$I$7:$I$232</definedName>
    <definedName name="KH">TH!$H$11:$H$1277</definedName>
    <definedName name="KHC">TH!$K$11:$K$1277</definedName>
    <definedName name="KHN">TH!$J$11:$J$1277</definedName>
    <definedName name="Loai">OFFSET(TH!$L$5,,,COUNTA(TH!$L$5:$L$39587))</definedName>
    <definedName name="_xlnm.Print_Area" localSheetId="3">'TH - TT'!$192:$203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TH!$I$11:$I$1277</definedName>
    <definedName name="THN">TH!$A$11:$A$1328</definedName>
    <definedName name="TM">TH!$A$11:$K$1277</definedName>
  </definedNames>
  <calcPr calcId="124519"/>
</workbook>
</file>

<file path=xl/calcChain.xml><?xml version="1.0" encoding="utf-8"?>
<calcChain xmlns="http://schemas.openxmlformats.org/spreadsheetml/2006/main">
  <c r="E19" i="40"/>
  <c r="A37" i="12"/>
  <c r="A38"/>
  <c r="A39"/>
  <c r="E1115" i="34"/>
  <c r="E1114"/>
  <c r="E1113"/>
  <c r="E1112"/>
  <c r="E1111"/>
  <c r="E1110"/>
  <c r="E1109"/>
  <c r="E29" i="40"/>
  <c r="H171" i="35"/>
  <c r="F171"/>
  <c r="J23" i="40" l="1"/>
  <c r="H141" i="35"/>
  <c r="H140"/>
  <c r="G138"/>
  <c r="K141"/>
  <c r="E1106" i="34"/>
  <c r="E1107"/>
  <c r="E1108"/>
  <c r="E1099"/>
  <c r="E1100"/>
  <c r="E1101"/>
  <c r="E1102"/>
  <c r="E1103"/>
  <c r="E1104"/>
  <c r="E1105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71"/>
  <c r="I141" i="35" l="1"/>
  <c r="G220"/>
  <c r="G221"/>
  <c r="G174"/>
  <c r="G175"/>
  <c r="G173"/>
  <c r="A14" i="40"/>
  <c r="I221" i="42"/>
  <c r="F221"/>
  <c r="M220"/>
  <c r="K220"/>
  <c r="M219"/>
  <c r="K219"/>
  <c r="M218"/>
  <c r="L218"/>
  <c r="K218"/>
  <c r="J218"/>
  <c r="M217"/>
  <c r="L217"/>
  <c r="K217"/>
  <c r="J217"/>
  <c r="M216"/>
  <c r="L216"/>
  <c r="K216"/>
  <c r="J216"/>
  <c r="M215"/>
  <c r="M221" s="1"/>
  <c r="L215"/>
  <c r="K215"/>
  <c r="K221" s="1"/>
  <c r="J215"/>
  <c r="L213"/>
  <c r="J213"/>
  <c r="F213"/>
  <c r="M213" s="1"/>
  <c r="L212"/>
  <c r="J212"/>
  <c r="I212"/>
  <c r="M212" s="1"/>
  <c r="F212"/>
  <c r="K212" s="1"/>
  <c r="L211"/>
  <c r="J211"/>
  <c r="I211"/>
  <c r="M211" s="1"/>
  <c r="F211"/>
  <c r="K211" s="1"/>
  <c r="L210"/>
  <c r="J210"/>
  <c r="I210"/>
  <c r="M210" s="1"/>
  <c r="F210"/>
  <c r="K210" s="1"/>
  <c r="L209"/>
  <c r="J209"/>
  <c r="I209"/>
  <c r="M209" s="1"/>
  <c r="F209"/>
  <c r="K209" s="1"/>
  <c r="L208"/>
  <c r="J208"/>
  <c r="I208"/>
  <c r="M208" s="1"/>
  <c r="F208"/>
  <c r="K208" s="1"/>
  <c r="L207"/>
  <c r="J207"/>
  <c r="I207"/>
  <c r="M207" s="1"/>
  <c r="F207"/>
  <c r="K207" s="1"/>
  <c r="L206"/>
  <c r="J206"/>
  <c r="I206"/>
  <c r="M206" s="1"/>
  <c r="F206"/>
  <c r="K206" s="1"/>
  <c r="L205"/>
  <c r="J205"/>
  <c r="I205"/>
  <c r="M205" s="1"/>
  <c r="F205"/>
  <c r="K205" s="1"/>
  <c r="L204"/>
  <c r="J204"/>
  <c r="I204"/>
  <c r="M204" s="1"/>
  <c r="F204"/>
  <c r="K204" s="1"/>
  <c r="L203"/>
  <c r="J203"/>
  <c r="I203"/>
  <c r="M203" s="1"/>
  <c r="F203"/>
  <c r="K203" s="1"/>
  <c r="L202"/>
  <c r="J202"/>
  <c r="I202"/>
  <c r="M202" s="1"/>
  <c r="M214" s="1"/>
  <c r="F202"/>
  <c r="F214" s="1"/>
  <c r="L199"/>
  <c r="J199"/>
  <c r="I199"/>
  <c r="M199" s="1"/>
  <c r="F199"/>
  <c r="K199" s="1"/>
  <c r="L198"/>
  <c r="J198"/>
  <c r="I198"/>
  <c r="M198" s="1"/>
  <c r="F198"/>
  <c r="K198" s="1"/>
  <c r="L197"/>
  <c r="J197"/>
  <c r="I197"/>
  <c r="M197" s="1"/>
  <c r="F197"/>
  <c r="K197" s="1"/>
  <c r="L196"/>
  <c r="J196"/>
  <c r="I196"/>
  <c r="M196" s="1"/>
  <c r="F196"/>
  <c r="K196" s="1"/>
  <c r="L195"/>
  <c r="J195"/>
  <c r="I195"/>
  <c r="M195" s="1"/>
  <c r="F195"/>
  <c r="K195" s="1"/>
  <c r="L194"/>
  <c r="J194"/>
  <c r="I194"/>
  <c r="M194" s="1"/>
  <c r="F194"/>
  <c r="K194" s="1"/>
  <c r="L193"/>
  <c r="J193"/>
  <c r="I193"/>
  <c r="M193" s="1"/>
  <c r="F193"/>
  <c r="K193" s="1"/>
  <c r="L192"/>
  <c r="J192"/>
  <c r="I192"/>
  <c r="M192" s="1"/>
  <c r="F192"/>
  <c r="K192" s="1"/>
  <c r="L191"/>
  <c r="J191"/>
  <c r="I191"/>
  <c r="M191" s="1"/>
  <c r="F191"/>
  <c r="K191" s="1"/>
  <c r="L190"/>
  <c r="J190"/>
  <c r="I190"/>
  <c r="M190" s="1"/>
  <c r="F190"/>
  <c r="K190" s="1"/>
  <c r="L189"/>
  <c r="J189"/>
  <c r="I189"/>
  <c r="M189" s="1"/>
  <c r="F189"/>
  <c r="K189" s="1"/>
  <c r="L188"/>
  <c r="J188"/>
  <c r="I188"/>
  <c r="M188" s="1"/>
  <c r="F188"/>
  <c r="K188" s="1"/>
  <c r="L187"/>
  <c r="J187"/>
  <c r="I187"/>
  <c r="M187" s="1"/>
  <c r="F187"/>
  <c r="K187" s="1"/>
  <c r="L186"/>
  <c r="J186"/>
  <c r="I186"/>
  <c r="M186" s="1"/>
  <c r="F186"/>
  <c r="K186" s="1"/>
  <c r="L185"/>
  <c r="J185"/>
  <c r="I185"/>
  <c r="M185" s="1"/>
  <c r="F185"/>
  <c r="K185" s="1"/>
  <c r="L184"/>
  <c r="J184"/>
  <c r="I184"/>
  <c r="M184" s="1"/>
  <c r="F184"/>
  <c r="K184" s="1"/>
  <c r="L183"/>
  <c r="J183"/>
  <c r="I183"/>
  <c r="M183" s="1"/>
  <c r="F183"/>
  <c r="K183" s="1"/>
  <c r="L182"/>
  <c r="J182"/>
  <c r="I182"/>
  <c r="I200" s="1"/>
  <c r="F182"/>
  <c r="K182" s="1"/>
  <c r="K200" s="1"/>
  <c r="L179"/>
  <c r="J179"/>
  <c r="I179"/>
  <c r="M179" s="1"/>
  <c r="F179"/>
  <c r="K179" s="1"/>
  <c r="L178"/>
  <c r="J178"/>
  <c r="I178"/>
  <c r="M178" s="1"/>
  <c r="F178"/>
  <c r="K178" s="1"/>
  <c r="L177"/>
  <c r="J177"/>
  <c r="I177"/>
  <c r="M177" s="1"/>
  <c r="F177"/>
  <c r="K177" s="1"/>
  <c r="L176"/>
  <c r="J176"/>
  <c r="I176"/>
  <c r="M176" s="1"/>
  <c r="F176"/>
  <c r="K176" s="1"/>
  <c r="L175"/>
  <c r="J175"/>
  <c r="I175"/>
  <c r="M175" s="1"/>
  <c r="F175"/>
  <c r="K175" s="1"/>
  <c r="L174"/>
  <c r="J174"/>
  <c r="I174"/>
  <c r="M174" s="1"/>
  <c r="F174"/>
  <c r="K174" s="1"/>
  <c r="L173"/>
  <c r="J173"/>
  <c r="I173"/>
  <c r="M173" s="1"/>
  <c r="F173"/>
  <c r="K173" s="1"/>
  <c r="L172"/>
  <c r="J172"/>
  <c r="I172"/>
  <c r="M172" s="1"/>
  <c r="F172"/>
  <c r="K172" s="1"/>
  <c r="L171"/>
  <c r="J171"/>
  <c r="I171"/>
  <c r="M171" s="1"/>
  <c r="F171"/>
  <c r="K171" s="1"/>
  <c r="L170"/>
  <c r="J170"/>
  <c r="I170"/>
  <c r="M170" s="1"/>
  <c r="F170"/>
  <c r="K170" s="1"/>
  <c r="L169"/>
  <c r="J169"/>
  <c r="I169"/>
  <c r="M169" s="1"/>
  <c r="F169"/>
  <c r="K169" s="1"/>
  <c r="L168"/>
  <c r="J168"/>
  <c r="I168"/>
  <c r="M168" s="1"/>
  <c r="F168"/>
  <c r="K168" s="1"/>
  <c r="L167"/>
  <c r="J167"/>
  <c r="I167"/>
  <c r="M167" s="1"/>
  <c r="F167"/>
  <c r="K167" s="1"/>
  <c r="L166"/>
  <c r="J166"/>
  <c r="I166"/>
  <c r="M166" s="1"/>
  <c r="F166"/>
  <c r="K166" s="1"/>
  <c r="L165"/>
  <c r="J165"/>
  <c r="I165"/>
  <c r="M165" s="1"/>
  <c r="F165"/>
  <c r="K165" s="1"/>
  <c r="L164"/>
  <c r="J164"/>
  <c r="I164"/>
  <c r="M164" s="1"/>
  <c r="F164"/>
  <c r="K164" s="1"/>
  <c r="L163"/>
  <c r="J163"/>
  <c r="I163"/>
  <c r="M163" s="1"/>
  <c r="F163"/>
  <c r="K163" s="1"/>
  <c r="L162"/>
  <c r="J162"/>
  <c r="I162"/>
  <c r="M162" s="1"/>
  <c r="F162"/>
  <c r="K162" s="1"/>
  <c r="L161"/>
  <c r="J161"/>
  <c r="I161"/>
  <c r="M161" s="1"/>
  <c r="F161"/>
  <c r="K161" s="1"/>
  <c r="L160"/>
  <c r="J160"/>
  <c r="I160"/>
  <c r="M160" s="1"/>
  <c r="F160"/>
  <c r="K160" s="1"/>
  <c r="L159"/>
  <c r="J159"/>
  <c r="I159"/>
  <c r="M159" s="1"/>
  <c r="F159"/>
  <c r="K159" s="1"/>
  <c r="L158"/>
  <c r="J158"/>
  <c r="I158"/>
  <c r="M158" s="1"/>
  <c r="F158"/>
  <c r="K158" s="1"/>
  <c r="L157"/>
  <c r="J157"/>
  <c r="I157"/>
  <c r="M157" s="1"/>
  <c r="F157"/>
  <c r="K157" s="1"/>
  <c r="L156"/>
  <c r="J156"/>
  <c r="I156"/>
  <c r="M156" s="1"/>
  <c r="F156"/>
  <c r="K156" s="1"/>
  <c r="L155"/>
  <c r="J155"/>
  <c r="I155"/>
  <c r="M155" s="1"/>
  <c r="F155"/>
  <c r="K155" s="1"/>
  <c r="L154"/>
  <c r="J154"/>
  <c r="I154"/>
  <c r="I180" s="1"/>
  <c r="F154"/>
  <c r="K154" s="1"/>
  <c r="K180" s="1"/>
  <c r="L151"/>
  <c r="J151"/>
  <c r="I151"/>
  <c r="M151" s="1"/>
  <c r="F151"/>
  <c r="K151" s="1"/>
  <c r="L150"/>
  <c r="J150"/>
  <c r="I150"/>
  <c r="M150" s="1"/>
  <c r="F150"/>
  <c r="K150" s="1"/>
  <c r="L149"/>
  <c r="J149"/>
  <c r="I149"/>
  <c r="M149" s="1"/>
  <c r="F149"/>
  <c r="K149" s="1"/>
  <c r="L148"/>
  <c r="J148"/>
  <c r="I148"/>
  <c r="M148" s="1"/>
  <c r="F148"/>
  <c r="K148" s="1"/>
  <c r="L147"/>
  <c r="J147"/>
  <c r="I147"/>
  <c r="M147" s="1"/>
  <c r="F147"/>
  <c r="K147" s="1"/>
  <c r="L146"/>
  <c r="J146"/>
  <c r="I146"/>
  <c r="M146" s="1"/>
  <c r="F146"/>
  <c r="K146" s="1"/>
  <c r="L145"/>
  <c r="J145"/>
  <c r="I145"/>
  <c r="M145" s="1"/>
  <c r="F145"/>
  <c r="K145" s="1"/>
  <c r="L144"/>
  <c r="J144"/>
  <c r="I144"/>
  <c r="M144" s="1"/>
  <c r="F144"/>
  <c r="K144" s="1"/>
  <c r="L143"/>
  <c r="J143"/>
  <c r="I143"/>
  <c r="M143" s="1"/>
  <c r="F143"/>
  <c r="K143" s="1"/>
  <c r="L142"/>
  <c r="J142"/>
  <c r="I142"/>
  <c r="M142" s="1"/>
  <c r="F142"/>
  <c r="K142" s="1"/>
  <c r="L141"/>
  <c r="J141"/>
  <c r="I141"/>
  <c r="M141" s="1"/>
  <c r="F141"/>
  <c r="K141" s="1"/>
  <c r="L140"/>
  <c r="J140"/>
  <c r="I140"/>
  <c r="M140" s="1"/>
  <c r="F140"/>
  <c r="K140" s="1"/>
  <c r="L139"/>
  <c r="J139"/>
  <c r="I139"/>
  <c r="M139" s="1"/>
  <c r="F139"/>
  <c r="K139" s="1"/>
  <c r="L138"/>
  <c r="J138"/>
  <c r="I138"/>
  <c r="M138" s="1"/>
  <c r="F138"/>
  <c r="K138" s="1"/>
  <c r="L137"/>
  <c r="J137"/>
  <c r="I137"/>
  <c r="M137" s="1"/>
  <c r="F137"/>
  <c r="K137" s="1"/>
  <c r="L136"/>
  <c r="J136"/>
  <c r="I136"/>
  <c r="M136" s="1"/>
  <c r="F136"/>
  <c r="K136" s="1"/>
  <c r="L135"/>
  <c r="J135"/>
  <c r="I135"/>
  <c r="M135" s="1"/>
  <c r="F135"/>
  <c r="K135" s="1"/>
  <c r="L134"/>
  <c r="J134"/>
  <c r="I134"/>
  <c r="M134" s="1"/>
  <c r="F134"/>
  <c r="K134" s="1"/>
  <c r="L133"/>
  <c r="J133"/>
  <c r="I133"/>
  <c r="M133" s="1"/>
  <c r="F133"/>
  <c r="K133" s="1"/>
  <c r="L132"/>
  <c r="J132"/>
  <c r="I132"/>
  <c r="M132" s="1"/>
  <c r="F132"/>
  <c r="K132" s="1"/>
  <c r="L131"/>
  <c r="J131"/>
  <c r="I131"/>
  <c r="M131" s="1"/>
  <c r="F131"/>
  <c r="K131" s="1"/>
  <c r="L130"/>
  <c r="J130"/>
  <c r="I130"/>
  <c r="M130" s="1"/>
  <c r="F130"/>
  <c r="K130" s="1"/>
  <c r="L129"/>
  <c r="J129"/>
  <c r="I129"/>
  <c r="M129" s="1"/>
  <c r="F129"/>
  <c r="K129" s="1"/>
  <c r="L128"/>
  <c r="J128"/>
  <c r="I128"/>
  <c r="M128" s="1"/>
  <c r="F128"/>
  <c r="K128" s="1"/>
  <c r="L127"/>
  <c r="J127"/>
  <c r="I127"/>
  <c r="M127" s="1"/>
  <c r="F127"/>
  <c r="K127" s="1"/>
  <c r="L126"/>
  <c r="J126"/>
  <c r="I126"/>
  <c r="M126" s="1"/>
  <c r="F126"/>
  <c r="K126" s="1"/>
  <c r="L125"/>
  <c r="J125"/>
  <c r="I125"/>
  <c r="M125" s="1"/>
  <c r="F125"/>
  <c r="K125" s="1"/>
  <c r="L124"/>
  <c r="J124"/>
  <c r="I124"/>
  <c r="M124" s="1"/>
  <c r="F124"/>
  <c r="K124" s="1"/>
  <c r="L123"/>
  <c r="J123"/>
  <c r="I123"/>
  <c r="M123" s="1"/>
  <c r="F123"/>
  <c r="K123" s="1"/>
  <c r="L122"/>
  <c r="J122"/>
  <c r="I122"/>
  <c r="M122" s="1"/>
  <c r="F122"/>
  <c r="K122" s="1"/>
  <c r="L121"/>
  <c r="J121"/>
  <c r="I121"/>
  <c r="M121" s="1"/>
  <c r="F121"/>
  <c r="K121" s="1"/>
  <c r="L120"/>
  <c r="J120"/>
  <c r="I120"/>
  <c r="M120" s="1"/>
  <c r="F120"/>
  <c r="K120" s="1"/>
  <c r="L119"/>
  <c r="J119"/>
  <c r="I119"/>
  <c r="M119" s="1"/>
  <c r="F119"/>
  <c r="K119" s="1"/>
  <c r="L118"/>
  <c r="J118"/>
  <c r="I118"/>
  <c r="F118"/>
  <c r="K118" s="1"/>
  <c r="L117"/>
  <c r="J117"/>
  <c r="I117"/>
  <c r="F117"/>
  <c r="K117" s="1"/>
  <c r="L116"/>
  <c r="J116"/>
  <c r="I116"/>
  <c r="F116"/>
  <c r="K116" s="1"/>
  <c r="L115"/>
  <c r="J115"/>
  <c r="I115"/>
  <c r="F115"/>
  <c r="K115" s="1"/>
  <c r="L114"/>
  <c r="J114"/>
  <c r="I114"/>
  <c r="I152" s="1"/>
  <c r="F114"/>
  <c r="L111"/>
  <c r="J111"/>
  <c r="I111"/>
  <c r="F111"/>
  <c r="K111" s="1"/>
  <c r="L110"/>
  <c r="J110"/>
  <c r="I110"/>
  <c r="F110"/>
  <c r="K110" s="1"/>
  <c r="L109"/>
  <c r="J109"/>
  <c r="I109"/>
  <c r="F109"/>
  <c r="K109" s="1"/>
  <c r="L108"/>
  <c r="J108"/>
  <c r="I108"/>
  <c r="F108"/>
  <c r="K108" s="1"/>
  <c r="L107"/>
  <c r="J107"/>
  <c r="I107"/>
  <c r="F107"/>
  <c r="K107" s="1"/>
  <c r="L106"/>
  <c r="J106"/>
  <c r="I106"/>
  <c r="F106"/>
  <c r="K106" s="1"/>
  <c r="L105"/>
  <c r="J105"/>
  <c r="I105"/>
  <c r="F105"/>
  <c r="K105" s="1"/>
  <c r="L104"/>
  <c r="J104"/>
  <c r="I104"/>
  <c r="F104"/>
  <c r="K104" s="1"/>
  <c r="L103"/>
  <c r="J103"/>
  <c r="I103"/>
  <c r="F103"/>
  <c r="K103" s="1"/>
  <c r="L102"/>
  <c r="J102"/>
  <c r="I102"/>
  <c r="F102"/>
  <c r="K102" s="1"/>
  <c r="L101"/>
  <c r="J101"/>
  <c r="I101"/>
  <c r="F101"/>
  <c r="K101" s="1"/>
  <c r="L100"/>
  <c r="J100"/>
  <c r="I100"/>
  <c r="F100"/>
  <c r="K100" s="1"/>
  <c r="L99"/>
  <c r="J99"/>
  <c r="I99"/>
  <c r="F99"/>
  <c r="K99" s="1"/>
  <c r="L98"/>
  <c r="J98"/>
  <c r="I98"/>
  <c r="F98"/>
  <c r="K98" s="1"/>
  <c r="L97"/>
  <c r="J97"/>
  <c r="I97"/>
  <c r="F97"/>
  <c r="K97" s="1"/>
  <c r="L96"/>
  <c r="J96"/>
  <c r="I96"/>
  <c r="F96"/>
  <c r="K96" s="1"/>
  <c r="L95"/>
  <c r="J95"/>
  <c r="I95"/>
  <c r="F95"/>
  <c r="K95" s="1"/>
  <c r="L94"/>
  <c r="J94"/>
  <c r="I94"/>
  <c r="F94"/>
  <c r="K94" s="1"/>
  <c r="L93"/>
  <c r="J93"/>
  <c r="I93"/>
  <c r="F93"/>
  <c r="K93" s="1"/>
  <c r="L92"/>
  <c r="J92"/>
  <c r="I92"/>
  <c r="F92"/>
  <c r="K92" s="1"/>
  <c r="L91"/>
  <c r="J91"/>
  <c r="I91"/>
  <c r="F91"/>
  <c r="K91" s="1"/>
  <c r="L90"/>
  <c r="J90"/>
  <c r="I90"/>
  <c r="F90"/>
  <c r="K90" s="1"/>
  <c r="L89"/>
  <c r="J89"/>
  <c r="I89"/>
  <c r="F89"/>
  <c r="K89" s="1"/>
  <c r="L88"/>
  <c r="J88"/>
  <c r="I88"/>
  <c r="F88"/>
  <c r="K88" s="1"/>
  <c r="L87"/>
  <c r="J87"/>
  <c r="I87"/>
  <c r="F87"/>
  <c r="K87" s="1"/>
  <c r="L86"/>
  <c r="J86"/>
  <c r="I86"/>
  <c r="F86"/>
  <c r="K86" s="1"/>
  <c r="L85"/>
  <c r="J85"/>
  <c r="I85"/>
  <c r="F85"/>
  <c r="K85" s="1"/>
  <c r="L84"/>
  <c r="J84"/>
  <c r="I84"/>
  <c r="F84"/>
  <c r="K84" s="1"/>
  <c r="L83"/>
  <c r="J83"/>
  <c r="I83"/>
  <c r="M83" s="1"/>
  <c r="F83"/>
  <c r="L82"/>
  <c r="J82"/>
  <c r="I82"/>
  <c r="M82" s="1"/>
  <c r="F82"/>
  <c r="L81"/>
  <c r="J81"/>
  <c r="I81"/>
  <c r="M81" s="1"/>
  <c r="F81"/>
  <c r="L80"/>
  <c r="J80"/>
  <c r="I80"/>
  <c r="M80" s="1"/>
  <c r="F80"/>
  <c r="L79"/>
  <c r="J79"/>
  <c r="I79"/>
  <c r="M79" s="1"/>
  <c r="F79"/>
  <c r="L78"/>
  <c r="J78"/>
  <c r="I78"/>
  <c r="M78" s="1"/>
  <c r="F78"/>
  <c r="L77"/>
  <c r="J77"/>
  <c r="I77"/>
  <c r="M77" s="1"/>
  <c r="F77"/>
  <c r="L76"/>
  <c r="J76"/>
  <c r="I76"/>
  <c r="M76" s="1"/>
  <c r="F76"/>
  <c r="L75"/>
  <c r="J75"/>
  <c r="I75"/>
  <c r="M75" s="1"/>
  <c r="F75"/>
  <c r="L74"/>
  <c r="J74"/>
  <c r="I74"/>
  <c r="I112" s="1"/>
  <c r="F74"/>
  <c r="F112" s="1"/>
  <c r="L71"/>
  <c r="J71"/>
  <c r="I71"/>
  <c r="M71" s="1"/>
  <c r="F71"/>
  <c r="L70"/>
  <c r="J70"/>
  <c r="I70"/>
  <c r="M70" s="1"/>
  <c r="F70"/>
  <c r="L69"/>
  <c r="J69"/>
  <c r="I69"/>
  <c r="M69" s="1"/>
  <c r="F69"/>
  <c r="L68"/>
  <c r="J68"/>
  <c r="I68"/>
  <c r="M68" s="1"/>
  <c r="F68"/>
  <c r="L67"/>
  <c r="J67"/>
  <c r="I67"/>
  <c r="M67" s="1"/>
  <c r="F67"/>
  <c r="L66"/>
  <c r="J66"/>
  <c r="I66"/>
  <c r="M66" s="1"/>
  <c r="F66"/>
  <c r="L65"/>
  <c r="J65"/>
  <c r="I65"/>
  <c r="M65" s="1"/>
  <c r="F65"/>
  <c r="L64"/>
  <c r="J64"/>
  <c r="I64"/>
  <c r="M64" s="1"/>
  <c r="F64"/>
  <c r="L63"/>
  <c r="J63"/>
  <c r="I63"/>
  <c r="M63" s="1"/>
  <c r="F63"/>
  <c r="L62"/>
  <c r="J62"/>
  <c r="I62"/>
  <c r="M62" s="1"/>
  <c r="F62"/>
  <c r="L61"/>
  <c r="J61"/>
  <c r="I61"/>
  <c r="M61" s="1"/>
  <c r="F61"/>
  <c r="L60"/>
  <c r="J60"/>
  <c r="I60"/>
  <c r="M60" s="1"/>
  <c r="F60"/>
  <c r="L59"/>
  <c r="J59"/>
  <c r="I59"/>
  <c r="M59" s="1"/>
  <c r="F59"/>
  <c r="L58"/>
  <c r="J58"/>
  <c r="I58"/>
  <c r="M58" s="1"/>
  <c r="F58"/>
  <c r="L57"/>
  <c r="J57"/>
  <c r="I57"/>
  <c r="M57" s="1"/>
  <c r="F57"/>
  <c r="L56"/>
  <c r="J56"/>
  <c r="I56"/>
  <c r="M56" s="1"/>
  <c r="F56"/>
  <c r="L55"/>
  <c r="J55"/>
  <c r="I55"/>
  <c r="M55" s="1"/>
  <c r="F55"/>
  <c r="L54"/>
  <c r="J54"/>
  <c r="I54"/>
  <c r="M54" s="1"/>
  <c r="F54"/>
  <c r="L53"/>
  <c r="J53"/>
  <c r="I53"/>
  <c r="M53" s="1"/>
  <c r="F53"/>
  <c r="L52"/>
  <c r="J52"/>
  <c r="I52"/>
  <c r="M52" s="1"/>
  <c r="F52"/>
  <c r="L51"/>
  <c r="J51"/>
  <c r="I51"/>
  <c r="M51" s="1"/>
  <c r="F51"/>
  <c r="L50"/>
  <c r="J50"/>
  <c r="I50"/>
  <c r="M50" s="1"/>
  <c r="F50"/>
  <c r="L49"/>
  <c r="J49"/>
  <c r="I49"/>
  <c r="M49" s="1"/>
  <c r="F49"/>
  <c r="L48"/>
  <c r="J48"/>
  <c r="I48"/>
  <c r="M48" s="1"/>
  <c r="F48"/>
  <c r="L47"/>
  <c r="J47"/>
  <c r="I47"/>
  <c r="M47" s="1"/>
  <c r="F47"/>
  <c r="L46"/>
  <c r="J46"/>
  <c r="I46"/>
  <c r="M46" s="1"/>
  <c r="F46"/>
  <c r="K46" s="1"/>
  <c r="L45"/>
  <c r="J45"/>
  <c r="I45"/>
  <c r="M45" s="1"/>
  <c r="F45"/>
  <c r="K45" s="1"/>
  <c r="L44"/>
  <c r="J44"/>
  <c r="I44"/>
  <c r="M44" s="1"/>
  <c r="F44"/>
  <c r="K44" s="1"/>
  <c r="L43"/>
  <c r="J43"/>
  <c r="I43"/>
  <c r="M43" s="1"/>
  <c r="F43"/>
  <c r="K43" s="1"/>
  <c r="L42"/>
  <c r="J42"/>
  <c r="I42"/>
  <c r="M42" s="1"/>
  <c r="F42"/>
  <c r="K42" s="1"/>
  <c r="L41"/>
  <c r="J41"/>
  <c r="I41"/>
  <c r="M41" s="1"/>
  <c r="F41"/>
  <c r="K41" s="1"/>
  <c r="L40"/>
  <c r="J40"/>
  <c r="I40"/>
  <c r="M40" s="1"/>
  <c r="F40"/>
  <c r="K40" s="1"/>
  <c r="L39"/>
  <c r="J39"/>
  <c r="I39"/>
  <c r="M39" s="1"/>
  <c r="F39"/>
  <c r="K39" s="1"/>
  <c r="L38"/>
  <c r="J38"/>
  <c r="I38"/>
  <c r="M38" s="1"/>
  <c r="F38"/>
  <c r="K38" s="1"/>
  <c r="L37"/>
  <c r="J37"/>
  <c r="I37"/>
  <c r="M37" s="1"/>
  <c r="F37"/>
  <c r="K37" s="1"/>
  <c r="L36"/>
  <c r="J36"/>
  <c r="I36"/>
  <c r="M36" s="1"/>
  <c r="F36"/>
  <c r="K36" s="1"/>
  <c r="L35"/>
  <c r="J35"/>
  <c r="I35"/>
  <c r="M35" s="1"/>
  <c r="F35"/>
  <c r="K35" s="1"/>
  <c r="L34"/>
  <c r="J34"/>
  <c r="I34"/>
  <c r="M34" s="1"/>
  <c r="F34"/>
  <c r="K34" s="1"/>
  <c r="L33"/>
  <c r="J33"/>
  <c r="I33"/>
  <c r="I72" s="1"/>
  <c r="F33"/>
  <c r="F72" s="1"/>
  <c r="L30"/>
  <c r="J30"/>
  <c r="I30"/>
  <c r="M30" s="1"/>
  <c r="F30"/>
  <c r="K30" s="1"/>
  <c r="L29"/>
  <c r="J29"/>
  <c r="I29"/>
  <c r="M29" s="1"/>
  <c r="F29"/>
  <c r="K29" s="1"/>
  <c r="L28"/>
  <c r="J28"/>
  <c r="I28"/>
  <c r="M28" s="1"/>
  <c r="F28"/>
  <c r="K28" s="1"/>
  <c r="L27"/>
  <c r="J27"/>
  <c r="I27"/>
  <c r="M27" s="1"/>
  <c r="F27"/>
  <c r="K27" s="1"/>
  <c r="L26"/>
  <c r="J26"/>
  <c r="I26"/>
  <c r="M26" s="1"/>
  <c r="F26"/>
  <c r="K26" s="1"/>
  <c r="L25"/>
  <c r="J25"/>
  <c r="I25"/>
  <c r="M25" s="1"/>
  <c r="F25"/>
  <c r="K25" s="1"/>
  <c r="L24"/>
  <c r="J24"/>
  <c r="I24"/>
  <c r="M24" s="1"/>
  <c r="F24"/>
  <c r="K24" s="1"/>
  <c r="L23"/>
  <c r="J23"/>
  <c r="I23"/>
  <c r="M23" s="1"/>
  <c r="F23"/>
  <c r="K23" s="1"/>
  <c r="L22"/>
  <c r="J22"/>
  <c r="I22"/>
  <c r="M22" s="1"/>
  <c r="F22"/>
  <c r="K22" s="1"/>
  <c r="L21"/>
  <c r="J21"/>
  <c r="I21"/>
  <c r="M21" s="1"/>
  <c r="F21"/>
  <c r="K21" s="1"/>
  <c r="L20"/>
  <c r="J20"/>
  <c r="I20"/>
  <c r="M20" s="1"/>
  <c r="F20"/>
  <c r="K20" s="1"/>
  <c r="L19"/>
  <c r="J19"/>
  <c r="I19"/>
  <c r="M19" s="1"/>
  <c r="F19"/>
  <c r="K19" s="1"/>
  <c r="L18"/>
  <c r="J18"/>
  <c r="I18"/>
  <c r="M18" s="1"/>
  <c r="F18"/>
  <c r="K18" s="1"/>
  <c r="L17"/>
  <c r="J17"/>
  <c r="I17"/>
  <c r="M17" s="1"/>
  <c r="F17"/>
  <c r="K17" s="1"/>
  <c r="L16"/>
  <c r="J16"/>
  <c r="I16"/>
  <c r="M16" s="1"/>
  <c r="F16"/>
  <c r="K16" s="1"/>
  <c r="L15"/>
  <c r="J15"/>
  <c r="I15"/>
  <c r="M15" s="1"/>
  <c r="F15"/>
  <c r="K15" s="1"/>
  <c r="L14"/>
  <c r="J14"/>
  <c r="I14"/>
  <c r="M14" s="1"/>
  <c r="F14"/>
  <c r="K14" s="1"/>
  <c r="L13"/>
  <c r="J13"/>
  <c r="I13"/>
  <c r="M13" s="1"/>
  <c r="F13"/>
  <c r="K13" s="1"/>
  <c r="L12"/>
  <c r="J12"/>
  <c r="I12"/>
  <c r="M12" s="1"/>
  <c r="F12"/>
  <c r="K12" s="1"/>
  <c r="L11"/>
  <c r="J11"/>
  <c r="I11"/>
  <c r="M11" s="1"/>
  <c r="F11"/>
  <c r="K11" s="1"/>
  <c r="L10"/>
  <c r="J10"/>
  <c r="I10"/>
  <c r="M10" s="1"/>
  <c r="F10"/>
  <c r="K10" s="1"/>
  <c r="L9"/>
  <c r="J9"/>
  <c r="I9"/>
  <c r="M9" s="1"/>
  <c r="F9"/>
  <c r="K9" s="1"/>
  <c r="L8"/>
  <c r="J8"/>
  <c r="I8"/>
  <c r="M8" s="1"/>
  <c r="F8"/>
  <c r="K8" s="1"/>
  <c r="L7"/>
  <c r="J7"/>
  <c r="I7"/>
  <c r="M7" s="1"/>
  <c r="F7"/>
  <c r="K7" s="1"/>
  <c r="L6"/>
  <c r="J6"/>
  <c r="I6"/>
  <c r="M6" s="1"/>
  <c r="F6"/>
  <c r="K6" s="1"/>
  <c r="L5"/>
  <c r="J5"/>
  <c r="I5"/>
  <c r="I31" s="1"/>
  <c r="F5"/>
  <c r="F31" s="1"/>
  <c r="A1046" i="34"/>
  <c r="B1046"/>
  <c r="L1046"/>
  <c r="A1047"/>
  <c r="B1047"/>
  <c r="L1047"/>
  <c r="A1048"/>
  <c r="B1048"/>
  <c r="L1048"/>
  <c r="A1049"/>
  <c r="B1049"/>
  <c r="L1049"/>
  <c r="A1050"/>
  <c r="B1050"/>
  <c r="L1050"/>
  <c r="A1051"/>
  <c r="B1051"/>
  <c r="L1051"/>
  <c r="A1052"/>
  <c r="B1052"/>
  <c r="L1052"/>
  <c r="A1053"/>
  <c r="B1053"/>
  <c r="L1053"/>
  <c r="A1054"/>
  <c r="B1054"/>
  <c r="L1054"/>
  <c r="A1055"/>
  <c r="B1055"/>
  <c r="L1055"/>
  <c r="A1056"/>
  <c r="B1056"/>
  <c r="L1056"/>
  <c r="A1057"/>
  <c r="B1057"/>
  <c r="L1057"/>
  <c r="A1058"/>
  <c r="B1058"/>
  <c r="L1058"/>
  <c r="A1059"/>
  <c r="B1059"/>
  <c r="L1059"/>
  <c r="A1060"/>
  <c r="B1060"/>
  <c r="L1060"/>
  <c r="A1061"/>
  <c r="B1061"/>
  <c r="L1061"/>
  <c r="A1062"/>
  <c r="B1062"/>
  <c r="L1062"/>
  <c r="A1063"/>
  <c r="B1063"/>
  <c r="L1063"/>
  <c r="A1064"/>
  <c r="B1064"/>
  <c r="L1064"/>
  <c r="A1065"/>
  <c r="B1065"/>
  <c r="L1065"/>
  <c r="A1066"/>
  <c r="B1066"/>
  <c r="L1066"/>
  <c r="A1067"/>
  <c r="B1067"/>
  <c r="L1067"/>
  <c r="A1068"/>
  <c r="B1068"/>
  <c r="L1068"/>
  <c r="A1069"/>
  <c r="B1069"/>
  <c r="L1069"/>
  <c r="A1070"/>
  <c r="B1070"/>
  <c r="L1070"/>
  <c r="A1071"/>
  <c r="B1071"/>
  <c r="L1071"/>
  <c r="A1072"/>
  <c r="B1072"/>
  <c r="L1072"/>
  <c r="A1073"/>
  <c r="B1073"/>
  <c r="L1073"/>
  <c r="A1074"/>
  <c r="B1074"/>
  <c r="L1074"/>
  <c r="A1075"/>
  <c r="B1075"/>
  <c r="L1075"/>
  <c r="A1076"/>
  <c r="B1076"/>
  <c r="L1076"/>
  <c r="A1077"/>
  <c r="B1077"/>
  <c r="L1077"/>
  <c r="A1078"/>
  <c r="B1078"/>
  <c r="L1078"/>
  <c r="A1079"/>
  <c r="B1079"/>
  <c r="L1079"/>
  <c r="A1080"/>
  <c r="B1080"/>
  <c r="L1080"/>
  <c r="A1081"/>
  <c r="B1081"/>
  <c r="L1081"/>
  <c r="A1082"/>
  <c r="B1082"/>
  <c r="L1082"/>
  <c r="A1083"/>
  <c r="B1083"/>
  <c r="L1083"/>
  <c r="A1084"/>
  <c r="B1084"/>
  <c r="L1084"/>
  <c r="A1085"/>
  <c r="B1085"/>
  <c r="L1085"/>
  <c r="A1086"/>
  <c r="B1086"/>
  <c r="L1086"/>
  <c r="A1087"/>
  <c r="B1087"/>
  <c r="L1087"/>
  <c r="A1088"/>
  <c r="B1088"/>
  <c r="L1088"/>
  <c r="A1089"/>
  <c r="B1089"/>
  <c r="L1089"/>
  <c r="A1090"/>
  <c r="B1090"/>
  <c r="L1090"/>
  <c r="A1091"/>
  <c r="B1091"/>
  <c r="L1091"/>
  <c r="A1092"/>
  <c r="B1092"/>
  <c r="L1092"/>
  <c r="A1093"/>
  <c r="B1093"/>
  <c r="L1093"/>
  <c r="A1094"/>
  <c r="B1094"/>
  <c r="L1094"/>
  <c r="A1095"/>
  <c r="B1095"/>
  <c r="L1095"/>
  <c r="A1096"/>
  <c r="B1096"/>
  <c r="L1096"/>
  <c r="A1097"/>
  <c r="B1097"/>
  <c r="L1097"/>
  <c r="A1098"/>
  <c r="B1098"/>
  <c r="L1098"/>
  <c r="A1099"/>
  <c r="B1099"/>
  <c r="L1099"/>
  <c r="A1100"/>
  <c r="B1100"/>
  <c r="L1100"/>
  <c r="A1101"/>
  <c r="B1101"/>
  <c r="L1101"/>
  <c r="A1102"/>
  <c r="B1102"/>
  <c r="L1102"/>
  <c r="A1103"/>
  <c r="B1103"/>
  <c r="L1103"/>
  <c r="A1104"/>
  <c r="B1104"/>
  <c r="L1104"/>
  <c r="A1105"/>
  <c r="B1105"/>
  <c r="L1105"/>
  <c r="A1106"/>
  <c r="B1106"/>
  <c r="L1106"/>
  <c r="A1107"/>
  <c r="B1107"/>
  <c r="L1107"/>
  <c r="A1108"/>
  <c r="B1108"/>
  <c r="L1108"/>
  <c r="A1109"/>
  <c r="B1109"/>
  <c r="L1109"/>
  <c r="A1110"/>
  <c r="B1110"/>
  <c r="L1110"/>
  <c r="A1111"/>
  <c r="B1111"/>
  <c r="L1111"/>
  <c r="A1112"/>
  <c r="B1112"/>
  <c r="L1112"/>
  <c r="A1113"/>
  <c r="B1113"/>
  <c r="L1113"/>
  <c r="A1114"/>
  <c r="B1114"/>
  <c r="L1114"/>
  <c r="A1115"/>
  <c r="B1115"/>
  <c r="L1115"/>
  <c r="A1116"/>
  <c r="B1116"/>
  <c r="L1116"/>
  <c r="A1117"/>
  <c r="B1117"/>
  <c r="L1117"/>
  <c r="A1118"/>
  <c r="B1118"/>
  <c r="L1118"/>
  <c r="A1119"/>
  <c r="B1119"/>
  <c r="L1119"/>
  <c r="A1120"/>
  <c r="B1120"/>
  <c r="L1120"/>
  <c r="A1121"/>
  <c r="B1121"/>
  <c r="L1121"/>
  <c r="A1122"/>
  <c r="B1122"/>
  <c r="L1122"/>
  <c r="A1123"/>
  <c r="B1123"/>
  <c r="L1123"/>
  <c r="A1124"/>
  <c r="B1124"/>
  <c r="L1124"/>
  <c r="A1125"/>
  <c r="B1125"/>
  <c r="L1125"/>
  <c r="A1126"/>
  <c r="B1126"/>
  <c r="L1126"/>
  <c r="A1127"/>
  <c r="B1127"/>
  <c r="L1127"/>
  <c r="A1128"/>
  <c r="B1128"/>
  <c r="L1128"/>
  <c r="A1129"/>
  <c r="B1129"/>
  <c r="L1129"/>
  <c r="A1130"/>
  <c r="B1130"/>
  <c r="L1130"/>
  <c r="A1131"/>
  <c r="B1131"/>
  <c r="L1131"/>
  <c r="A1132"/>
  <c r="B1132"/>
  <c r="L1132"/>
  <c r="A1133"/>
  <c r="B1133"/>
  <c r="L1133"/>
  <c r="A1134"/>
  <c r="B1134"/>
  <c r="L1134"/>
  <c r="A1135"/>
  <c r="B1135"/>
  <c r="L1135"/>
  <c r="A1136"/>
  <c r="B1136"/>
  <c r="L1136"/>
  <c r="A1137"/>
  <c r="B1137"/>
  <c r="L1137"/>
  <c r="A1138"/>
  <c r="B1138"/>
  <c r="L1138"/>
  <c r="A1139"/>
  <c r="B1139"/>
  <c r="L1139"/>
  <c r="A1140"/>
  <c r="B1140"/>
  <c r="L1140"/>
  <c r="A1141"/>
  <c r="B1141"/>
  <c r="L1141"/>
  <c r="A1142"/>
  <c r="B1142"/>
  <c r="L1142"/>
  <c r="A1143"/>
  <c r="B1143"/>
  <c r="L1143"/>
  <c r="A1144"/>
  <c r="B1144"/>
  <c r="L1144"/>
  <c r="A1145"/>
  <c r="B1145"/>
  <c r="L1145"/>
  <c r="A1146"/>
  <c r="B1146"/>
  <c r="L1146"/>
  <c r="A1147"/>
  <c r="B1147"/>
  <c r="L1147"/>
  <c r="A1148"/>
  <c r="B1148"/>
  <c r="L1148"/>
  <c r="A1149"/>
  <c r="B1149"/>
  <c r="L1149"/>
  <c r="A1150"/>
  <c r="B1150"/>
  <c r="L1150"/>
  <c r="F10" i="40"/>
  <c r="N10" s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N31" s="1"/>
  <c r="F32"/>
  <c r="N32" s="1"/>
  <c r="F33"/>
  <c r="N33" s="1"/>
  <c r="F34"/>
  <c r="N34" s="1"/>
  <c r="F35"/>
  <c r="N35" s="1"/>
  <c r="F6"/>
  <c r="N6" s="1"/>
  <c r="F7"/>
  <c r="F8"/>
  <c r="N8" s="1"/>
  <c r="F9"/>
  <c r="N9" s="1"/>
  <c r="F11"/>
  <c r="N11" s="1"/>
  <c r="F5"/>
  <c r="N5" s="1"/>
  <c r="F36"/>
  <c r="N7"/>
  <c r="N13"/>
  <c r="N14"/>
  <c r="N15"/>
  <c r="N16"/>
  <c r="N18"/>
  <c r="N20"/>
  <c r="N21"/>
  <c r="N22"/>
  <c r="N24"/>
  <c r="N25"/>
  <c r="N26"/>
  <c r="N27"/>
  <c r="N28"/>
  <c r="N30"/>
  <c r="A6"/>
  <c r="A7"/>
  <c r="A8"/>
  <c r="A9"/>
  <c r="A10"/>
  <c r="A11"/>
  <c r="A12"/>
  <c r="A13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5"/>
  <c r="G36"/>
  <c r="N19"/>
  <c r="A33" i="12"/>
  <c r="A34"/>
  <c r="A35"/>
  <c r="A36"/>
  <c r="D41"/>
  <c r="C41"/>
  <c r="K114" i="42" l="1"/>
  <c r="K152" s="1"/>
  <c r="F152"/>
  <c r="F222" s="1"/>
  <c r="K5"/>
  <c r="K31" s="1"/>
  <c r="M5"/>
  <c r="M31" s="1"/>
  <c r="K33"/>
  <c r="M33"/>
  <c r="M72" s="1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4"/>
  <c r="M74"/>
  <c r="K75"/>
  <c r="K76"/>
  <c r="K77"/>
  <c r="K78"/>
  <c r="K79"/>
  <c r="K80"/>
  <c r="K81"/>
  <c r="K82"/>
  <c r="K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5"/>
  <c r="M116"/>
  <c r="M117"/>
  <c r="M118"/>
  <c r="F180"/>
  <c r="F200"/>
  <c r="K213"/>
  <c r="I214"/>
  <c r="I222" s="1"/>
  <c r="M114"/>
  <c r="M152" s="1"/>
  <c r="M154"/>
  <c r="M180" s="1"/>
  <c r="M182"/>
  <c r="M200" s="1"/>
  <c r="K202"/>
  <c r="K214" s="1"/>
  <c r="N36" i="40"/>
  <c r="H36"/>
  <c r="J36"/>
  <c r="K36"/>
  <c r="I20" i="41"/>
  <c r="I17"/>
  <c r="G16"/>
  <c r="G15"/>
  <c r="G14"/>
  <c r="G13"/>
  <c r="G12"/>
  <c r="G11"/>
  <c r="H10"/>
  <c r="H17" s="1"/>
  <c r="J18" s="1"/>
  <c r="G10"/>
  <c r="F10"/>
  <c r="E10"/>
  <c r="E17" s="1"/>
  <c r="G9"/>
  <c r="G8"/>
  <c r="G7"/>
  <c r="G6"/>
  <c r="G5"/>
  <c r="F5"/>
  <c r="F17" s="1"/>
  <c r="J17" s="1"/>
  <c r="A1"/>
  <c r="E132" i="35"/>
  <c r="D41" i="15"/>
  <c r="C41"/>
  <c r="M112" i="42" l="1"/>
  <c r="K72"/>
  <c r="K222" s="1"/>
  <c r="K112"/>
  <c r="M222"/>
  <c r="E19" i="41"/>
  <c r="G17"/>
  <c r="G18" s="1"/>
  <c r="I18"/>
  <c r="G218" i="35"/>
  <c r="G222"/>
  <c r="A842" i="34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L944"/>
  <c r="E20" i="41" l="1"/>
  <c r="I19"/>
  <c r="E17" i="40"/>
  <c r="N17" s="1"/>
  <c r="N29"/>
  <c r="E23"/>
  <c r="N23" s="1"/>
  <c r="E12"/>
  <c r="E36" i="35"/>
  <c r="E39" i="40" l="1"/>
  <c r="N12"/>
  <c r="G100" i="35"/>
  <c r="G101"/>
  <c r="G102"/>
  <c r="G104"/>
  <c r="G105"/>
  <c r="G106"/>
  <c r="G108"/>
  <c r="G109"/>
  <c r="G110"/>
  <c r="G112"/>
  <c r="G114"/>
  <c r="G115"/>
  <c r="G116"/>
  <c r="G117"/>
  <c r="G118"/>
  <c r="G119"/>
  <c r="G120"/>
  <c r="G121"/>
  <c r="G122"/>
  <c r="G123"/>
  <c r="G124"/>
  <c r="G113"/>
  <c r="G75"/>
  <c r="G76"/>
  <c r="G77"/>
  <c r="G74"/>
  <c r="G128"/>
  <c r="G129"/>
  <c r="G130"/>
  <c r="G131"/>
  <c r="G132"/>
  <c r="G133"/>
  <c r="G134"/>
  <c r="G135"/>
  <c r="G136"/>
  <c r="G137"/>
  <c r="G139"/>
  <c r="G127"/>
  <c r="G143"/>
  <c r="G144"/>
  <c r="G145"/>
  <c r="G146"/>
  <c r="G147"/>
  <c r="G148"/>
  <c r="G149"/>
  <c r="G150"/>
  <c r="G142"/>
  <c r="G183"/>
  <c r="G184"/>
  <c r="G185"/>
  <c r="G186"/>
  <c r="G187"/>
  <c r="G188"/>
  <c r="G189"/>
  <c r="G182"/>
  <c r="G193"/>
  <c r="G194"/>
  <c r="G195"/>
  <c r="G196"/>
  <c r="G197"/>
  <c r="G201"/>
  <c r="G192"/>
  <c r="G205"/>
  <c r="G206"/>
  <c r="G207"/>
  <c r="G208"/>
  <c r="G209"/>
  <c r="G210"/>
  <c r="G211"/>
  <c r="G204"/>
  <c r="G215"/>
  <c r="G216"/>
  <c r="G217"/>
  <c r="G214"/>
  <c r="G158"/>
  <c r="G159"/>
  <c r="G160"/>
  <c r="G161"/>
  <c r="G162"/>
  <c r="G163"/>
  <c r="G164"/>
  <c r="G165"/>
  <c r="G166"/>
  <c r="G167"/>
  <c r="G168"/>
  <c r="G157"/>
  <c r="L897" i="34"/>
  <c r="L886"/>
  <c r="L887"/>
  <c r="L908"/>
  <c r="L909"/>
  <c r="L855"/>
  <c r="L856"/>
  <c r="L907"/>
  <c r="L906"/>
  <c r="L904"/>
  <c r="L905"/>
  <c r="L893"/>
  <c r="L892"/>
  <c r="L899"/>
  <c r="L890"/>
  <c r="L891"/>
  <c r="L873"/>
  <c r="L874"/>
  <c r="L875"/>
  <c r="L876"/>
  <c r="L877"/>
  <c r="L878"/>
  <c r="L879"/>
  <c r="L880"/>
  <c r="L881"/>
  <c r="L882"/>
  <c r="L883"/>
  <c r="L884"/>
  <c r="L885"/>
  <c r="L889"/>
  <c r="L888"/>
  <c r="L898"/>
  <c r="L910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7"/>
  <c r="L858"/>
  <c r="L859"/>
  <c r="L860"/>
  <c r="L861"/>
  <c r="L862"/>
  <c r="L863"/>
  <c r="L864"/>
  <c r="L865"/>
  <c r="L866"/>
  <c r="L867"/>
  <c r="L868"/>
  <c r="L869"/>
  <c r="L870"/>
  <c r="L871"/>
  <c r="L872"/>
  <c r="L924"/>
  <c r="L938"/>
  <c r="L939"/>
  <c r="L940"/>
  <c r="L948"/>
  <c r="L949"/>
  <c r="L900"/>
  <c r="L901"/>
  <c r="L902"/>
  <c r="L903"/>
  <c r="L894"/>
  <c r="L895"/>
  <c r="L896"/>
  <c r="L911"/>
  <c r="L912"/>
  <c r="L913"/>
  <c r="L914"/>
  <c r="L915"/>
  <c r="L916"/>
  <c r="L917"/>
  <c r="L918"/>
  <c r="L919"/>
  <c r="L920"/>
  <c r="L921"/>
  <c r="L922"/>
  <c r="L923"/>
  <c r="L925"/>
  <c r="L926"/>
  <c r="L927"/>
  <c r="L928"/>
  <c r="L929"/>
  <c r="L930"/>
  <c r="L931"/>
  <c r="L932"/>
  <c r="L933"/>
  <c r="L934"/>
  <c r="L935"/>
  <c r="L936"/>
  <c r="L937"/>
  <c r="L941"/>
  <c r="L942"/>
  <c r="L943"/>
  <c r="L945"/>
  <c r="L946"/>
  <c r="L947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151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10"/>
  <c r="B631"/>
  <c r="A631"/>
  <c r="A32" i="12"/>
  <c r="A793" i="34"/>
  <c r="B793"/>
  <c r="A816" l="1"/>
  <c r="B816"/>
  <c r="A817"/>
  <c r="B817"/>
  <c r="F96" i="35"/>
  <c r="F59"/>
  <c r="F24"/>
  <c r="F21"/>
  <c r="F6"/>
  <c r="G87"/>
  <c r="H85" l="1"/>
  <c r="E85"/>
  <c r="A781" i="34"/>
  <c r="B781"/>
  <c r="A782"/>
  <c r="B782"/>
  <c r="A807" l="1"/>
  <c r="B807"/>
  <c r="A795" l="1"/>
  <c r="B795"/>
  <c r="E91" i="35"/>
  <c r="A792" i="34"/>
  <c r="B792"/>
  <c r="E142" i="35"/>
  <c r="A771" i="34"/>
  <c r="B771"/>
  <c r="A772"/>
  <c r="B772"/>
  <c r="A784"/>
  <c r="B784"/>
  <c r="F125" i="35"/>
  <c r="F30"/>
  <c r="I30" s="1"/>
  <c r="H30" l="1"/>
  <c r="H31" s="1"/>
  <c r="G30"/>
  <c r="I31"/>
  <c r="G31"/>
  <c r="F31"/>
  <c r="E31"/>
  <c r="G32" s="1"/>
  <c r="L238"/>
  <c r="A769" i="34"/>
  <c r="B769"/>
  <c r="A770"/>
  <c r="B770"/>
  <c r="A750"/>
  <c r="B750"/>
  <c r="A773"/>
  <c r="B773"/>
  <c r="A774"/>
  <c r="B774"/>
  <c r="G227" i="35"/>
  <c r="H227" s="1"/>
  <c r="I227" s="1"/>
  <c r="G228"/>
  <c r="H228" s="1"/>
  <c r="I228" s="1"/>
  <c r="G229"/>
  <c r="H229" s="1"/>
  <c r="I229" s="1"/>
  <c r="I98"/>
  <c r="H98"/>
  <c r="G98"/>
  <c r="F98"/>
  <c r="E98"/>
  <c r="I72"/>
  <c r="H72"/>
  <c r="G72"/>
  <c r="F72"/>
  <c r="E72"/>
  <c r="A15" i="12"/>
  <c r="A20"/>
  <c r="A739" i="34"/>
  <c r="B739"/>
  <c r="A740"/>
  <c r="B740"/>
  <c r="A744"/>
  <c r="B744"/>
  <c r="A745"/>
  <c r="B745"/>
  <c r="A726"/>
  <c r="B726"/>
  <c r="A729"/>
  <c r="B729"/>
  <c r="I32" i="35" l="1"/>
  <c r="I99"/>
  <c r="G99"/>
  <c r="G73"/>
  <c r="I73"/>
  <c r="H64"/>
  <c r="F223"/>
  <c r="F169"/>
  <c r="F94"/>
  <c r="F212"/>
  <c r="F202"/>
  <c r="F85"/>
  <c r="F89" s="1"/>
  <c r="F83"/>
  <c r="F190"/>
  <c r="F180"/>
  <c r="F176"/>
  <c r="F155"/>
  <c r="F151"/>
  <c r="F132"/>
  <c r="F127"/>
  <c r="F78"/>
  <c r="F64"/>
  <c r="F60"/>
  <c r="F57"/>
  <c r="F52"/>
  <c r="F36"/>
  <c r="F43" s="1"/>
  <c r="F34"/>
  <c r="F28"/>
  <c r="F25"/>
  <c r="F22"/>
  <c r="F19"/>
  <c r="F68"/>
  <c r="F16"/>
  <c r="G169"/>
  <c r="H169"/>
  <c r="I169"/>
  <c r="K26" i="40" s="1"/>
  <c r="L26" s="1"/>
  <c r="G64" i="35"/>
  <c r="I64"/>
  <c r="E64"/>
  <c r="G65" l="1"/>
  <c r="F140"/>
  <c r="I65"/>
  <c r="C225"/>
  <c r="A1"/>
  <c r="C226"/>
  <c r="J226"/>
  <c r="J225"/>
  <c r="J227"/>
  <c r="J228"/>
  <c r="J229"/>
  <c r="I60" l="1"/>
  <c r="H60"/>
  <c r="G60"/>
  <c r="E60"/>
  <c r="B633" i="34"/>
  <c r="A14" i="12"/>
  <c r="A31"/>
  <c r="I223" i="35"/>
  <c r="K32" i="40" s="1"/>
  <c r="H223" i="35"/>
  <c r="G223"/>
  <c r="E223"/>
  <c r="I170"/>
  <c r="E169"/>
  <c r="G170" s="1"/>
  <c r="I57"/>
  <c r="H57"/>
  <c r="G57"/>
  <c r="E57"/>
  <c r="I94"/>
  <c r="H94"/>
  <c r="G94"/>
  <c r="E94"/>
  <c r="I212"/>
  <c r="K31" i="40" s="1"/>
  <c r="L31" s="1"/>
  <c r="H212" i="35"/>
  <c r="G212"/>
  <c r="E212"/>
  <c r="I202"/>
  <c r="H202"/>
  <c r="G202"/>
  <c r="E202"/>
  <c r="I89"/>
  <c r="G89"/>
  <c r="H89"/>
  <c r="I90" s="1"/>
  <c r="E89"/>
  <c r="G90" s="1"/>
  <c r="I83"/>
  <c r="H83"/>
  <c r="G83"/>
  <c r="E83"/>
  <c r="I190"/>
  <c r="K29" i="40" s="1"/>
  <c r="L29" s="1"/>
  <c r="G190" i="35"/>
  <c r="E190"/>
  <c r="H182"/>
  <c r="H190" s="1"/>
  <c r="I180"/>
  <c r="K28" i="40" s="1"/>
  <c r="L28" s="1"/>
  <c r="H180" i="35"/>
  <c r="G180"/>
  <c r="E180"/>
  <c r="I176"/>
  <c r="K27" i="40" s="1"/>
  <c r="L27" s="1"/>
  <c r="H176" i="35"/>
  <c r="G176"/>
  <c r="E176"/>
  <c r="I155"/>
  <c r="K25" i="40" s="1"/>
  <c r="L25" s="1"/>
  <c r="H155" i="35"/>
  <c r="G155"/>
  <c r="E155"/>
  <c r="I151"/>
  <c r="K24" i="40" s="1"/>
  <c r="L24" s="1"/>
  <c r="H151" i="35"/>
  <c r="G151"/>
  <c r="E151"/>
  <c r="I140"/>
  <c r="G140"/>
  <c r="H132"/>
  <c r="I78"/>
  <c r="H78"/>
  <c r="G78"/>
  <c r="E78"/>
  <c r="I125"/>
  <c r="K22" i="40" s="1"/>
  <c r="L22" s="1"/>
  <c r="H125" i="35"/>
  <c r="G125"/>
  <c r="E125"/>
  <c r="I52"/>
  <c r="H52"/>
  <c r="G52"/>
  <c r="E52"/>
  <c r="I43"/>
  <c r="G43"/>
  <c r="H36"/>
  <c r="H43" s="1"/>
  <c r="I44" s="1"/>
  <c r="E43"/>
  <c r="G44" s="1"/>
  <c r="I34"/>
  <c r="H34"/>
  <c r="G34"/>
  <c r="E34"/>
  <c r="I28"/>
  <c r="H28"/>
  <c r="G28"/>
  <c r="E28"/>
  <c r="I25"/>
  <c r="H25"/>
  <c r="G25"/>
  <c r="E25"/>
  <c r="I22"/>
  <c r="H22"/>
  <c r="G22"/>
  <c r="E22"/>
  <c r="I19"/>
  <c r="H19"/>
  <c r="G19"/>
  <c r="E19"/>
  <c r="I68"/>
  <c r="H68"/>
  <c r="G68"/>
  <c r="E68"/>
  <c r="I16"/>
  <c r="H16"/>
  <c r="G16"/>
  <c r="E16"/>
  <c r="K23" i="40" l="1"/>
  <c r="L23" s="1"/>
  <c r="K30"/>
  <c r="I203" i="35"/>
  <c r="G203"/>
  <c r="J30" i="40"/>
  <c r="L30" s="1"/>
  <c r="I213" i="35"/>
  <c r="I95"/>
  <c r="G58"/>
  <c r="I58"/>
  <c r="I224"/>
  <c r="A633" i="34"/>
  <c r="G95" i="35"/>
  <c r="G191"/>
  <c r="I84"/>
  <c r="G213"/>
  <c r="G224"/>
  <c r="G61"/>
  <c r="I61"/>
  <c r="I17"/>
  <c r="I69"/>
  <c r="I20"/>
  <c r="I23"/>
  <c r="I26"/>
  <c r="I29"/>
  <c r="I35"/>
  <c r="I53"/>
  <c r="I126"/>
  <c r="I79"/>
  <c r="E140"/>
  <c r="G141" s="1"/>
  <c r="G69"/>
  <c r="G20"/>
  <c r="G23"/>
  <c r="G26"/>
  <c r="G29"/>
  <c r="G35"/>
  <c r="G53"/>
  <c r="G126"/>
  <c r="G79"/>
  <c r="G152"/>
  <c r="I152"/>
  <c r="G156"/>
  <c r="I156"/>
  <c r="G177"/>
  <c r="I177"/>
  <c r="G181"/>
  <c r="I181"/>
  <c r="I191"/>
  <c r="G84"/>
  <c r="G17"/>
  <c r="K237" l="1"/>
  <c r="K238"/>
  <c r="A674" i="34"/>
  <c r="B674"/>
  <c r="A673"/>
  <c r="B673"/>
  <c r="B623"/>
  <c r="B624"/>
  <c r="B607"/>
  <c r="B606"/>
  <c r="A599"/>
  <c r="B599"/>
  <c r="A600"/>
  <c r="B600"/>
  <c r="A598"/>
  <c r="B598"/>
  <c r="A629"/>
  <c r="B629"/>
  <c r="A630"/>
  <c r="B630"/>
  <c r="I11"/>
  <c r="I15"/>
  <c r="I14"/>
  <c r="I13"/>
  <c r="I12"/>
  <c r="F37" i="12" l="1" a="1"/>
  <c r="F37" s="1"/>
  <c r="F38" a="1"/>
  <c r="F38" s="1"/>
  <c r="F39" a="1"/>
  <c r="F39" s="1"/>
  <c r="E37" a="1"/>
  <c r="E37" s="1"/>
  <c r="G37" s="1"/>
  <c r="E38" a="1"/>
  <c r="E38" s="1"/>
  <c r="G38" s="1"/>
  <c r="E39" a="1"/>
  <c r="E39" s="1"/>
  <c r="G39" s="1"/>
  <c r="G10" i="40" a="1"/>
  <c r="G10" s="1"/>
  <c r="H10" a="1"/>
  <c r="H10" s="1"/>
  <c r="F37" a="1"/>
  <c r="F37" s="1"/>
  <c r="F39" s="1"/>
  <c r="E35" i="15" a="1"/>
  <c r="E35" s="1"/>
  <c r="G37" i="40" a="1"/>
  <c r="G37" s="1"/>
  <c r="H17" a="1"/>
  <c r="H17" s="1"/>
  <c r="H11" a="1"/>
  <c r="H11" s="1"/>
  <c r="H13" a="1"/>
  <c r="H13" s="1"/>
  <c r="H22" a="1"/>
  <c r="H22" s="1"/>
  <c r="H24" a="1"/>
  <c r="H24" s="1"/>
  <c r="H26" a="1"/>
  <c r="H26" s="1"/>
  <c r="H28" a="1"/>
  <c r="H28" s="1"/>
  <c r="H19" a="1"/>
  <c r="H19" s="1"/>
  <c r="H31" a="1"/>
  <c r="H31" s="1"/>
  <c r="H8" a="1"/>
  <c r="H8" s="1"/>
  <c r="H32" a="1"/>
  <c r="H32" s="1"/>
  <c r="H21" a="1"/>
  <c r="H21" s="1"/>
  <c r="H9" a="1"/>
  <c r="H9" s="1"/>
  <c r="H16" a="1"/>
  <c r="H16" s="1"/>
  <c r="H34" a="1"/>
  <c r="H34" s="1"/>
  <c r="H6" a="1"/>
  <c r="H6" s="1"/>
  <c r="G17" a="1"/>
  <c r="G17" s="1"/>
  <c r="G11" a="1"/>
  <c r="G11" s="1"/>
  <c r="G13" a="1"/>
  <c r="G13" s="1"/>
  <c r="G22" a="1"/>
  <c r="G22" s="1"/>
  <c r="I22" s="1"/>
  <c r="G24" a="1"/>
  <c r="G24" s="1"/>
  <c r="I24" s="1"/>
  <c r="G26" a="1"/>
  <c r="G26" s="1"/>
  <c r="I26" s="1"/>
  <c r="G28" a="1"/>
  <c r="G28" s="1"/>
  <c r="I28" s="1"/>
  <c r="G19" a="1"/>
  <c r="G19" s="1"/>
  <c r="J19" s="1"/>
  <c r="G31" a="1"/>
  <c r="G31" s="1"/>
  <c r="I31" s="1"/>
  <c r="G8" a="1"/>
  <c r="G8" s="1"/>
  <c r="G32" a="1"/>
  <c r="G32" s="1"/>
  <c r="G21" a="1"/>
  <c r="G21" s="1"/>
  <c r="G9" a="1"/>
  <c r="G9" s="1"/>
  <c r="G16" a="1"/>
  <c r="G16" s="1"/>
  <c r="G34" a="1"/>
  <c r="G34" s="1"/>
  <c r="G6" a="1"/>
  <c r="G6" s="1"/>
  <c r="F35" i="12" a="1"/>
  <c r="F35" s="1"/>
  <c r="F36" a="1"/>
  <c r="F36" s="1"/>
  <c r="H7" i="40" a="1"/>
  <c r="H7" s="1"/>
  <c r="H12" a="1"/>
  <c r="H12" s="1"/>
  <c r="H18" a="1"/>
  <c r="H18" s="1"/>
  <c r="H23" a="1"/>
  <c r="H23" s="1"/>
  <c r="H25" a="1"/>
  <c r="H25" s="1"/>
  <c r="H27" a="1"/>
  <c r="H27" s="1"/>
  <c r="H29" a="1"/>
  <c r="H29" s="1"/>
  <c r="H30" a="1"/>
  <c r="H30" s="1"/>
  <c r="H20" a="1"/>
  <c r="H20" s="1"/>
  <c r="H15" a="1"/>
  <c r="H15" s="1"/>
  <c r="H14" a="1"/>
  <c r="H14" s="1"/>
  <c r="H5" a="1"/>
  <c r="H5" s="1"/>
  <c r="H33" a="1"/>
  <c r="H33" s="1"/>
  <c r="H35" a="1"/>
  <c r="H35" s="1"/>
  <c r="E4" i="12" a="1"/>
  <c r="E4" s="1"/>
  <c r="G7" i="40" a="1"/>
  <c r="G7" s="1"/>
  <c r="G12" a="1"/>
  <c r="G12" s="1"/>
  <c r="G18" a="1"/>
  <c r="G18" s="1"/>
  <c r="J18" s="1"/>
  <c r="G23" a="1"/>
  <c r="G23" s="1"/>
  <c r="I23" s="1"/>
  <c r="G25" a="1"/>
  <c r="G25" s="1"/>
  <c r="I25" s="1"/>
  <c r="G27" a="1"/>
  <c r="G27" s="1"/>
  <c r="I27" s="1"/>
  <c r="G29" a="1"/>
  <c r="G29" s="1"/>
  <c r="I29" s="1"/>
  <c r="G30" a="1"/>
  <c r="G30" s="1"/>
  <c r="I30" s="1"/>
  <c r="G20" a="1"/>
  <c r="G20" s="1"/>
  <c r="G15" a="1"/>
  <c r="G15" s="1"/>
  <c r="G14" a="1"/>
  <c r="G14" s="1"/>
  <c r="G5" a="1"/>
  <c r="G5" s="1"/>
  <c r="G33" a="1"/>
  <c r="G33" s="1"/>
  <c r="G35" a="1"/>
  <c r="G35" s="1"/>
  <c r="F4" i="12" a="1"/>
  <c r="F4" s="1"/>
  <c r="E35" a="1"/>
  <c r="E35" s="1"/>
  <c r="G35" s="1"/>
  <c r="E36" a="1"/>
  <c r="E36" s="1"/>
  <c r="G36" s="1"/>
  <c r="E18" i="15" a="1"/>
  <c r="E18" s="1"/>
  <c r="F40" i="40" s="1"/>
  <c r="F18" i="15" a="1"/>
  <c r="F18" s="1"/>
  <c r="F34" i="12" a="1"/>
  <c r="F34" s="1"/>
  <c r="E34" a="1"/>
  <c r="E34" s="1"/>
  <c r="E33" a="1"/>
  <c r="E33" s="1"/>
  <c r="F33" a="1"/>
  <c r="F33" s="1"/>
  <c r="E32" a="1"/>
  <c r="E32" s="1"/>
  <c r="F32" a="1"/>
  <c r="F32" s="1"/>
  <c r="E226" i="35" a="1"/>
  <c r="E226" s="1"/>
  <c r="E15" i="12" a="1"/>
  <c r="E15" s="1"/>
  <c r="E20" a="1"/>
  <c r="E20" s="1"/>
  <c r="F15" a="1"/>
  <c r="F15" s="1"/>
  <c r="F20" a="1"/>
  <c r="F20" s="1"/>
  <c r="E225" i="35" a="1"/>
  <c r="E225" s="1"/>
  <c r="F225" a="1"/>
  <c r="F225" s="1"/>
  <c r="G225" s="1"/>
  <c r="H225" s="1"/>
  <c r="I225" s="1"/>
  <c r="F226" a="1"/>
  <c r="F226" s="1"/>
  <c r="G226" s="1"/>
  <c r="H226" s="1"/>
  <c r="I226" s="1"/>
  <c r="F31" i="12" a="1"/>
  <c r="F31" s="1"/>
  <c r="E31" a="1"/>
  <c r="E31" s="1"/>
  <c r="F14" a="1"/>
  <c r="F14" s="1"/>
  <c r="E14" a="1"/>
  <c r="E14" s="1"/>
  <c r="B15" i="34"/>
  <c r="A15"/>
  <c r="E16"/>
  <c r="E20"/>
  <c r="B20"/>
  <c r="A20"/>
  <c r="E19"/>
  <c r="B19"/>
  <c r="A19"/>
  <c r="E18"/>
  <c r="B18"/>
  <c r="A18"/>
  <c r="E17"/>
  <c r="B17"/>
  <c r="A17"/>
  <c r="B16"/>
  <c r="A16"/>
  <c r="A601"/>
  <c r="B601"/>
  <c r="A602"/>
  <c r="B602"/>
  <c r="A597"/>
  <c r="B597"/>
  <c r="A606"/>
  <c r="A607"/>
  <c r="A604"/>
  <c r="B604"/>
  <c r="A605"/>
  <c r="B605"/>
  <c r="A622"/>
  <c r="B622"/>
  <c r="A623"/>
  <c r="A624"/>
  <c r="A625"/>
  <c r="B625"/>
  <c r="A626"/>
  <c r="B626"/>
  <c r="A627"/>
  <c r="B627"/>
  <c r="A628"/>
  <c r="B628"/>
  <c r="A653"/>
  <c r="B653"/>
  <c r="A656"/>
  <c r="B656"/>
  <c r="A657"/>
  <c r="B657"/>
  <c r="A654"/>
  <c r="B654"/>
  <c r="A655"/>
  <c r="B655"/>
  <c r="A669"/>
  <c r="B669"/>
  <c r="A670"/>
  <c r="B670"/>
  <c r="A671"/>
  <c r="B671"/>
  <c r="A672"/>
  <c r="B672"/>
  <c r="A675"/>
  <c r="B675"/>
  <c r="A676"/>
  <c r="B676"/>
  <c r="A677"/>
  <c r="B677"/>
  <c r="A681"/>
  <c r="B681"/>
  <c r="A678"/>
  <c r="B678"/>
  <c r="A680"/>
  <c r="B680"/>
  <c r="A679"/>
  <c r="B679"/>
  <c r="A682"/>
  <c r="B682"/>
  <c r="A687"/>
  <c r="B687"/>
  <c r="A688"/>
  <c r="B688"/>
  <c r="A689"/>
  <c r="B689"/>
  <c r="A690"/>
  <c r="B690"/>
  <c r="A691"/>
  <c r="B691"/>
  <c r="A694"/>
  <c r="B694"/>
  <c r="A695"/>
  <c r="B695"/>
  <c r="A692"/>
  <c r="B692"/>
  <c r="A693"/>
  <c r="B693"/>
  <c r="A697"/>
  <c r="B697"/>
  <c r="A698"/>
  <c r="B698"/>
  <c r="A696"/>
  <c r="B696"/>
  <c r="A699"/>
  <c r="B699"/>
  <c r="A700"/>
  <c r="B700"/>
  <c r="A702"/>
  <c r="B702"/>
  <c r="A701"/>
  <c r="B701"/>
  <c r="A704"/>
  <c r="B704"/>
  <c r="A703"/>
  <c r="B703"/>
  <c r="A705"/>
  <c r="B705"/>
  <c r="A706"/>
  <c r="B706"/>
  <c r="A632"/>
  <c r="B632"/>
  <c r="A634"/>
  <c r="B634"/>
  <c r="A635"/>
  <c r="B635"/>
  <c r="A636"/>
  <c r="B636"/>
  <c r="A640"/>
  <c r="B640"/>
  <c r="A637"/>
  <c r="B637"/>
  <c r="A638"/>
  <c r="B638"/>
  <c r="A639"/>
  <c r="B639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68"/>
  <c r="B668"/>
  <c r="A658"/>
  <c r="B658"/>
  <c r="A659"/>
  <c r="B659"/>
  <c r="A660"/>
  <c r="B660"/>
  <c r="A663"/>
  <c r="B663"/>
  <c r="A664"/>
  <c r="B664"/>
  <c r="A665"/>
  <c r="B665"/>
  <c r="A666"/>
  <c r="B666"/>
  <c r="A667"/>
  <c r="B667"/>
  <c r="A661"/>
  <c r="B661"/>
  <c r="A662"/>
  <c r="B662"/>
  <c r="A684"/>
  <c r="B684"/>
  <c r="A685"/>
  <c r="B685"/>
  <c r="A686"/>
  <c r="B686"/>
  <c r="A683"/>
  <c r="B683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23"/>
  <c r="B723"/>
  <c r="A721"/>
  <c r="B721"/>
  <c r="A722"/>
  <c r="B722"/>
  <c r="A720"/>
  <c r="B720"/>
  <c r="A724"/>
  <c r="B724"/>
  <c r="A725"/>
  <c r="B725"/>
  <c r="A719"/>
  <c r="B719"/>
  <c r="A718"/>
  <c r="B718"/>
  <c r="A728"/>
  <c r="B728"/>
  <c r="A727"/>
  <c r="B727"/>
  <c r="A730"/>
  <c r="B730"/>
  <c r="A731"/>
  <c r="B731"/>
  <c r="A732"/>
  <c r="B732"/>
  <c r="A733"/>
  <c r="B733"/>
  <c r="A734"/>
  <c r="B734"/>
  <c r="A735"/>
  <c r="B735"/>
  <c r="A742"/>
  <c r="B742"/>
  <c r="A743"/>
  <c r="B743"/>
  <c r="A751"/>
  <c r="B751"/>
  <c r="A752"/>
  <c r="B752"/>
  <c r="A753"/>
  <c r="B753"/>
  <c r="A736"/>
  <c r="B736"/>
  <c r="A737"/>
  <c r="B737"/>
  <c r="A738"/>
  <c r="B738"/>
  <c r="A746"/>
  <c r="B746"/>
  <c r="A747"/>
  <c r="B747"/>
  <c r="A748"/>
  <c r="B748"/>
  <c r="A749"/>
  <c r="B749"/>
  <c r="A754"/>
  <c r="B754"/>
  <c r="A755"/>
  <c r="B755"/>
  <c r="A756"/>
  <c r="B756"/>
  <c r="A760"/>
  <c r="B760"/>
  <c r="A761"/>
  <c r="B761"/>
  <c r="A762"/>
  <c r="B762"/>
  <c r="A763"/>
  <c r="B763"/>
  <c r="A757"/>
  <c r="B757"/>
  <c r="A758"/>
  <c r="B758"/>
  <c r="A759"/>
  <c r="B759"/>
  <c r="A764"/>
  <c r="B764"/>
  <c r="A765"/>
  <c r="B765"/>
  <c r="A766"/>
  <c r="B766"/>
  <c r="A767"/>
  <c r="B767"/>
  <c r="A768"/>
  <c r="B768"/>
  <c r="A778"/>
  <c r="B778"/>
  <c r="A776"/>
  <c r="B776"/>
  <c r="A777"/>
  <c r="B777"/>
  <c r="A775"/>
  <c r="B775"/>
  <c r="A779"/>
  <c r="B779"/>
  <c r="A780"/>
  <c r="B780"/>
  <c r="A783"/>
  <c r="B783"/>
  <c r="A785"/>
  <c r="B785"/>
  <c r="A786"/>
  <c r="B786"/>
  <c r="A787"/>
  <c r="B787"/>
  <c r="A788"/>
  <c r="B788"/>
  <c r="A789"/>
  <c r="B789"/>
  <c r="A790"/>
  <c r="B790"/>
  <c r="A791"/>
  <c r="B791"/>
  <c r="A794"/>
  <c r="B794"/>
  <c r="A806"/>
  <c r="B806"/>
  <c r="A810"/>
  <c r="B810"/>
  <c r="A811"/>
  <c r="B811"/>
  <c r="A812"/>
  <c r="B812"/>
  <c r="A813"/>
  <c r="B813"/>
  <c r="A814"/>
  <c r="B814"/>
  <c r="A815"/>
  <c r="B815"/>
  <c r="A808"/>
  <c r="B808"/>
  <c r="A809"/>
  <c r="B809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1151"/>
  <c r="B1151"/>
  <c r="A587"/>
  <c r="A588"/>
  <c r="A591"/>
  <c r="A592"/>
  <c r="A593"/>
  <c r="A594"/>
  <c r="A595"/>
  <c r="A596"/>
  <c r="A603"/>
  <c r="A616"/>
  <c r="A608"/>
  <c r="A609"/>
  <c r="A610"/>
  <c r="A611"/>
  <c r="A612"/>
  <c r="A613"/>
  <c r="A620"/>
  <c r="A617"/>
  <c r="A618"/>
  <c r="A619"/>
  <c r="A621"/>
  <c r="A13" i="12"/>
  <c r="A12"/>
  <c r="A30"/>
  <c r="B588" i="34"/>
  <c r="B591"/>
  <c r="B592"/>
  <c r="B593"/>
  <c r="B594"/>
  <c r="B595"/>
  <c r="B596"/>
  <c r="B603"/>
  <c r="B616"/>
  <c r="B608"/>
  <c r="B609"/>
  <c r="B610"/>
  <c r="B611"/>
  <c r="B612"/>
  <c r="B613"/>
  <c r="B620"/>
  <c r="B617"/>
  <c r="B618"/>
  <c r="B619"/>
  <c r="B621"/>
  <c r="A29" i="12"/>
  <c r="A11"/>
  <c r="A579" i="34"/>
  <c r="B579"/>
  <c r="A614"/>
  <c r="B614"/>
  <c r="A615"/>
  <c r="B615"/>
  <c r="A589"/>
  <c r="B589"/>
  <c r="A590"/>
  <c r="B590"/>
  <c r="A530"/>
  <c r="B530"/>
  <c r="A539"/>
  <c r="B539"/>
  <c r="A543"/>
  <c r="B543"/>
  <c r="A497"/>
  <c r="B497"/>
  <c r="A542"/>
  <c r="B542"/>
  <c r="A540"/>
  <c r="B540"/>
  <c r="A541"/>
  <c r="B541"/>
  <c r="A483"/>
  <c r="B483"/>
  <c r="A482"/>
  <c r="B482"/>
  <c r="B525"/>
  <c r="A525"/>
  <c r="B524"/>
  <c r="A524"/>
  <c r="B523"/>
  <c r="A523"/>
  <c r="A11"/>
  <c r="A28" i="12"/>
  <c r="H39" l="1"/>
  <c r="H37"/>
  <c r="H38"/>
  <c r="I5" i="40"/>
  <c r="J35"/>
  <c r="I35"/>
  <c r="J15"/>
  <c r="I15"/>
  <c r="J33"/>
  <c r="I33"/>
  <c r="J14"/>
  <c r="I14"/>
  <c r="J20"/>
  <c r="I20"/>
  <c r="I18"/>
  <c r="J7"/>
  <c r="I7"/>
  <c r="J6"/>
  <c r="I6"/>
  <c r="J16"/>
  <c r="I16"/>
  <c r="J21"/>
  <c r="I21"/>
  <c r="J8"/>
  <c r="I8"/>
  <c r="I19"/>
  <c r="J11"/>
  <c r="I11"/>
  <c r="J10"/>
  <c r="I10"/>
  <c r="J12"/>
  <c r="I12"/>
  <c r="J34"/>
  <c r="I34"/>
  <c r="J9"/>
  <c r="I9"/>
  <c r="J32"/>
  <c r="L32" s="1"/>
  <c r="I32"/>
  <c r="J13"/>
  <c r="I13"/>
  <c r="J17"/>
  <c r="I17"/>
  <c r="K35"/>
  <c r="K5"/>
  <c r="K15"/>
  <c r="K12"/>
  <c r="K6"/>
  <c r="K16"/>
  <c r="K21"/>
  <c r="K8"/>
  <c r="K19"/>
  <c r="K11"/>
  <c r="J5"/>
  <c r="G39"/>
  <c r="K33"/>
  <c r="K14"/>
  <c r="K20"/>
  <c r="K18"/>
  <c r="K7"/>
  <c r="K34"/>
  <c r="K9"/>
  <c r="K13"/>
  <c r="K17"/>
  <c r="K10"/>
  <c r="N37"/>
  <c r="N39" s="1"/>
  <c r="F41"/>
  <c r="J37"/>
  <c r="H37"/>
  <c r="K37"/>
  <c r="H35" i="12"/>
  <c r="H36"/>
  <c r="G18" i="15"/>
  <c r="E19"/>
  <c r="H18"/>
  <c r="F19"/>
  <c r="H19" s="1"/>
  <c r="G34" i="12"/>
  <c r="H34"/>
  <c r="G33"/>
  <c r="H33"/>
  <c r="G32"/>
  <c r="H32"/>
  <c r="B14" i="14"/>
  <c r="C14"/>
  <c r="A14" s="1"/>
  <c r="E14"/>
  <c r="H14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H20" i="12"/>
  <c r="H15"/>
  <c r="C44" i="1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G15" i="12"/>
  <c r="G20"/>
  <c r="F230" i="35"/>
  <c r="F232" s="1"/>
  <c r="H230"/>
  <c r="G230"/>
  <c r="G232" s="1"/>
  <c r="E230"/>
  <c r="G31" i="12"/>
  <c r="H31"/>
  <c r="G14"/>
  <c r="H14"/>
  <c r="B33" i="14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I39" i="40" l="1"/>
  <c r="K39"/>
  <c r="J39"/>
  <c r="L5"/>
  <c r="L17"/>
  <c r="L13"/>
  <c r="L9"/>
  <c r="L34"/>
  <c r="L12"/>
  <c r="L10"/>
  <c r="L11"/>
  <c r="L19"/>
  <c r="L8"/>
  <c r="L21"/>
  <c r="L16"/>
  <c r="L6"/>
  <c r="L7"/>
  <c r="L18"/>
  <c r="L20"/>
  <c r="L14"/>
  <c r="L33"/>
  <c r="L15"/>
  <c r="L35"/>
  <c r="H39"/>
  <c r="G19" i="15"/>
  <c r="J14" i="14"/>
  <c r="I14"/>
  <c r="H232" i="35"/>
  <c r="I230"/>
  <c r="I232" s="1"/>
  <c r="K236"/>
  <c r="E232"/>
  <c r="L39" i="40" l="1"/>
  <c r="I15" i="14"/>
  <c r="J15"/>
  <c r="I231" i="35"/>
  <c r="B12" i="34"/>
  <c r="B10"/>
  <c r="B13"/>
  <c r="B14"/>
  <c r="B21"/>
  <c r="B22"/>
  <c r="B24"/>
  <c r="B23"/>
  <c r="B25"/>
  <c r="B26"/>
  <c r="B27"/>
  <c r="B28"/>
  <c r="B29"/>
  <c r="B30"/>
  <c r="B33"/>
  <c r="B35"/>
  <c r="B32"/>
  <c r="B34"/>
  <c r="B37"/>
  <c r="B36"/>
  <c r="B38"/>
  <c r="B40"/>
  <c r="B39"/>
  <c r="B43"/>
  <c r="B45"/>
  <c r="B41"/>
  <c r="B42"/>
  <c r="B44"/>
  <c r="B46"/>
  <c r="B47"/>
  <c r="B50"/>
  <c r="B49"/>
  <c r="B51"/>
  <c r="B52"/>
  <c r="B53"/>
  <c r="B54"/>
  <c r="B57"/>
  <c r="B56"/>
  <c r="B58"/>
  <c r="B59"/>
  <c r="B60"/>
  <c r="B61"/>
  <c r="B64"/>
  <c r="B68"/>
  <c r="B63"/>
  <c r="B67"/>
  <c r="B69"/>
  <c r="B70"/>
  <c r="B73"/>
  <c r="B72"/>
  <c r="B74"/>
  <c r="B75"/>
  <c r="B76"/>
  <c r="B77"/>
  <c r="B78"/>
  <c r="B79"/>
  <c r="B82"/>
  <c r="B81"/>
  <c r="B83"/>
  <c r="B86"/>
  <c r="B88"/>
  <c r="B85"/>
  <c r="B87"/>
  <c r="B89"/>
  <c r="B90"/>
  <c r="B91"/>
  <c r="B94"/>
  <c r="B96"/>
  <c r="B93"/>
  <c r="B95"/>
  <c r="B97"/>
  <c r="B98"/>
  <c r="B99"/>
  <c r="B100"/>
  <c r="B102"/>
  <c r="B104"/>
  <c r="B106"/>
  <c r="B105"/>
  <c r="B103"/>
  <c r="B101"/>
  <c r="B108"/>
  <c r="B110"/>
  <c r="B107"/>
  <c r="B109"/>
  <c r="B111"/>
  <c r="B112"/>
  <c r="B113"/>
  <c r="B114"/>
  <c r="B117"/>
  <c r="B116"/>
  <c r="B120"/>
  <c r="B122"/>
  <c r="B124"/>
  <c r="B119"/>
  <c r="B121"/>
  <c r="B123"/>
  <c r="B125"/>
  <c r="B126"/>
  <c r="B127"/>
  <c r="B128"/>
  <c r="B129"/>
  <c r="B132"/>
  <c r="B130"/>
  <c r="B131"/>
  <c r="B133"/>
  <c r="B134"/>
  <c r="B137"/>
  <c r="B135"/>
  <c r="B136"/>
  <c r="B139"/>
  <c r="B141"/>
  <c r="B143"/>
  <c r="B142"/>
  <c r="B140"/>
  <c r="B138"/>
  <c r="B144"/>
  <c r="B146"/>
  <c r="B148"/>
  <c r="B150"/>
  <c r="B149"/>
  <c r="B147"/>
  <c r="B145"/>
  <c r="B151"/>
  <c r="B154"/>
  <c r="B153"/>
  <c r="B156"/>
  <c r="B158"/>
  <c r="B160"/>
  <c r="B159"/>
  <c r="B157"/>
  <c r="B155"/>
  <c r="B161"/>
  <c r="B162"/>
  <c r="B165"/>
  <c r="B164"/>
  <c r="B167"/>
  <c r="B169"/>
  <c r="B171"/>
  <c r="B170"/>
  <c r="B168"/>
  <c r="B166"/>
  <c r="B172"/>
  <c r="B173"/>
  <c r="B176"/>
  <c r="B174"/>
  <c r="B175"/>
  <c r="B177"/>
  <c r="B180"/>
  <c r="B178"/>
  <c r="B179"/>
  <c r="B182"/>
  <c r="B184"/>
  <c r="B186"/>
  <c r="B185"/>
  <c r="B183"/>
  <c r="B181"/>
  <c r="B188"/>
  <c r="B190"/>
  <c r="B192"/>
  <c r="B191"/>
  <c r="B189"/>
  <c r="B187"/>
  <c r="B194"/>
  <c r="B193"/>
  <c r="B196"/>
  <c r="B198"/>
  <c r="B200"/>
  <c r="B199"/>
  <c r="B197"/>
  <c r="B195"/>
  <c r="B202"/>
  <c r="B204"/>
  <c r="B206"/>
  <c r="B205"/>
  <c r="B203"/>
  <c r="B201"/>
  <c r="B207"/>
  <c r="B208"/>
  <c r="B211"/>
  <c r="B214"/>
  <c r="B210"/>
  <c r="B213"/>
  <c r="B215"/>
  <c r="B216"/>
  <c r="B218"/>
  <c r="B217"/>
  <c r="B221"/>
  <c r="B223"/>
  <c r="B222"/>
  <c r="B226"/>
  <c r="B224"/>
  <c r="B225"/>
  <c r="B227"/>
  <c r="B230"/>
  <c r="B233"/>
  <c r="B229"/>
  <c r="B232"/>
  <c r="B234"/>
  <c r="B237"/>
  <c r="B236"/>
  <c r="B239"/>
  <c r="B241"/>
  <c r="B243"/>
  <c r="B242"/>
  <c r="B240"/>
  <c r="B238"/>
  <c r="B244"/>
  <c r="B247"/>
  <c r="B246"/>
  <c r="B248"/>
  <c r="B251"/>
  <c r="B250"/>
  <c r="B254"/>
  <c r="B255"/>
  <c r="B258"/>
  <c r="B257"/>
  <c r="B259"/>
  <c r="B260"/>
  <c r="B263"/>
  <c r="B262"/>
  <c r="B266"/>
  <c r="B265"/>
  <c r="B269"/>
  <c r="B271"/>
  <c r="B273"/>
  <c r="B275"/>
  <c r="B274"/>
  <c r="B272"/>
  <c r="B270"/>
  <c r="B278"/>
  <c r="B277"/>
  <c r="B280"/>
  <c r="B279"/>
  <c r="B282"/>
  <c r="B285"/>
  <c r="B284"/>
  <c r="B286"/>
  <c r="B287"/>
  <c r="B290"/>
  <c r="B289"/>
  <c r="B291"/>
  <c r="B292"/>
  <c r="B295"/>
  <c r="B294"/>
  <c r="B296"/>
  <c r="B299"/>
  <c r="B298"/>
  <c r="B300"/>
  <c r="B303"/>
  <c r="B306"/>
  <c r="B309"/>
  <c r="B312"/>
  <c r="B314"/>
  <c r="B302"/>
  <c r="B305"/>
  <c r="B308"/>
  <c r="B311"/>
  <c r="B313"/>
  <c r="B317"/>
  <c r="B322"/>
  <c r="B321"/>
  <c r="B323"/>
  <c r="B332"/>
  <c r="B324"/>
  <c r="B328"/>
  <c r="B331"/>
  <c r="B325"/>
  <c r="B327"/>
  <c r="B330"/>
  <c r="B334"/>
  <c r="B333"/>
  <c r="B335"/>
  <c r="B339"/>
  <c r="B341"/>
  <c r="B343"/>
  <c r="B337"/>
  <c r="B342"/>
  <c r="B340"/>
  <c r="B338"/>
  <c r="B336"/>
  <c r="B346"/>
  <c r="B345"/>
  <c r="B349"/>
  <c r="B348"/>
  <c r="B354"/>
  <c r="B353"/>
  <c r="B355"/>
  <c r="B356"/>
  <c r="B357"/>
  <c r="B362"/>
  <c r="B365"/>
  <c r="B364"/>
  <c r="B366"/>
  <c r="B369"/>
  <c r="B372"/>
  <c r="B375"/>
  <c r="B368"/>
  <c r="B371"/>
  <c r="B374"/>
  <c r="B379"/>
  <c r="B378"/>
  <c r="B380"/>
  <c r="B387"/>
  <c r="B381"/>
  <c r="B386"/>
  <c r="B382"/>
  <c r="B383"/>
  <c r="B385"/>
  <c r="B388"/>
  <c r="B390"/>
  <c r="B394"/>
  <c r="B391"/>
  <c r="B392"/>
  <c r="B393"/>
  <c r="B396"/>
  <c r="B400"/>
  <c r="B398"/>
  <c r="B395"/>
  <c r="B397"/>
  <c r="B399"/>
  <c r="B401"/>
  <c r="B402"/>
  <c r="B404"/>
  <c r="B403"/>
  <c r="B407"/>
  <c r="B406"/>
  <c r="B408"/>
  <c r="B410"/>
  <c r="B409"/>
  <c r="B413"/>
  <c r="B411"/>
  <c r="B412"/>
  <c r="B419"/>
  <c r="B414"/>
  <c r="B415"/>
  <c r="B416"/>
  <c r="B417"/>
  <c r="B418"/>
  <c r="B420"/>
  <c r="B421"/>
  <c r="B424"/>
  <c r="B427"/>
  <c r="B430"/>
  <c r="B423"/>
  <c r="B426"/>
  <c r="B429"/>
  <c r="B431"/>
  <c r="B432"/>
  <c r="B433"/>
  <c r="B434"/>
  <c r="B435"/>
  <c r="B436"/>
  <c r="B437"/>
  <c r="B438"/>
  <c r="B439"/>
  <c r="B440"/>
  <c r="B448"/>
  <c r="B450"/>
  <c r="B441"/>
  <c r="B442"/>
  <c r="B443"/>
  <c r="B444"/>
  <c r="B445"/>
  <c r="B446"/>
  <c r="B447"/>
  <c r="B449"/>
  <c r="B451"/>
  <c r="B455"/>
  <c r="B454"/>
  <c r="B453"/>
  <c r="B459"/>
  <c r="B458"/>
  <c r="B461"/>
  <c r="B460"/>
  <c r="B466"/>
  <c r="B465"/>
  <c r="B464"/>
  <c r="B463"/>
  <c r="B468"/>
  <c r="B467"/>
  <c r="B471"/>
  <c r="B470"/>
  <c r="B473"/>
  <c r="B472"/>
  <c r="B480"/>
  <c r="B481"/>
  <c r="B474"/>
  <c r="B475"/>
  <c r="B476"/>
  <c r="B477"/>
  <c r="B478"/>
  <c r="B479"/>
  <c r="B487"/>
  <c r="B489"/>
  <c r="B485"/>
  <c r="B488"/>
  <c r="B490"/>
  <c r="B493"/>
  <c r="B496"/>
  <c r="B492"/>
  <c r="B495"/>
  <c r="B500"/>
  <c r="B499"/>
  <c r="B501"/>
  <c r="B504"/>
  <c r="B503"/>
  <c r="B508"/>
  <c r="B507"/>
  <c r="B506"/>
  <c r="B511"/>
  <c r="B510"/>
  <c r="B512"/>
  <c r="B532"/>
  <c r="B520"/>
  <c r="B521"/>
  <c r="B522"/>
  <c r="B513"/>
  <c r="B514"/>
  <c r="B515"/>
  <c r="B516"/>
  <c r="B517"/>
  <c r="B518"/>
  <c r="B519"/>
  <c r="B531"/>
  <c r="B533"/>
  <c r="B534"/>
  <c r="B535"/>
  <c r="B536"/>
  <c r="B537"/>
  <c r="B538"/>
  <c r="B526"/>
  <c r="B527"/>
  <c r="B528"/>
  <c r="B529"/>
  <c r="B578"/>
  <c r="B576"/>
  <c r="B577"/>
  <c r="B574"/>
  <c r="B575"/>
  <c r="B544"/>
  <c r="B545"/>
  <c r="B546"/>
  <c r="B547"/>
  <c r="B548"/>
  <c r="B549"/>
  <c r="B553"/>
  <c r="B550"/>
  <c r="B551"/>
  <c r="B552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80"/>
  <c r="B581"/>
  <c r="B582"/>
  <c r="B583"/>
  <c r="B584"/>
  <c r="B585"/>
  <c r="B586"/>
  <c r="B587"/>
  <c r="B11"/>
  <c r="A12"/>
  <c r="A10"/>
  <c r="A13"/>
  <c r="A14"/>
  <c r="A21"/>
  <c r="A22"/>
  <c r="A24"/>
  <c r="A23"/>
  <c r="A25"/>
  <c r="A26"/>
  <c r="A27"/>
  <c r="A28"/>
  <c r="A29"/>
  <c r="A30"/>
  <c r="A33"/>
  <c r="A35"/>
  <c r="A32"/>
  <c r="A34"/>
  <c r="A37"/>
  <c r="A36"/>
  <c r="A38"/>
  <c r="A40"/>
  <c r="A39"/>
  <c r="A43"/>
  <c r="A45"/>
  <c r="A41"/>
  <c r="A42"/>
  <c r="A44"/>
  <c r="A46"/>
  <c r="A47"/>
  <c r="A50"/>
  <c r="A49"/>
  <c r="A51"/>
  <c r="A52"/>
  <c r="A53"/>
  <c r="A54"/>
  <c r="A57"/>
  <c r="A56"/>
  <c r="A58"/>
  <c r="A59"/>
  <c r="A60"/>
  <c r="A61"/>
  <c r="A64"/>
  <c r="A68"/>
  <c r="A63"/>
  <c r="A67"/>
  <c r="A69"/>
  <c r="A70"/>
  <c r="A73"/>
  <c r="A72"/>
  <c r="A74"/>
  <c r="A75"/>
  <c r="A76"/>
  <c r="A77"/>
  <c r="A78"/>
  <c r="A79"/>
  <c r="A82"/>
  <c r="A81"/>
  <c r="A83"/>
  <c r="A86"/>
  <c r="A88"/>
  <c r="A85"/>
  <c r="A87"/>
  <c r="A89"/>
  <c r="A90"/>
  <c r="A91"/>
  <c r="A94"/>
  <c r="A96"/>
  <c r="A93"/>
  <c r="A95"/>
  <c r="A97"/>
  <c r="A98"/>
  <c r="A99"/>
  <c r="A100"/>
  <c r="A102"/>
  <c r="A104"/>
  <c r="A106"/>
  <c r="A105"/>
  <c r="A103"/>
  <c r="A101"/>
  <c r="A108"/>
  <c r="A110"/>
  <c r="A107"/>
  <c r="A109"/>
  <c r="A111"/>
  <c r="A112"/>
  <c r="A113"/>
  <c r="A114"/>
  <c r="A117"/>
  <c r="A116"/>
  <c r="A120"/>
  <c r="A122"/>
  <c r="A124"/>
  <c r="A119"/>
  <c r="A121"/>
  <c r="A123"/>
  <c r="A125"/>
  <c r="A126"/>
  <c r="A127"/>
  <c r="A128"/>
  <c r="A129"/>
  <c r="A132"/>
  <c r="A130"/>
  <c r="A131"/>
  <c r="A133"/>
  <c r="A134"/>
  <c r="A137"/>
  <c r="A135"/>
  <c r="A136"/>
  <c r="A139"/>
  <c r="A141"/>
  <c r="A143"/>
  <c r="A142"/>
  <c r="A140"/>
  <c r="A138"/>
  <c r="A144"/>
  <c r="A146"/>
  <c r="A148"/>
  <c r="A150"/>
  <c r="A149"/>
  <c r="A147"/>
  <c r="A145"/>
  <c r="A151"/>
  <c r="A154"/>
  <c r="A153"/>
  <c r="A156"/>
  <c r="A158"/>
  <c r="A160"/>
  <c r="A159"/>
  <c r="A157"/>
  <c r="A155"/>
  <c r="A161"/>
  <c r="A162"/>
  <c r="A165"/>
  <c r="A164"/>
  <c r="A167"/>
  <c r="A169"/>
  <c r="A171"/>
  <c r="A170"/>
  <c r="A168"/>
  <c r="A166"/>
  <c r="A172"/>
  <c r="A173"/>
  <c r="A176"/>
  <c r="A174"/>
  <c r="A175"/>
  <c r="A177"/>
  <c r="A180"/>
  <c r="A178"/>
  <c r="A179"/>
  <c r="A182"/>
  <c r="A184"/>
  <c r="A186"/>
  <c r="A185"/>
  <c r="A183"/>
  <c r="A181"/>
  <c r="A188"/>
  <c r="A190"/>
  <c r="A192"/>
  <c r="A191"/>
  <c r="A189"/>
  <c r="A187"/>
  <c r="A194"/>
  <c r="A193"/>
  <c r="A196"/>
  <c r="A198"/>
  <c r="A200"/>
  <c r="A199"/>
  <c r="A197"/>
  <c r="A195"/>
  <c r="A202"/>
  <c r="A204"/>
  <c r="A206"/>
  <c r="A205"/>
  <c r="A203"/>
  <c r="A201"/>
  <c r="A207"/>
  <c r="A208"/>
  <c r="A211"/>
  <c r="A214"/>
  <c r="A210"/>
  <c r="A213"/>
  <c r="A215"/>
  <c r="A216"/>
  <c r="A218"/>
  <c r="A217"/>
  <c r="A221"/>
  <c r="A223"/>
  <c r="A222"/>
  <c r="A226"/>
  <c r="A224"/>
  <c r="A225"/>
  <c r="A227"/>
  <c r="A230"/>
  <c r="A233"/>
  <c r="A229"/>
  <c r="A232"/>
  <c r="A234"/>
  <c r="A237"/>
  <c r="A236"/>
  <c r="A239"/>
  <c r="A241"/>
  <c r="A243"/>
  <c r="A242"/>
  <c r="A240"/>
  <c r="A238"/>
  <c r="A244"/>
  <c r="A247"/>
  <c r="A246"/>
  <c r="A248"/>
  <c r="A251"/>
  <c r="A250"/>
  <c r="A254"/>
  <c r="A255"/>
  <c r="A258"/>
  <c r="A257"/>
  <c r="A259"/>
  <c r="A260"/>
  <c r="A263"/>
  <c r="A262"/>
  <c r="A266"/>
  <c r="A265"/>
  <c r="A269"/>
  <c r="A271"/>
  <c r="A273"/>
  <c r="A275"/>
  <c r="A274"/>
  <c r="A272"/>
  <c r="A270"/>
  <c r="A278"/>
  <c r="A277"/>
  <c r="A280"/>
  <c r="A279"/>
  <c r="A282"/>
  <c r="A285"/>
  <c r="A284"/>
  <c r="A286"/>
  <c r="A287"/>
  <c r="A290"/>
  <c r="A289"/>
  <c r="A291"/>
  <c r="A292"/>
  <c r="A295"/>
  <c r="A294"/>
  <c r="A296"/>
  <c r="A299"/>
  <c r="A298"/>
  <c r="A300"/>
  <c r="A303"/>
  <c r="A306"/>
  <c r="A309"/>
  <c r="A312"/>
  <c r="A314"/>
  <c r="A302"/>
  <c r="A305"/>
  <c r="A308"/>
  <c r="A311"/>
  <c r="A313"/>
  <c r="A317"/>
  <c r="A322"/>
  <c r="A321"/>
  <c r="A323"/>
  <c r="A332"/>
  <c r="A324"/>
  <c r="A328"/>
  <c r="A331"/>
  <c r="A325"/>
  <c r="A327"/>
  <c r="A330"/>
  <c r="A334"/>
  <c r="A333"/>
  <c r="A335"/>
  <c r="A339"/>
  <c r="A341"/>
  <c r="A343"/>
  <c r="A337"/>
  <c r="A342"/>
  <c r="A340"/>
  <c r="A338"/>
  <c r="A336"/>
  <c r="A346"/>
  <c r="A345"/>
  <c r="A349"/>
  <c r="A348"/>
  <c r="A354"/>
  <c r="A353"/>
  <c r="A355"/>
  <c r="A356"/>
  <c r="A357"/>
  <c r="A362"/>
  <c r="A365"/>
  <c r="A364"/>
  <c r="A366"/>
  <c r="A369"/>
  <c r="A372"/>
  <c r="A375"/>
  <c r="A368"/>
  <c r="A371"/>
  <c r="A374"/>
  <c r="A379"/>
  <c r="A378"/>
  <c r="A380"/>
  <c r="A387"/>
  <c r="A381"/>
  <c r="A386"/>
  <c r="A382"/>
  <c r="A383"/>
  <c r="A385"/>
  <c r="A388"/>
  <c r="A390"/>
  <c r="A394"/>
  <c r="A391"/>
  <c r="A392"/>
  <c r="A393"/>
  <c r="A396"/>
  <c r="A400"/>
  <c r="A398"/>
  <c r="A395"/>
  <c r="A397"/>
  <c r="A399"/>
  <c r="A401"/>
  <c r="A402"/>
  <c r="A404"/>
  <c r="A403"/>
  <c r="A407"/>
  <c r="A406"/>
  <c r="A408"/>
  <c r="A410"/>
  <c r="A409"/>
  <c r="A413"/>
  <c r="A411"/>
  <c r="A412"/>
  <c r="A419"/>
  <c r="A414"/>
  <c r="A415"/>
  <c r="A416"/>
  <c r="A417"/>
  <c r="A418"/>
  <c r="A420"/>
  <c r="A421"/>
  <c r="A424"/>
  <c r="A427"/>
  <c r="A430"/>
  <c r="A423"/>
  <c r="A426"/>
  <c r="A429"/>
  <c r="A431"/>
  <c r="A432"/>
  <c r="A433"/>
  <c r="A434"/>
  <c r="A435"/>
  <c r="A436"/>
  <c r="A437"/>
  <c r="A438"/>
  <c r="A439"/>
  <c r="A440"/>
  <c r="A448"/>
  <c r="A450"/>
  <c r="A441"/>
  <c r="A442"/>
  <c r="A443"/>
  <c r="A444"/>
  <c r="A445"/>
  <c r="A446"/>
  <c r="A447"/>
  <c r="A449"/>
  <c r="A451"/>
  <c r="A455"/>
  <c r="A454"/>
  <c r="A453"/>
  <c r="A459"/>
  <c r="A458"/>
  <c r="A461"/>
  <c r="A460"/>
  <c r="A466"/>
  <c r="A465"/>
  <c r="A464"/>
  <c r="A463"/>
  <c r="A468"/>
  <c r="A467"/>
  <c r="A471"/>
  <c r="A470"/>
  <c r="A473"/>
  <c r="A472"/>
  <c r="A480"/>
  <c r="A481"/>
  <c r="A474"/>
  <c r="A475"/>
  <c r="A476"/>
  <c r="A477"/>
  <c r="A478"/>
  <c r="A479"/>
  <c r="A487"/>
  <c r="A489"/>
  <c r="A485"/>
  <c r="A488"/>
  <c r="A490"/>
  <c r="A493"/>
  <c r="A496"/>
  <c r="A492"/>
  <c r="A495"/>
  <c r="A500"/>
  <c r="A499"/>
  <c r="A501"/>
  <c r="A504"/>
  <c r="A503"/>
  <c r="A508"/>
  <c r="A507"/>
  <c r="A506"/>
  <c r="A511"/>
  <c r="A510"/>
  <c r="A512"/>
  <c r="A532"/>
  <c r="A520"/>
  <c r="A521"/>
  <c r="A522"/>
  <c r="A513"/>
  <c r="A514"/>
  <c r="A515"/>
  <c r="A516"/>
  <c r="A517"/>
  <c r="A518"/>
  <c r="A519"/>
  <c r="A531"/>
  <c r="A533"/>
  <c r="A534"/>
  <c r="A535"/>
  <c r="A536"/>
  <c r="A537"/>
  <c r="A538"/>
  <c r="A526"/>
  <c r="A527"/>
  <c r="A528"/>
  <c r="A529"/>
  <c r="A578"/>
  <c r="A576"/>
  <c r="A577"/>
  <c r="A574"/>
  <c r="A575"/>
  <c r="A544"/>
  <c r="A545"/>
  <c r="A546"/>
  <c r="A547"/>
  <c r="A548"/>
  <c r="A549"/>
  <c r="A553"/>
  <c r="A550"/>
  <c r="A551"/>
  <c r="A552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80"/>
  <c r="A581"/>
  <c r="A582"/>
  <c r="A583"/>
  <c r="A584"/>
  <c r="A585"/>
  <c r="A586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I16" i="14" l="1"/>
  <c r="J16"/>
  <c r="E177" i="34"/>
  <c r="E172"/>
  <c r="C163"/>
  <c r="E161"/>
  <c r="C152"/>
  <c r="E151"/>
  <c r="E144"/>
  <c r="E133"/>
  <c r="E127"/>
  <c r="E126"/>
  <c r="E125"/>
  <c r="C118"/>
  <c r="C115"/>
  <c r="E113"/>
  <c r="C92"/>
  <c r="E91"/>
  <c r="C84"/>
  <c r="E83"/>
  <c r="C80"/>
  <c r="E78"/>
  <c r="C71"/>
  <c r="E69"/>
  <c r="C62"/>
  <c r="C66"/>
  <c r="C65"/>
  <c r="E60"/>
  <c r="C55"/>
  <c r="E53"/>
  <c r="C48"/>
  <c r="E46"/>
  <c r="E38"/>
  <c r="C31"/>
  <c r="E30"/>
  <c r="E29"/>
  <c r="E28"/>
  <c r="E27"/>
  <c r="E26"/>
  <c r="E25"/>
  <c r="E23"/>
  <c r="E24"/>
  <c r="E22"/>
  <c r="E21"/>
  <c r="I17" i="14" l="1"/>
  <c r="J17"/>
  <c r="B48" i="34"/>
  <c r="A48"/>
  <c r="B55"/>
  <c r="A55"/>
  <c r="B65"/>
  <c r="A65"/>
  <c r="B62"/>
  <c r="A62"/>
  <c r="B71"/>
  <c r="A71"/>
  <c r="B80"/>
  <c r="A80"/>
  <c r="B84"/>
  <c r="A84"/>
  <c r="B92"/>
  <c r="A92"/>
  <c r="B115"/>
  <c r="A115"/>
  <c r="B152"/>
  <c r="A152"/>
  <c r="B163"/>
  <c r="A163"/>
  <c r="B209"/>
  <c r="A209"/>
  <c r="B219"/>
  <c r="A219"/>
  <c r="B228"/>
  <c r="A228"/>
  <c r="B235"/>
  <c r="A235"/>
  <c r="B245"/>
  <c r="A245"/>
  <c r="B249"/>
  <c r="A249"/>
  <c r="B252"/>
  <c r="A252"/>
  <c r="B256"/>
  <c r="A256"/>
  <c r="B261"/>
  <c r="A261"/>
  <c r="B268"/>
  <c r="A268"/>
  <c r="B281"/>
  <c r="A281"/>
  <c r="B283"/>
  <c r="A283"/>
  <c r="B288"/>
  <c r="A288"/>
  <c r="B293"/>
  <c r="A293"/>
  <c r="B297"/>
  <c r="A297"/>
  <c r="B301"/>
  <c r="A301"/>
  <c r="B310"/>
  <c r="A310"/>
  <c r="B315"/>
  <c r="A315"/>
  <c r="B318"/>
  <c r="A318"/>
  <c r="B329"/>
  <c r="A329"/>
  <c r="B347"/>
  <c r="A347"/>
  <c r="B350"/>
  <c r="A350"/>
  <c r="B358"/>
  <c r="A358"/>
  <c r="B360"/>
  <c r="A360"/>
  <c r="B367"/>
  <c r="A367"/>
  <c r="B373"/>
  <c r="A373"/>
  <c r="B376"/>
  <c r="A376"/>
  <c r="B384"/>
  <c r="A384"/>
  <c r="B405"/>
  <c r="A405"/>
  <c r="B422"/>
  <c r="A422"/>
  <c r="B452"/>
  <c r="A452"/>
  <c r="B456"/>
  <c r="A456"/>
  <c r="B469"/>
  <c r="A469"/>
  <c r="B486"/>
  <c r="A486"/>
  <c r="B494"/>
  <c r="A494"/>
  <c r="B498"/>
  <c r="A498"/>
  <c r="B505"/>
  <c r="A505"/>
  <c r="B31"/>
  <c r="A31"/>
  <c r="B66"/>
  <c r="A66"/>
  <c r="B118"/>
  <c r="A118"/>
  <c r="B212"/>
  <c r="A212"/>
  <c r="B220"/>
  <c r="A220"/>
  <c r="B231"/>
  <c r="A231"/>
  <c r="B253"/>
  <c r="A253"/>
  <c r="B264"/>
  <c r="A264"/>
  <c r="B267"/>
  <c r="A267"/>
  <c r="B276"/>
  <c r="A276"/>
  <c r="B307"/>
  <c r="A307"/>
  <c r="B304"/>
  <c r="A304"/>
  <c r="B316"/>
  <c r="A316"/>
  <c r="B319"/>
  <c r="A319"/>
  <c r="B320"/>
  <c r="A320"/>
  <c r="B326"/>
  <c r="A326"/>
  <c r="B344"/>
  <c r="A344"/>
  <c r="B351"/>
  <c r="A351"/>
  <c r="B352"/>
  <c r="A352"/>
  <c r="B359"/>
  <c r="A359"/>
  <c r="B361"/>
  <c r="A361"/>
  <c r="B363"/>
  <c r="A363"/>
  <c r="B370"/>
  <c r="A370"/>
  <c r="B377"/>
  <c r="A377"/>
  <c r="B389"/>
  <c r="A389"/>
  <c r="B425"/>
  <c r="A425"/>
  <c r="B428"/>
  <c r="A428"/>
  <c r="B457"/>
  <c r="A457"/>
  <c r="B462"/>
  <c r="A462"/>
  <c r="B484"/>
  <c r="A484"/>
  <c r="B491"/>
  <c r="A491"/>
  <c r="B502"/>
  <c r="A502"/>
  <c r="B509"/>
  <c r="A509"/>
  <c r="I18" i="14" l="1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51"/>
  <c r="G51"/>
  <c r="I20" l="1"/>
  <c r="J20"/>
  <c r="I52"/>
  <c r="J52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F38" i="15" a="1"/>
  <c r="F38" s="1"/>
  <c r="E36" a="1"/>
  <c r="E36" s="1"/>
  <c r="F37" a="1"/>
  <c r="F37" s="1"/>
  <c r="F34" a="1"/>
  <c r="F34" s="1"/>
  <c r="F35" a="1"/>
  <c r="F35" s="1"/>
  <c r="F39" a="1"/>
  <c r="F39" s="1"/>
  <c r="F36" a="1"/>
  <c r="F36" s="1"/>
  <c r="E19" i="12" a="1"/>
  <c r="E19" s="1"/>
  <c r="E38" i="15" a="1"/>
  <c r="E38" s="1"/>
  <c r="I38" s="1"/>
  <c r="E24" i="12" a="1"/>
  <c r="E24" s="1"/>
  <c r="F23" a="1"/>
  <c r="F23" s="1"/>
  <c r="E30" a="1"/>
  <c r="E30" s="1"/>
  <c r="E28" a="1"/>
  <c r="E28" s="1"/>
  <c r="F21" a="1"/>
  <c r="F21" s="1"/>
  <c r="E18" a="1"/>
  <c r="E18" s="1"/>
  <c r="E37" i="15" a="1"/>
  <c r="E37" s="1"/>
  <c r="E16" a="1"/>
  <c r="E16" s="1"/>
  <c r="E27" a="1"/>
  <c r="E27" s="1"/>
  <c r="E31" a="1"/>
  <c r="E31" s="1"/>
  <c r="F16" i="12" a="1"/>
  <c r="F16" s="1"/>
  <c r="F13" a="1"/>
  <c r="F13" s="1"/>
  <c r="F19" a="1"/>
  <c r="F19" s="1"/>
  <c r="E29" a="1"/>
  <c r="E29" s="1"/>
  <c r="E7" a="1"/>
  <c r="E7" s="1"/>
  <c r="E13" a="1"/>
  <c r="E13" s="1"/>
  <c r="G13" s="1"/>
  <c r="E39" i="15" a="1"/>
  <c r="E39" s="1"/>
  <c r="E27" i="12" a="1"/>
  <c r="E27" s="1"/>
  <c r="E23" a="1"/>
  <c r="E23" s="1"/>
  <c r="E12" a="1"/>
  <c r="E12" s="1"/>
  <c r="F29" i="15" a="1"/>
  <c r="F29" s="1"/>
  <c r="F25" i="12" a="1"/>
  <c r="F25" s="1"/>
  <c r="F12" a="1"/>
  <c r="F12" s="1"/>
  <c r="F30" a="1"/>
  <c r="F30" s="1"/>
  <c r="E17" a="1"/>
  <c r="E17" s="1"/>
  <c r="F18" a="1"/>
  <c r="F18" s="1"/>
  <c r="F24" a="1"/>
  <c r="F24" s="1"/>
  <c r="E22" a="1"/>
  <c r="E22" s="1"/>
  <c r="F6" a="1"/>
  <c r="F6" s="1"/>
  <c r="E5" a="1"/>
  <c r="E5" s="1"/>
  <c r="F11" a="1"/>
  <c r="F11" s="1"/>
  <c r="E10" a="1"/>
  <c r="E10" s="1"/>
  <c r="F27" a="1"/>
  <c r="F27" s="1"/>
  <c r="F17" a="1"/>
  <c r="F17" s="1"/>
  <c r="F28" a="1"/>
  <c r="F28" s="1"/>
  <c r="F20" i="15" a="1"/>
  <c r="F20" s="1"/>
  <c r="F43" i="12" s="1"/>
  <c r="F14" i="15" a="1"/>
  <c r="F14" s="1"/>
  <c r="E6" i="12" a="1"/>
  <c r="E6" s="1"/>
  <c r="F22" i="15" a="1"/>
  <c r="F22" s="1"/>
  <c r="F29" i="12" a="1"/>
  <c r="F29" s="1"/>
  <c r="H29" s="1"/>
  <c r="F10" a="1"/>
  <c r="F10" s="1"/>
  <c r="F9" a="1"/>
  <c r="F9" s="1"/>
  <c r="E8" a="1"/>
  <c r="E8" s="1"/>
  <c r="E25" i="15" a="1"/>
  <c r="E25" s="1"/>
  <c r="F5" i="12" a="1"/>
  <c r="F5" s="1"/>
  <c r="E40" i="15" a="1"/>
  <c r="E40" s="1"/>
  <c r="F22" i="12" a="1"/>
  <c r="F22" s="1"/>
  <c r="F12" i="15" a="1"/>
  <c r="F12" s="1"/>
  <c r="E20" a="1"/>
  <c r="E20" s="1"/>
  <c r="F21" a="1"/>
  <c r="F21" s="1"/>
  <c r="F10" a="1"/>
  <c r="F10" s="1"/>
  <c r="E26" i="12" a="1"/>
  <c r="E26" s="1"/>
  <c r="F7" a="1"/>
  <c r="F7" s="1"/>
  <c r="E29" i="15" a="1"/>
  <c r="E29" s="1"/>
  <c r="F16" a="1"/>
  <c r="F16" s="1"/>
  <c r="E9" i="12" a="1"/>
  <c r="E9" s="1"/>
  <c r="E22" i="15" a="1"/>
  <c r="E22" s="1"/>
  <c r="E21" a="1"/>
  <c r="E21" s="1"/>
  <c r="E16" i="12" a="1"/>
  <c r="E16" s="1"/>
  <c r="E14" i="15" a="1"/>
  <c r="E14" s="1"/>
  <c r="F31" a="1"/>
  <c r="F31" s="1"/>
  <c r="H31" s="1"/>
  <c r="F27" a="1"/>
  <c r="F27" s="1"/>
  <c r="E12" a="1"/>
  <c r="E12" s="1"/>
  <c r="E10" a="1"/>
  <c r="E10" s="1"/>
  <c r="E25" i="12" a="1"/>
  <c r="E25" s="1"/>
  <c r="E34" i="15" a="1"/>
  <c r="E34" s="1"/>
  <c r="E11" i="12" a="1"/>
  <c r="E11" s="1"/>
  <c r="G11" s="1"/>
  <c r="E21" a="1"/>
  <c r="E21" s="1"/>
  <c r="F26" a="1"/>
  <c r="F26" s="1"/>
  <c r="H26" s="1"/>
  <c r="F25" i="15" a="1"/>
  <c r="F25" s="1"/>
  <c r="I10" i="34"/>
  <c r="F8" i="12" a="1"/>
  <c r="F8" s="1"/>
  <c r="E41" l="1"/>
  <c r="F41"/>
  <c r="F45" s="1"/>
  <c r="G23"/>
  <c r="H18"/>
  <c r="H8"/>
  <c r="H5"/>
  <c r="H10"/>
  <c r="G21"/>
  <c r="G16"/>
  <c r="J36" i="14"/>
  <c r="I36"/>
  <c r="I39" i="15"/>
  <c r="H7" i="12"/>
  <c r="H17"/>
  <c r="H30"/>
  <c r="G20" i="15"/>
  <c r="E43" i="12"/>
  <c r="G25"/>
  <c r="H28"/>
  <c r="H27"/>
  <c r="H24"/>
  <c r="H19"/>
  <c r="E32" i="15" a="1"/>
  <c r="E32" s="1"/>
  <c r="E33" s="1"/>
  <c r="F32" a="1"/>
  <c r="F32" s="1"/>
  <c r="F33" s="1"/>
  <c r="F40" a="1"/>
  <c r="F40" s="1"/>
  <c r="I40" s="1"/>
  <c r="I35"/>
  <c r="I37"/>
  <c r="I34"/>
  <c r="H9" i="12"/>
  <c r="H6"/>
  <c r="G17"/>
  <c r="H12"/>
  <c r="G12" i="15"/>
  <c r="E13"/>
  <c r="H27"/>
  <c r="H28" s="1"/>
  <c r="F28"/>
  <c r="G14"/>
  <c r="E15"/>
  <c r="I21"/>
  <c r="G21"/>
  <c r="G22"/>
  <c r="G23" s="1"/>
  <c r="I22"/>
  <c r="E23"/>
  <c r="E24" s="1"/>
  <c r="H16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G16"/>
  <c r="E17"/>
  <c r="G17" s="1"/>
  <c r="H4" i="12"/>
  <c r="H11"/>
  <c r="G7"/>
  <c r="H16"/>
  <c r="G18"/>
  <c r="G28"/>
  <c r="G24"/>
  <c r="G19"/>
  <c r="F26" i="15"/>
  <c r="H25"/>
  <c r="H26" s="1"/>
  <c r="E11"/>
  <c r="G10"/>
  <c r="G4" i="12"/>
  <c r="E30" i="15"/>
  <c r="G29"/>
  <c r="H21"/>
  <c r="H12"/>
  <c r="F13"/>
  <c r="I25"/>
  <c r="G25"/>
  <c r="G26" s="1"/>
  <c r="E26"/>
  <c r="G22" i="12"/>
  <c r="H22"/>
  <c r="G31" i="15"/>
  <c r="G9" i="12"/>
  <c r="G26"/>
  <c r="G8"/>
  <c r="G6"/>
  <c r="H20" i="15"/>
  <c r="G10" i="12"/>
  <c r="G5"/>
  <c r="H25"/>
  <c r="G12"/>
  <c r="G27"/>
  <c r="G29"/>
  <c r="H13"/>
  <c r="H21"/>
  <c r="G30"/>
  <c r="H23"/>
  <c r="I36" i="15"/>
  <c r="G41" i="12" l="1"/>
  <c r="H41"/>
  <c r="G11" i="15"/>
  <c r="G15"/>
  <c r="E41"/>
  <c r="F41"/>
  <c r="I37" i="14"/>
  <c r="L237" i="35"/>
  <c r="M237" s="1"/>
  <c r="J37" i="14"/>
  <c r="I26" i="15"/>
  <c r="H32"/>
  <c r="H33" s="1"/>
  <c r="G32"/>
  <c r="G33" s="1"/>
  <c r="G30"/>
  <c r="E45" i="12"/>
  <c r="H13" i="15"/>
  <c r="H24"/>
  <c r="I24"/>
  <c r="H30"/>
  <c r="H17"/>
  <c r="I23"/>
  <c r="G24"/>
  <c r="G13"/>
  <c r="H41" l="1"/>
  <c r="G41"/>
  <c r="J38" i="14"/>
  <c r="I38"/>
  <c r="E43" i="15"/>
  <c r="I39" i="14" l="1"/>
  <c r="J39"/>
  <c r="H43" i="15"/>
  <c r="A741" i="34"/>
  <c r="J40" i="14" l="1"/>
  <c r="I40"/>
  <c r="B741" i="34"/>
  <c r="I41" i="14" l="1"/>
  <c r="J41"/>
  <c r="J42" s="1"/>
  <c r="I42" l="1"/>
  <c r="I43" l="1"/>
  <c r="J43"/>
  <c r="J44" l="1"/>
  <c r="I44"/>
  <c r="I45" l="1"/>
  <c r="J45"/>
  <c r="J46" l="1"/>
  <c r="I46"/>
  <c r="I47" l="1"/>
  <c r="J47"/>
  <c r="J48" l="1"/>
  <c r="I48"/>
  <c r="I49" l="1"/>
  <c r="J49"/>
  <c r="J50" l="1"/>
  <c r="I50"/>
</calcChain>
</file>

<file path=xl/comments1.xml><?xml version="1.0" encoding="utf-8"?>
<comments xmlns="http://schemas.openxmlformats.org/spreadsheetml/2006/main">
  <authors>
    <author>User 1</author>
  </authors>
  <commentList>
    <comment ref="L238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<sst xmlns="http://schemas.openxmlformats.org/spreadsheetml/2006/main" count="6429" uniqueCount="1077">
  <si>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</si>
  <si>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</si>
  <si>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</si>
  <si>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</si>
  <si>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</si>
  <si>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</si>
  <si>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</si>
  <si>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</si>
  <si>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</si>
  <si>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</si>
  <si>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</si>
  <si>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</si>
  <si>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</si>
  <si>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</si>
  <si>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</si>
  <si>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</si>
  <si>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</si>
  <si>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</si>
  <si>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</si>
  <si>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</si>
  <si>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</si>
  <si>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</si>
  <si>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</si>
  <si>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</si>
  <si>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</si>
  <si>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</si>
  <si>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</si>
  <si>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</si>
  <si>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</si>
  <si>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</si>
  <si>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</si>
  <si>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</si>
  <si>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</si>
  <si>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</si>
  <si>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</si>
  <si>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</si>
  <si>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</si>
  <si>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</si>
  <si>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</si>
  <si>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</si>
  <si>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</si>
  <si>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</si>
  <si>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</si>
  <si>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</si>
  <si>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</si>
  <si>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</si>
  <si>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</si>
  <si>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</si>
  <si>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</si>
  <si>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</si>
  <si>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</si>
  <si>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</si>
  <si>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</si>
  <si>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</si>
  <si>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</si>
  <si>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</si>
  <si>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</si>
  <si>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</si>
  <si>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</si>
  <si>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</si>
  <si>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</si>
  <si>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</si>
  <si>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</si>
  <si>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</si>
  <si>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</si>
  <si>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</si>
  <si>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</si>
  <si>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</si>
  <si>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</si>
  <si>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</si>
  <si>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</si>
  <si>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</si>
  <si>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</si>
  <si>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</si>
  <si>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</si>
  <si>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</si>
  <si>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</si>
  <si>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</si>
  <si>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</si>
  <si>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</si>
  <si>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</si>
  <si>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</si>
  <si>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</si>
  <si>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</si>
  <si>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</si>
  <si>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</si>
  <si>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</si>
  <si>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</si>
  <si>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</si>
  <si>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</si>
  <si>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</si>
  <si>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</si>
  <si>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</si>
  <si>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</si>
  <si>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</si>
  <si>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</si>
  <si>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</si>
  <si>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</si>
  <si>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</si>
  <si>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</si>
  <si>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</si>
  <si>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</si>
  <si>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</si>
  <si>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</si>
  <si>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</si>
  <si>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</si>
  <si>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</si>
  <si>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</si>
  <si>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</si>
  <si>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</si>
  <si>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</si>
  <si>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</si>
  <si>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</si>
  <si>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</si>
  <si>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</si>
  <si>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</si>
  <si>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</si>
  <si>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</si>
  <si>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</si>
  <si>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</si>
  <si>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</si>
  <si>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</si>
  <si>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</si>
  <si>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</si>
  <si>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</si>
  <si>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</si>
  <si>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</si>
  <si>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</si>
  <si>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</si>
  <si>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</si>
  <si>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</si>
  <si>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</si>
  <si>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</si>
  <si>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</si>
  <si>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</si>
  <si>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</si>
  <si>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</si>
  <si>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</si>
  <si>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</si>
  <si>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</si>
  <si>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</si>
  <si>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</si>
  <si>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</si>
  <si>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</si>
  <si>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</si>
  <si>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</si>
  <si>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</si>
  <si>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</si>
  <si>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</si>
  <si>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</si>
  <si>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</si>
  <si>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</si>
  <si>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</si>
  <si>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</si>
  <si>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</si>
  <si>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</si>
  <si>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</si>
  <si>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</si>
  <si>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</si>
  <si>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</si>
  <si>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</si>
  <si>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</si>
  <si>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</si>
  <si>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</si>
  <si>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</si>
  <si>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</si>
  <si>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</si>
  <si>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</si>
  <si>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</si>
  <si>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</si>
  <si>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</si>
  <si>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</si>
  <si>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</si>
  <si>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</si>
  <si>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</si>
  <si>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</si>
  <si>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</si>
  <si>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</si>
  <si>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</si>
  <si>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</si>
  <si>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</si>
  <si>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</si>
  <si>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</si>
  <si>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</si>
  <si>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</si>
  <si>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</si>
  <si>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</si>
  <si>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</si>
  <si>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</si>
  <si>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</si>
  <si>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</si>
  <si>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</si>
  <si>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</si>
  <si>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</si>
  <si>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</si>
  <si>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</si>
  <si>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</si>
  <si>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</si>
  <si>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</si>
  <si>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</si>
  <si>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</si>
  <si>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</si>
  <si>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</si>
  <si>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</si>
  <si>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</si>
  <si>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</si>
  <si>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</si>
  <si>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</si>
  <si>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</si>
  <si>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</si>
  <si>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</si>
  <si>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</si>
  <si>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</si>
  <si>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</si>
  <si>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</si>
  <si>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</si>
  <si>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</si>
  <si>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</si>
  <si>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</si>
  <si>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</si>
  <si>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</si>
  <si>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</si>
  <si>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</si>
  <si>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</si>
  <si>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</si>
  <si>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</si>
  <si>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</si>
  <si>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</si>
  <si>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</si>
  <si>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</si>
  <si>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</si>
  <si>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</si>
  <si>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</si>
  <si>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</si>
  <si>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</si>
  <si>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</si>
  <si>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</si>
  <si>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</si>
  <si>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</si>
  <si>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</si>
  <si>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</si>
  <si>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</si>
  <si>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</si>
  <si>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</si>
  <si>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</si>
  <si>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</si>
  <si>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</si>
  <si>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</si>
  <si>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</si>
  <si>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</si>
  <si>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</si>
  <si>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</si>
  <si>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</si>
  <si>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</si>
  <si>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</si>
  <si>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</si>
  <si>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</si>
  <si>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</si>
  <si>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</si>
  <si>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</si>
  <si>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</si>
  <si>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</si>
  <si>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</si>
  <si>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</si>
  <si>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</si>
  <si>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</si>
  <si>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</si>
  <si>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</si>
  <si>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</si>
  <si>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</si>
  <si>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</si>
  <si>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</si>
  <si>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</si>
  <si>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</si>
  <si>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</si>
  <si>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</si>
  <si>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</si>
  <si>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</si>
  <si>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</si>
  <si>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</si>
  <si>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</si>
  <si>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</si>
  <si>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</si>
  <si>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</si>
  <si>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</si>
  <si>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</si>
  <si>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</si>
  <si>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</si>
  <si>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</si>
  <si>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</si>
  <si>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</si>
  <si>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</si>
  <si>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</si>
  <si>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</si>
  <si>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</si>
  <si>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</si>
  <si>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</si>
  <si>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</si>
  <si>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</si>
  <si>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</si>
  <si>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</si>
  <si>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</si>
  <si>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</si>
  <si>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</si>
  <si>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</si>
  <si>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</si>
  <si>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</si>
  <si>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</si>
  <si>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</si>
  <si>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</si>
  <si>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</si>
  <si>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</si>
  <si>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</si>
  <si>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</si>
  <si>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</si>
  <si>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</si>
  <si>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</si>
  <si>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</si>
  <si>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</si>
  <si>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</si>
  <si>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</si>
  <si>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</si>
  <si>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</si>
  <si>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</si>
  <si>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</si>
  <si>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</si>
  <si>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</si>
  <si>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</si>
  <si>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</si>
  <si>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</si>
  <si>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</si>
  <si>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</si>
  <si>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</si>
  <si>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</si>
  <si>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</si>
  <si>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</si>
  <si>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</si>
  <si>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</si>
  <si>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</si>
  <si>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</si>
  <si>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</si>
  <si>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</si>
  <si>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</si>
  <si>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</si>
  <si>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</si>
  <si>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</si>
  <si>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</si>
  <si>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</si>
  <si>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</si>
  <si>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</si>
  <si>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</si>
  <si>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</si>
  <si>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</si>
  <si>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</si>
  <si>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</si>
  <si>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</si>
  <si>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</si>
  <si>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</si>
  <si>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</si>
  <si>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</si>
  <si>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</si>
  <si>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</si>
  <si>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</si>
  <si>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</si>
  <si>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</si>
  <si>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</si>
  <si>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</si>
  <si>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</si>
  <si>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</si>
  <si>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</si>
  <si>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</si>
  <si>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</si>
  <si>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</si>
  <si>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</si>
  <si>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</si>
  <si>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</si>
  <si>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</si>
  <si>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</si>
  <si>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</si>
  <si>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</si>
  <si>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</si>
  <si>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</si>
  <si>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</si>
  <si>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</si>
  <si>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</si>
  <si>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</si>
  <si>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</si>
  <si>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</si>
  <si>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</si>
  <si>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</si>
  <si>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</si>
  <si>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</si>
  <si>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</si>
  <si>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</si>
  <si>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</si>
  <si>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</si>
  <si>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</si>
  <si>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</si>
  <si>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</si>
  <si>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</si>
  <si>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</si>
  <si>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</si>
  <si>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</si>
  <si>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</si>
  <si>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</si>
  <si>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</si>
  <si>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</si>
  <si>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</si>
  <si>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</si>
  <si>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</si>
  <si>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</si>
  <si>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</si>
  <si>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</si>
  <si>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</si>
  <si>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</si>
  <si>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</si>
  <si>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</si>
  <si>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</si>
  <si>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</si>
  <si>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</si>
  <si>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</si>
  <si>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</si>
  <si>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</si>
  <si>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</si>
  <si>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</si>
  <si>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</si>
  <si>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</si>
  <si>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</si>
  <si>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</si>
  <si>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</si>
  <si>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</si>
  <si>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</si>
  <si>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</si>
  <si>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</si>
  <si>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</si>
  <si>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</si>
  <si>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</si>
  <si>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</si>
  <si>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</si>
  <si>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</si>
  <si>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</si>
  <si>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</si>
  <si>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</si>
  <si>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</si>
  <si>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</si>
  <si>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</si>
  <si>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</si>
  <si>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</si>
  <si>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</si>
  <si>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</si>
  <si>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</si>
  <si>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</si>
  <si>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</si>
  <si>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</si>
  <si>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</si>
  <si>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</si>
  <si>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</si>
  <si>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</si>
  <si>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</si>
  <si>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</si>
  <si>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</si>
  <si>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</si>
  <si>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</si>
  <si>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</si>
  <si>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</si>
  <si>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</si>
  <si>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</si>
  <si>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</si>
  <si>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</si>
  <si>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</si>
  <si>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</si>
  <si>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</si>
  <si>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</si>
  <si>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</si>
  <si>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</si>
  <si>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</si>
  <si>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</si>
  <si>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</si>
  <si>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</si>
  <si>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</si>
  <si>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</si>
  <si>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</si>
  <si>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</si>
  <si>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</si>
  <si>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</si>
  <si>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</si>
  <si>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</si>
  <si>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</si>
  <si>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</si>
  <si>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</si>
  <si>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</si>
  <si>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</si>
  <si>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</si>
  <si>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</si>
  <si>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</si>
  <si>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</si>
  <si>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</si>
  <si>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</si>
  <si>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</si>
  <si>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</si>
  <si>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</si>
  <si>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</si>
  <si>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</si>
  <si>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</si>
  <si>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</si>
  <si>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</si>
  <si>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</si>
  <si>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</si>
  <si>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</si>
  <si>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</si>
  <si>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</si>
  <si>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</si>
  <si>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</si>
  <si>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</si>
  <si>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</si>
  <si>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</si>
  <si>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</si>
  <si>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</si>
  <si>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</si>
  <si>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</si>
  <si>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</si>
  <si>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</si>
  <si>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</si>
  <si>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</si>
  <si>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</si>
  <si>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</si>
  <si>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</si>
  <si>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</si>
  <si>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</si>
  <si>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</si>
  <si>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</si>
  <si>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</si>
  <si>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</si>
  <si>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</si>
  <si>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</si>
  <si>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</si>
  <si>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</si>
  <si>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</si>
  <si>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</si>
  <si>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</si>
  <si>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</si>
  <si>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</si>
  <si>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</si>
  <si>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</si>
  <si>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</si>
  <si>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</si>
  <si>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</si>
  <si>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</si>
  <si>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</si>
  <si>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</si>
  <si>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</si>
  <si>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</si>
  <si>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</si>
  <si>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</si>
  <si>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</si>
  <si>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</si>
  <si>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</si>
  <si>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</si>
  <si>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</si>
  <si>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</si>
  <si>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</si>
  <si>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</si>
  <si>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</si>
  <si>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</si>
  <si>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</si>
  <si>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</si>
  <si>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</si>
  <si>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</si>
  <si>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</si>
  <si>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</si>
  <si>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</si>
  <si>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</si>
  <si>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</si>
  <si>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</si>
  <si>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</si>
  <si>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</si>
  <si>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</si>
  <si>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</si>
  <si>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</si>
  <si>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</si>
  <si>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</si>
  <si>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</si>
  <si>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</si>
  <si>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</si>
  <si>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</si>
  <si>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</si>
  <si>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</si>
  <si>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</si>
  <si>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</si>
  <si>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</si>
  <si>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</si>
  <si>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</si>
  <si>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</si>
  <si>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</si>
  <si>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</si>
  <si>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</si>
  <si>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</si>
  <si>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</si>
  <si>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</si>
  <si>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</si>
  <si>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</si>
  <si>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</si>
  <si>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</si>
  <si>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</si>
  <si>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</si>
  <si>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</si>
  <si>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</si>
  <si>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</si>
  <si>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</si>
  <si>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</si>
  <si>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</si>
  <si>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</si>
  <si>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</si>
  <si>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</si>
  <si>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</si>
  <si>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</si>
  <si>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</si>
  <si>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</si>
  <si>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</si>
  <si>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</si>
  <si>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</si>
  <si>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</si>
  <si>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</si>
  <si>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</si>
  <si>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</si>
  <si>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</si>
  <si>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</si>
  <si>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</si>
  <si>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</si>
  <si>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</si>
  <si>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</si>
  <si>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</si>
  <si>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</si>
  <si>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</si>
  <si>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</si>
  <si>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</si>
  <si>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</si>
  <si>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</si>
  <si>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</si>
  <si>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</si>
  <si>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</si>
  <si>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</si>
  <si>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</si>
  <si>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</si>
  <si>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</si>
  <si>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</si>
  <si>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</si>
  <si>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</si>
  <si>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</si>
  <si>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</si>
  <si>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</si>
  <si>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</si>
  <si>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</si>
  <si>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</si>
  <si>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</si>
  <si>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</si>
  <si>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</si>
  <si>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</si>
  <si>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</si>
  <si>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</si>
  <si>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</si>
  <si>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</si>
  <si>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</si>
  <si>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</si>
  <si>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</si>
  <si>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</si>
  <si>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</si>
  <si>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</si>
  <si>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</si>
  <si>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</si>
  <si>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</si>
  <si>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</si>
  <si>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</si>
  <si>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</si>
  <si>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</si>
  <si>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</si>
  <si>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</si>
  <si>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</si>
  <si>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</si>
  <si>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</si>
  <si>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</si>
  <si>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</si>
  <si>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</si>
  <si>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</si>
  <si>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</si>
  <si>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</si>
  <si>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</si>
  <si>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</si>
  <si>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</si>
  <si>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</si>
  <si>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</si>
  <si>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</si>
  <si>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</si>
  <si>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</si>
  <si>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</si>
  <si>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</si>
  <si>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</si>
  <si>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</si>
  <si>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</si>
  <si>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</si>
  <si>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</si>
  <si>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</si>
  <si>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</si>
  <si>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</si>
  <si>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</si>
  <si>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</si>
  <si>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</si>
  <si>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</si>
  <si>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</si>
  <si>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</si>
  <si>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</si>
  <si>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</si>
  <si>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</si>
  <si>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</si>
  <si>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</si>
  <si>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</si>
  <si>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</si>
  <si>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</si>
  <si>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</si>
  <si>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</si>
  <si>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</si>
  <si>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</si>
  <si>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</si>
  <si>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</si>
  <si>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</si>
  <si>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</si>
  <si>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</si>
  <si>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</si>
  <si>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</si>
  <si>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</si>
  <si>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</si>
  <si>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</si>
  <si>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</si>
  <si>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</si>
  <si>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</si>
  <si>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</si>
  <si>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</si>
  <si>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</si>
  <si>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</si>
  <si>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</si>
  <si>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</si>
  <si>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</si>
  <si>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</si>
  <si>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</si>
  <si>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</si>
  <si>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</si>
  <si>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</si>
  <si>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</si>
  <si>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</si>
  <si>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</si>
  <si>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</si>
  <si>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</si>
  <si>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</si>
  <si>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</si>
  <si>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</si>
  <si>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</si>
  <si>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</si>
  <si>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</si>
  <si>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</si>
  <si>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</si>
  <si>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</si>
  <si>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</si>
  <si>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</si>
  <si>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</si>
  <si>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</si>
  <si>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</si>
  <si>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</si>
  <si>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</si>
  <si>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</si>
  <si>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</si>
  <si>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</si>
  <si>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</si>
  <si>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</si>
  <si>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</si>
  <si>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</si>
  <si>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</si>
  <si>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</si>
  <si>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</si>
  <si>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</si>
  <si>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</si>
  <si>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</si>
  <si>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</si>
  <si>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</si>
  <si>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</si>
  <si>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</si>
  <si>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</si>
  <si>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</si>
  <si>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</si>
  <si>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</si>
  <si>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</si>
  <si>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</si>
  <si>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</si>
  <si>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</si>
  <si>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</si>
  <si>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</si>
  <si>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</si>
  <si>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</si>
  <si>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</si>
  <si>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</si>
  <si>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</si>
  <si>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</si>
  <si>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</si>
  <si>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</si>
  <si>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</si>
  <si>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</si>
  <si>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</si>
  <si>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</si>
  <si>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</si>
  <si>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</si>
  <si>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</si>
  <si>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</si>
  <si>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</si>
  <si>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</si>
  <si>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</si>
  <si>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</si>
  <si>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</si>
  <si>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</si>
  <si>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</si>
  <si>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</si>
  <si>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</si>
  <si>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</si>
  <si>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</si>
  <si>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</si>
  <si>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</si>
  <si>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</si>
  <si>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</si>
  <si>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</si>
  <si>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</si>
  <si>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</si>
  <si>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</si>
  <si>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</si>
  <si>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</si>
  <si>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</si>
  <si>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</si>
  <si>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</si>
  <si>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</si>
  <si>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</si>
  <si>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</si>
  <si>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</si>
  <si>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</si>
  <si>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</si>
  <si>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</si>
  <si>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</si>
  <si>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</si>
  <si>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</si>
  <si>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</si>
  <si>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C61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</si>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</sst>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21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6" borderId="5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22" xfId="29" applyNumberFormat="1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11010000000</v>
      </c>
      <c r="F10" s="51">
        <f t="array" ref="F10">SUM(IF(A10=KHC,TH))</f>
        <v>9293999146</v>
      </c>
      <c r="G10" s="52">
        <f>MAX(C10+E10-D10-F10,0)</f>
        <v>1716000854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11010000000</v>
      </c>
      <c r="F11" s="56">
        <f>F10</f>
        <v>9293999146</v>
      </c>
      <c r="G11" s="56">
        <f>G10</f>
        <v>1716000854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30620699257</v>
      </c>
      <c r="F12" s="51">
        <f t="array" ref="F12">SUM(IF(A12=KHC,TH))</f>
        <v>30577314247</v>
      </c>
      <c r="G12" s="52">
        <f>MAX(C12+E12-D12-F12,0)</f>
        <v>43385010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30620699257</v>
      </c>
      <c r="F13" s="56">
        <f>F12</f>
        <v>30577314247</v>
      </c>
      <c r="G13" s="56">
        <f>MAX(C13+E13-D13-F13,0)</f>
        <v>43385010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2028754350</v>
      </c>
      <c r="F14" s="51">
        <f t="array" ref="F14">SUM(IF(A14=KHC,TH))</f>
        <v>1678844208</v>
      </c>
      <c r="G14" s="52">
        <f>MAX(C14+E14-D14-F14,0)</f>
        <v>349910142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2028754350</v>
      </c>
      <c r="F15" s="56">
        <f>F14</f>
        <v>1678844208</v>
      </c>
      <c r="G15" s="56">
        <f>G14</f>
        <v>349910142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316576985</v>
      </c>
      <c r="G16" s="52">
        <f t="shared" ref="G16:G22" si="0">MAX(C16+E16-D16-F16,0)</f>
        <v>1678844208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316576985</v>
      </c>
      <c r="G17" s="56">
        <f t="shared" si="0"/>
        <v>1678844208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21597065326</v>
      </c>
      <c r="F18" s="51">
        <f t="array" ref="F18">SUM(IF(A18=KHC,TH))</f>
        <v>0</v>
      </c>
      <c r="G18" s="52">
        <f t="shared" si="0"/>
        <v>21597065326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21597065326</v>
      </c>
      <c r="F19" s="56">
        <f>F18</f>
        <v>0</v>
      </c>
      <c r="G19" s="56">
        <f t="shared" si="0"/>
        <v>21597065326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26653912750</v>
      </c>
      <c r="F20" s="139">
        <f t="array" ref="F20">SUM(IF(A20=KHC,TH))</f>
        <v>21608492380</v>
      </c>
      <c r="G20" s="56">
        <f t="shared" si="0"/>
        <v>5045420370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20000000000</v>
      </c>
      <c r="G27" s="52">
        <f>MAX(C27+E27-D27-F27,0)</f>
        <v>0</v>
      </c>
      <c r="H27" s="52">
        <f>MAX(D27+F27-E27-C27,0)</f>
        <v>20000000000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20000000000</v>
      </c>
      <c r="G28" s="56">
        <f>G27</f>
        <v>0</v>
      </c>
      <c r="H28" s="56">
        <f>H27</f>
        <v>20000000000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SUM(IF(A32=TH!$J$10:$J$1151,TH!$I$10:$I$1151))</f>
        <v>552014090</v>
      </c>
      <c r="F32" s="51">
        <f t="array" ref="F32">SUM(IF(A32=TH!$K$10:$K$1151,TH!$I$10:$I$1151))</f>
        <v>0</v>
      </c>
      <c r="G32" s="51">
        <f>MAX(C32+E32-D32-F32,0)</f>
        <v>552014090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552014090</v>
      </c>
      <c r="F33" s="56">
        <f>F32+F31</f>
        <v>0</v>
      </c>
      <c r="G33" s="56">
        <f>G32+G31</f>
        <v>552014090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2182272</v>
      </c>
      <c r="F34" s="139">
        <f t="array" ref="F34">SUM(IF(A34=KHC,TH))</f>
        <v>2182272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1532829404</v>
      </c>
      <c r="F35" s="139">
        <f t="array" ref="F35">SUM(IF(A35=KHC,TH))</f>
        <v>1532829404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524776362</v>
      </c>
      <c r="F36" s="139">
        <f t="array" ref="F36">SUM(IF(A36=KHC,TH))</f>
        <v>524776362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500000</v>
      </c>
      <c r="F37" s="139">
        <f t="array" ref="F37">SUM(IF(A37=KHC,TH))</f>
        <v>500000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554696362</v>
      </c>
      <c r="F40" s="140">
        <f t="array" ref="F40">SUM(IF(A40=TH!$K$10:$K$1151,TH!$I$10:$I$1151))</f>
        <v>554696362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98558521366</v>
      </c>
      <c r="F41" s="62">
        <f t="shared" si="4"/>
        <v>96575881366</v>
      </c>
      <c r="G41" s="62">
        <f t="shared" si="4"/>
        <v>30982640000</v>
      </c>
      <c r="H41" s="62">
        <f t="shared" si="4"/>
        <v>29000000000</v>
      </c>
    </row>
    <row r="42" spans="1:9">
      <c r="E42" s="63"/>
      <c r="F42" s="64"/>
    </row>
    <row r="43" spans="1:9">
      <c r="E43" s="64">
        <f>E41-F41</f>
        <v>1982640000</v>
      </c>
      <c r="H43" s="64">
        <f>G41-H41</f>
        <v>1982640000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theme="9" tint="-0.249977111117893"/>
  </sheetPr>
  <dimension ref="A1:M1151"/>
  <sheetViews>
    <sheetView topLeftCell="A7" workbookViewId="0">
      <pane ySplit="3" topLeftCell="A10" activePane="bottomLeft" state="frozen"/>
      <selection activeCell="A7" sqref="A7"/>
      <selection pane="bottomLeft" activeCell="I1045" sqref="I1045:I1046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20" t="s">
        <v>253</v>
      </c>
      <c r="D4" s="420"/>
      <c r="E4" s="420"/>
      <c r="F4" s="420"/>
      <c r="G4" s="420"/>
      <c r="H4" s="420"/>
      <c r="I4" s="420"/>
      <c r="J4" s="420"/>
      <c r="K4" s="420"/>
    </row>
    <row r="5" spans="1:12" ht="14.25">
      <c r="A5" s="106"/>
      <c r="B5" s="106"/>
      <c r="C5" s="421"/>
      <c r="D5" s="421"/>
      <c r="E5" s="421"/>
      <c r="F5" s="421"/>
      <c r="G5" s="421"/>
      <c r="H5" s="421"/>
      <c r="I5" s="421"/>
      <c r="J5" s="421"/>
      <c r="K5" s="421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16" t="s">
        <v>265</v>
      </c>
      <c r="B7" s="416" t="s">
        <v>266</v>
      </c>
      <c r="C7" s="422" t="s">
        <v>50</v>
      </c>
      <c r="D7" s="423" t="s">
        <v>10</v>
      </c>
      <c r="E7" s="424"/>
      <c r="F7" s="422" t="s">
        <v>0</v>
      </c>
      <c r="G7" s="425" t="s">
        <v>512</v>
      </c>
      <c r="H7" s="418" t="s">
        <v>184</v>
      </c>
      <c r="I7" s="422" t="s">
        <v>254</v>
      </c>
      <c r="J7" s="419" t="s">
        <v>255</v>
      </c>
      <c r="K7" s="419"/>
      <c r="L7" s="419">
        <v>331</v>
      </c>
    </row>
    <row r="8" spans="1:12" ht="25.5">
      <c r="A8" s="417"/>
      <c r="B8" s="417"/>
      <c r="C8" s="422"/>
      <c r="D8" s="104" t="s">
        <v>32</v>
      </c>
      <c r="E8" s="102" t="s">
        <v>70</v>
      </c>
      <c r="F8" s="422"/>
      <c r="G8" s="426"/>
      <c r="H8" s="418"/>
      <c r="I8" s="422"/>
      <c r="J8" s="105" t="s">
        <v>52</v>
      </c>
      <c r="K8" s="105" t="s">
        <v>53</v>
      </c>
      <c r="L8" s="419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 hidden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552014090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 hidden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1532829404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 hidden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524776362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 hidden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2182272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 hidden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500000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 hidden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 hidden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 hidden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 hidden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 hidden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 hidden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 hidden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 hidden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 hidden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 hidden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 hidden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 hidden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 hidden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 hidden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 hidden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 hidden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 hidden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 hidden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 hidden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 hidden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 hidden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 hidden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 hidden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 hidden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 hidden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 hidden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 hidden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 hidden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 hidden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 hidden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 hidden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 hidden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 hidden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 hidden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 hidden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 hidden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 hidden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 hidden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 hidden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 hidden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 hidden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 hidden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 hidden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 hidden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 hidden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 hidden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 hidden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 hidden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 hidden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 hidden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 hidden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 hidden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 hidden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 hidden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 hidden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 hidden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 hidden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 hidden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 hidden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 hidden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 hidden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 hidden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 hidden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 hidden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 hidden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 hidden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 hidden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 hidden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 hidden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 hidden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 hidden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 hidden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 hidden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 hidden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 hidden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 hidden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 hidden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 hidden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 hidden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 hidden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 hidden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 hidden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 hidden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 hidden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 hidden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 hidden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 hidden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 hidden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 hidden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 hidden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 hidden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 hidden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 hidden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 hidden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 hidden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 hidden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 hidden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 hidden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 hidden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 hidden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 hidden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 hidden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 hidden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 hidden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 hidden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 hidden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 hidden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 hidden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 hidden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 hidden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 hidden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 hidden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 hidden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 hidden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 hidden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 hidden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 hidden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 hidden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 hidden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 hidden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 hidden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 hidden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 hidden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 hidden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 hidden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 hidden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 hidden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 hidden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 hidden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 hidden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 hidden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 hidden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 hidden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 hidden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 hidden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 hidden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 hidden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 hidden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 hidden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 hidden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 hidden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 hidden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 hidden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 hidden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 hidden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 hidden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 hidden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 hidden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 hidden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 hidden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 hidden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 hidden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 hidden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 hidden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 hidden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 hidden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 hidden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 hidden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 hidden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 hidden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 hidden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 hidden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 hidden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 hidden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 hidden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 hidden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 hidden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 hidden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 hidden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 hidden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 hidden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 hidden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 hidden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 hidden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 hidden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 hidden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 hidden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 hidden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 hidden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 hidden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 hidden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 hidden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 hidden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 hidden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 hidden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 hidden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 hidden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 hidden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 hidden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 hidden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 hidden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 hidden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 hidden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 hidden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 hidden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 hidden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 hidden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 hidden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 hidden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 hidden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 hidden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 hidden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 hidden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 hidden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 hidden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 hidden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 hidden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 hidden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 hidden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 hidden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 hidden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 hidden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 hidden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 hidden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 hidden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 hidden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 hidden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 hidden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 hidden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 hidden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 hidden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 hidden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 hidden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 hidden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 hidden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 hidden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 hidden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 hidden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 hidden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 hidden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 hidden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 hidden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 hidden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 hidden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 hidden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 hidden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 hidden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 hidden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 hidden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 hidden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 hidden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 hidden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 hidden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 hidden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 hidden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 hidden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 hidden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 hidden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 hidden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 hidden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 hidden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 hidden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 hidden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 hidden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 hidden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 hidden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 hidden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 hidden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 hidden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 hidden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 hidden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 hidden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 hidden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 hidden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 hidden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 hidden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 hidden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 hidden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 hidden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 hidden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 hidden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 hidden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 hidden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 hidden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 hidden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 hidden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 hidden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 hidden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 hidden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 hidden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 hidden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 hidden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 hidden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 hidden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 hidden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 hidden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 hidden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 hidden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 hidden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 hidden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 hidden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 hidden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 hidden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 hidden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 hidden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 hidden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 hidden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 hidden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 hidden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 hidden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 hidden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 hidden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 hidden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 hidden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 hidden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 hidden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 hidden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 hidden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 hidden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 hidden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 hidden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 hidden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 hidden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 hidden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 hidden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 hidden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 hidden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 hidden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 hidden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 hidden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 hidden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 hidden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 hidden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 hidden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 hidden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 hidden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 hidden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 hidden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 hidden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 hidden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 hidden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 hidden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 hidden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 hidden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 hidden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 hidden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 hidden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 hidden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 hidden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 hidden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 hidden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 hidden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 hidden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 hidden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 hidden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 hidden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 hidden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 hidden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 hidden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 hidden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 hidden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 hidden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 hidden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 hidden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 hidden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 hidden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 hidden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 hidden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 hidden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 hidden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 hidden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 hidden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 hidden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 hidden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 hidden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 hidden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 hidden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 hidden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 hidden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 hidden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 hidden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 hidden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 hidden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 hidden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 hidden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 hidden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 hidden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 hidden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 hidden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 hidden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 hidden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 hidden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 hidden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 hidden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 hidden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 hidden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 hidden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 hidden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 hidden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 hidden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 hidden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 hidden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 hidden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 hidden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 hidden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 hidden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 hidden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 hidden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 hidden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 hidden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 hidden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 hidden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 hidden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 hidden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 hidden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 hidden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 hidden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 hidden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 hidden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 hidden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 hidden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 hidden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 hidden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 hidden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 hidden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 hidden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 hidden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 hidden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 hidden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 hidden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 hidden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 hidden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 hidden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 hidden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 hidden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 hidden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 hidden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 hidden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 hidden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 hidden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 hidden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 hidden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 hidden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 hidden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 hidden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 hidden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 hidden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 hidden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 hidden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 hidden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 hidden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 hidden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 hidden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 hidden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 hidden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 hidden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 hidden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 hidden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 hidden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 hidden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 hidden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 hidden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 hidden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 hidden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 hidden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 hidden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 hidden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 hidden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 hidden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 hidden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 hidden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 hidden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 hidden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 hidden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 hidden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 hidden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 hidden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 hidden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 hidden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 hidden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 hidden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 hidden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 hidden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 hidden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 hidden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 hidden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 hidden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 hidden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 hidden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 hidden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 hidden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 hidden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 hidden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 hidden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 hidden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 hidden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 hidden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 hidden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 hidden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 hidden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 hidden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 hidden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 hidden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 hidden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 hidden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 hidden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 hidden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 hidden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 hidden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 hidden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 hidden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 hidden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 hidden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 hidden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 hidden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 hidden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 hidden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 hidden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 hidden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 hidden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 hidden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 hidden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>x</v>
      </c>
    </row>
    <row r="527" spans="1:12" s="109" customFormat="1" hidden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 hidden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 hidden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 hidden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 hidden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 hidden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 hidden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 hidden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 hidden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 hidden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 hidden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 hidden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 hidden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 hidden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 hidden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 hidden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 hidden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 hidden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 hidden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 hidden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 hidden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 hidden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 hidden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 hidden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 hidden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 hidden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 hidden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 hidden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 hidden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 hidden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 hidden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 hidden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 hidden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 hidden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 hidden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 hidden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 hidden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 hidden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 hidden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 hidden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 hidden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 hidden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 hidden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 hidden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 hidden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 hidden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 hidden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 hidden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 hidden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 hidden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 hidden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 hidden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 hidden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 hidden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 hidden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 hidden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 hidden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 hidden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 hidden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 hidden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 hidden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 hidden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 hidden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 hidden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 hidden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 hidden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 hidden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 hidden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 hidden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 hidden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 hidden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 hidden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 hidden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 hidden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 hidden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 hidden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 hidden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 hidden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 hidden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 hidden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 hidden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 hidden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 hidden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 hidden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 hidden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 hidden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 hidden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 hidden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 hidden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 hidden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 hidden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>x</v>
      </c>
    </row>
    <row r="618" spans="1:12" hidden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 hidden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hidden="1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 hidden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 hidden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 hidden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 hidden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 hidden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 hidden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 hidden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 hidden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 hidden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 hidden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 hidden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 hidden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 hidden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 hidden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 hidden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 hidden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 hidden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 hidden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 hidden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 hidden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 hidden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 hidden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 hidden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 hidden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 hidden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 hidden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 hidden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 hidden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 hidden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 hidden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 hidden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 hidden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 hidden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 hidden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 hidden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 hidden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 hidden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 hidden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 hidden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 hidden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 hidden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 hidden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 hidden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 hidden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 hidden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 hidden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 hidden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 hidden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 hidden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 hidden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 hidden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 hidden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 hidden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 hidden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 hidden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>x</v>
      </c>
    </row>
    <row r="676" spans="1:12" hidden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>x</v>
      </c>
    </row>
    <row r="677" spans="1:12" hidden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 hidden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 hidden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 hidden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 hidden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>x</v>
      </c>
    </row>
    <row r="682" spans="1:12" hidden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>x</v>
      </c>
    </row>
    <row r="683" spans="1:12" hidden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>x</v>
      </c>
    </row>
    <row r="684" spans="1:12" hidden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>x</v>
      </c>
    </row>
    <row r="685" spans="1:12" hidden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 hidden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 hidden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 hidden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 hidden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 hidden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 hidden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 hidden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 hidden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 hidden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 hidden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 hidden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 hidden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 hidden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 hidden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 hidden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 hidden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>x</v>
      </c>
    </row>
    <row r="702" spans="1:12" hidden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 hidden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 hidden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 hidden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 hidden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 hidden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 hidden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 hidden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 hidden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 hidden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 hidden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 hidden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 hidden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 hidden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 hidden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 hidden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 hidden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hidden="1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hidden="1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hidden="1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hidden="1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hidden="1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hidden="1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hidden="1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hidden="1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hidden="1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hidden="1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hidden="1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hidden="1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hidden="1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hidden="1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hidden="1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hidden="1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hidden="1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hidden="1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hidden="1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 hidden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 hidden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hidden="1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hidden="1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hidden="1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hidden="1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hidden="1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hidden="1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hidden="1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hidden="1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>x</v>
      </c>
    </row>
    <row r="748" spans="1:12" ht="13.5" hidden="1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>x</v>
      </c>
    </row>
    <row r="749" spans="1:12" ht="13.5" hidden="1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hidden="1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hidden="1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hidden="1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hidden="1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hidden="1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hidden="1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hidden="1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hidden="1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hidden="1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hidden="1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hidden="1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hidden="1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hidden="1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hidden="1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hidden="1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hidden="1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hidden="1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hidden="1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hidden="1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hidden="1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 hidden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 hidden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 hidden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 hidden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 hidden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 hidden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 hidden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 hidden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 hidden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2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>x</v>
      </c>
    </row>
    <row r="779" spans="1:12" hidden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 hidden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 hidden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 hidden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 hidden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 hidden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 hidden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 hidden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 hidden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 hidden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 hidden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 hidden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hidden="1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hidden="1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3" customFormat="1" ht="15" hidden="1" customHeight="1">
      <c r="A793" s="288">
        <f t="shared" si="31"/>
        <v>2015</v>
      </c>
      <c r="B793" s="288">
        <f t="shared" si="32"/>
        <v>9</v>
      </c>
      <c r="C793" s="289">
        <v>42265</v>
      </c>
      <c r="D793" s="130" t="s">
        <v>503</v>
      </c>
      <c r="E793" s="289">
        <v>42265</v>
      </c>
      <c r="F793" s="290" t="s">
        <v>490</v>
      </c>
      <c r="G793" s="266" t="s">
        <v>559</v>
      </c>
      <c r="H793" s="132" t="s">
        <v>484</v>
      </c>
      <c r="I793" s="291">
        <v>1165000</v>
      </c>
      <c r="J793" s="292" t="s">
        <v>19</v>
      </c>
      <c r="K793" s="292" t="s">
        <v>203</v>
      </c>
      <c r="L793" s="134" t="str">
        <f>IF(AND('331-CT'!$E$7=TH!H793,OR(J793="331",K793="331")),"x","")</f>
        <v/>
      </c>
    </row>
    <row r="794" spans="1:12" hidden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 hidden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 hidden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 hidden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 hidden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 hidden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 hidden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 hidden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 hidden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 hidden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 hidden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 hidden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 hidden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 hidden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 hidden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 hidden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 hidden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 hidden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 hidden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 hidden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 hidden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 hidden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 hidden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 hidden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 hidden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 hidden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 hidden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 hidden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 hidden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 hidden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 hidden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 hidden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/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 hidden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/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 hidden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 hidden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 hidden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>x</v>
      </c>
    </row>
    <row r="830" spans="1:12" hidden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>x</v>
      </c>
    </row>
    <row r="831" spans="1:12" hidden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>x</v>
      </c>
    </row>
    <row r="832" spans="1:12" hidden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>x</v>
      </c>
    </row>
    <row r="833" spans="1:12" hidden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 hidden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 hidden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 hidden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 hidden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 hidden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 hidden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 hidden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 hidden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 hidden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 hidden="1">
      <c r="A843" s="72">
        <f t="shared" si="33"/>
        <v>2015</v>
      </c>
      <c r="B843" s="72">
        <f t="shared" si="34"/>
        <v>10</v>
      </c>
      <c r="C843" s="313">
        <v>42278</v>
      </c>
      <c r="D843" s="313" t="s">
        <v>133</v>
      </c>
      <c r="E843" s="313">
        <v>42278</v>
      </c>
      <c r="F843" s="314" t="s">
        <v>725</v>
      </c>
      <c r="G843" s="315" t="s">
        <v>726</v>
      </c>
      <c r="H843" s="316" t="s">
        <v>727</v>
      </c>
      <c r="I843" s="74">
        <v>15000000</v>
      </c>
      <c r="J843" s="317" t="s">
        <v>655</v>
      </c>
      <c r="K843" s="317" t="s">
        <v>203</v>
      </c>
      <c r="L843" s="134" t="str">
        <f>IF(AND('331-CT'!$E$7=TH!H843,OR(J843="331",K843="331")),"x","")</f>
        <v/>
      </c>
    </row>
    <row r="844" spans="1:12" hidden="1">
      <c r="A844" s="72">
        <f t="shared" si="33"/>
        <v>2015</v>
      </c>
      <c r="B844" s="72">
        <f t="shared" si="34"/>
        <v>10</v>
      </c>
      <c r="C844" s="313">
        <v>42278</v>
      </c>
      <c r="D844" s="313" t="s">
        <v>133</v>
      </c>
      <c r="E844" s="313">
        <v>42278</v>
      </c>
      <c r="F844" s="314" t="s">
        <v>728</v>
      </c>
      <c r="G844" s="315" t="s">
        <v>726</v>
      </c>
      <c r="H844" s="316" t="s">
        <v>727</v>
      </c>
      <c r="I844" s="74">
        <v>1500000</v>
      </c>
      <c r="J844" s="317" t="s">
        <v>19</v>
      </c>
      <c r="K844" s="317" t="s">
        <v>203</v>
      </c>
      <c r="L844" s="134" t="str">
        <f>IF(AND('331-CT'!$E$7=TH!H844,OR(J844="331",K844="331")),"x","")</f>
        <v/>
      </c>
    </row>
    <row r="845" spans="1:12" hidden="1">
      <c r="A845" s="72">
        <f t="shared" si="33"/>
        <v>2015</v>
      </c>
      <c r="B845" s="72">
        <f t="shared" si="34"/>
        <v>10</v>
      </c>
      <c r="C845" s="313">
        <v>42279</v>
      </c>
      <c r="D845" s="313" t="s">
        <v>134</v>
      </c>
      <c r="E845" s="313">
        <v>42279</v>
      </c>
      <c r="F845" s="314" t="s">
        <v>576</v>
      </c>
      <c r="G845" s="315"/>
      <c r="H845" s="316" t="s">
        <v>272</v>
      </c>
      <c r="I845" s="74">
        <v>600000000</v>
      </c>
      <c r="J845" s="317" t="s">
        <v>54</v>
      </c>
      <c r="K845" s="317" t="s">
        <v>203</v>
      </c>
      <c r="L845" s="134" t="str">
        <f>IF(AND('331-CT'!$E$7=TH!H845,OR(J845="331",K845="331")),"x","")</f>
        <v/>
      </c>
    </row>
    <row r="846" spans="1:12" hidden="1">
      <c r="A846" s="72">
        <f t="shared" si="33"/>
        <v>2015</v>
      </c>
      <c r="B846" s="72">
        <f t="shared" si="34"/>
        <v>10</v>
      </c>
      <c r="C846" s="313">
        <v>42279</v>
      </c>
      <c r="D846" s="313" t="s">
        <v>135</v>
      </c>
      <c r="E846" s="313">
        <v>42279</v>
      </c>
      <c r="F846" s="314" t="s">
        <v>604</v>
      </c>
      <c r="G846" s="315" t="s">
        <v>606</v>
      </c>
      <c r="H846" s="316" t="s">
        <v>436</v>
      </c>
      <c r="I846" s="74">
        <v>18000000</v>
      </c>
      <c r="J846" s="317" t="s">
        <v>655</v>
      </c>
      <c r="K846" s="317" t="s">
        <v>203</v>
      </c>
      <c r="L846" s="134" t="str">
        <f>IF(AND('331-CT'!$E$7=TH!H846,OR(J846="331",K846="331")),"x","")</f>
        <v/>
      </c>
    </row>
    <row r="847" spans="1:12" hidden="1">
      <c r="A847" s="72">
        <f t="shared" si="33"/>
        <v>2015</v>
      </c>
      <c r="B847" s="72">
        <f t="shared" si="34"/>
        <v>10</v>
      </c>
      <c r="C847" s="313">
        <v>42279</v>
      </c>
      <c r="D847" s="313" t="s">
        <v>135</v>
      </c>
      <c r="E847" s="313">
        <v>42279</v>
      </c>
      <c r="F847" s="314" t="s">
        <v>610</v>
      </c>
      <c r="G847" s="315" t="s">
        <v>606</v>
      </c>
      <c r="H847" s="316" t="s">
        <v>436</v>
      </c>
      <c r="I847" s="74">
        <v>1800000</v>
      </c>
      <c r="J847" s="317" t="s">
        <v>19</v>
      </c>
      <c r="K847" s="317" t="s">
        <v>203</v>
      </c>
      <c r="L847" s="134" t="str">
        <f>IF(AND('331-CT'!$E$7=TH!H847,OR(J847="331",K847="331")),"x","")</f>
        <v/>
      </c>
    </row>
    <row r="848" spans="1:12" hidden="1">
      <c r="A848" s="72">
        <f t="shared" si="33"/>
        <v>2015</v>
      </c>
      <c r="B848" s="72">
        <f t="shared" si="34"/>
        <v>10</v>
      </c>
      <c r="C848" s="313">
        <v>42279</v>
      </c>
      <c r="D848" s="313" t="s">
        <v>78</v>
      </c>
      <c r="E848" s="313">
        <v>42279</v>
      </c>
      <c r="F848" s="314" t="s">
        <v>599</v>
      </c>
      <c r="G848" s="315" t="s">
        <v>601</v>
      </c>
      <c r="H848" s="316" t="s">
        <v>602</v>
      </c>
      <c r="I848" s="74">
        <v>68181818</v>
      </c>
      <c r="J848" s="317" t="s">
        <v>655</v>
      </c>
      <c r="K848" s="317" t="s">
        <v>18</v>
      </c>
      <c r="L848" s="134" t="str">
        <f>IF(AND('331-CT'!$E$7=TH!H848,OR(J848="331",K848="331")),"x","")</f>
        <v/>
      </c>
    </row>
    <row r="849" spans="1:12" hidden="1">
      <c r="A849" s="72">
        <f t="shared" si="33"/>
        <v>2015</v>
      </c>
      <c r="B849" s="72">
        <f t="shared" si="34"/>
        <v>10</v>
      </c>
      <c r="C849" s="313">
        <v>42279</v>
      </c>
      <c r="D849" s="313" t="s">
        <v>78</v>
      </c>
      <c r="E849" s="313">
        <v>42279</v>
      </c>
      <c r="F849" s="314" t="s">
        <v>600</v>
      </c>
      <c r="G849" s="315" t="s">
        <v>601</v>
      </c>
      <c r="H849" s="316" t="s">
        <v>602</v>
      </c>
      <c r="I849" s="74">
        <v>6818182</v>
      </c>
      <c r="J849" s="317" t="s">
        <v>19</v>
      </c>
      <c r="K849" s="317" t="s">
        <v>18</v>
      </c>
      <c r="L849" s="134" t="str">
        <f>IF(AND('331-CT'!$E$7=TH!H849,OR(J849="331",K849="331")),"x","")</f>
        <v/>
      </c>
    </row>
    <row r="850" spans="1:12" hidden="1">
      <c r="A850" s="72">
        <f t="shared" si="33"/>
        <v>2015</v>
      </c>
      <c r="B850" s="72">
        <f t="shared" si="34"/>
        <v>10</v>
      </c>
      <c r="C850" s="313">
        <v>42279</v>
      </c>
      <c r="D850" s="313" t="s">
        <v>17</v>
      </c>
      <c r="E850" s="313">
        <v>42279</v>
      </c>
      <c r="F850" s="314" t="s">
        <v>615</v>
      </c>
      <c r="G850" s="315"/>
      <c r="H850" s="316" t="s">
        <v>190</v>
      </c>
      <c r="I850" s="74">
        <v>150000000</v>
      </c>
      <c r="J850" s="317" t="s">
        <v>18</v>
      </c>
      <c r="K850" s="317" t="s">
        <v>54</v>
      </c>
      <c r="L850" s="134" t="str">
        <f>IF(AND('331-CT'!$E$7=TH!H850,OR(J850="331",K850="331")),"x","")</f>
        <v>x</v>
      </c>
    </row>
    <row r="851" spans="1:12" hidden="1">
      <c r="A851" s="72">
        <f t="shared" si="33"/>
        <v>2015</v>
      </c>
      <c r="B851" s="72">
        <f t="shared" si="34"/>
        <v>10</v>
      </c>
      <c r="C851" s="313">
        <v>42279</v>
      </c>
      <c r="D851" s="313" t="s">
        <v>17</v>
      </c>
      <c r="E851" s="313">
        <v>42279</v>
      </c>
      <c r="F851" s="314" t="s">
        <v>34</v>
      </c>
      <c r="G851" s="315"/>
      <c r="H851" s="316"/>
      <c r="I851" s="74">
        <v>112587</v>
      </c>
      <c r="J851" s="317" t="s">
        <v>242</v>
      </c>
      <c r="K851" s="317" t="s">
        <v>54</v>
      </c>
      <c r="L851" s="134" t="str">
        <f>IF(AND('331-CT'!$E$7=TH!H851,OR(J851="331",K851="331")),"x","")</f>
        <v/>
      </c>
    </row>
    <row r="852" spans="1:12" hidden="1">
      <c r="A852" s="72">
        <f t="shared" si="33"/>
        <v>2015</v>
      </c>
      <c r="B852" s="72">
        <f t="shared" si="34"/>
        <v>10</v>
      </c>
      <c r="C852" s="313">
        <v>42279</v>
      </c>
      <c r="D852" s="313" t="s">
        <v>17</v>
      </c>
      <c r="E852" s="313">
        <v>42279</v>
      </c>
      <c r="F852" s="314" t="s">
        <v>35</v>
      </c>
      <c r="G852" s="315"/>
      <c r="H852" s="316"/>
      <c r="I852" s="74">
        <v>11259</v>
      </c>
      <c r="J852" s="317" t="s">
        <v>19</v>
      </c>
      <c r="K852" s="317" t="s">
        <v>54</v>
      </c>
      <c r="L852" s="134" t="str">
        <f>IF(AND('331-CT'!$E$7=TH!H852,OR(J852="331",K852="331")),"x","")</f>
        <v/>
      </c>
    </row>
    <row r="853" spans="1:12" hidden="1">
      <c r="A853" s="72">
        <f t="shared" si="33"/>
        <v>2015</v>
      </c>
      <c r="B853" s="72">
        <f t="shared" si="34"/>
        <v>10</v>
      </c>
      <c r="C853" s="313">
        <v>42279</v>
      </c>
      <c r="D853" s="313" t="s">
        <v>17</v>
      </c>
      <c r="E853" s="313">
        <v>42279</v>
      </c>
      <c r="F853" s="314" t="s">
        <v>615</v>
      </c>
      <c r="G853" s="315"/>
      <c r="H853" s="316" t="s">
        <v>269</v>
      </c>
      <c r="I853" s="74">
        <v>400000000</v>
      </c>
      <c r="J853" s="317" t="s">
        <v>18</v>
      </c>
      <c r="K853" s="317" t="s">
        <v>54</v>
      </c>
      <c r="L853" s="134" t="str">
        <f>IF(AND('331-CT'!$E$7=TH!H853,OR(J853="331",K853="331")),"x","")</f>
        <v/>
      </c>
    </row>
    <row r="854" spans="1:12" hidden="1">
      <c r="A854" s="72">
        <f t="shared" si="33"/>
        <v>2015</v>
      </c>
      <c r="B854" s="72">
        <f t="shared" si="34"/>
        <v>10</v>
      </c>
      <c r="C854" s="313">
        <v>42279</v>
      </c>
      <c r="D854" s="313" t="s">
        <v>17</v>
      </c>
      <c r="E854" s="313">
        <v>42279</v>
      </c>
      <c r="F854" s="314" t="s">
        <v>34</v>
      </c>
      <c r="G854" s="315"/>
      <c r="H854" s="316"/>
      <c r="I854" s="74">
        <v>320000</v>
      </c>
      <c r="J854" s="317" t="s">
        <v>242</v>
      </c>
      <c r="K854" s="317" t="s">
        <v>54</v>
      </c>
      <c r="L854" s="134" t="str">
        <f>IF(AND('331-CT'!$E$7=TH!H854,OR(J854="331",K854="331")),"x","")</f>
        <v/>
      </c>
    </row>
    <row r="855" spans="1:12" hidden="1">
      <c r="A855" s="72">
        <f t="shared" si="33"/>
        <v>2015</v>
      </c>
      <c r="B855" s="72">
        <f t="shared" si="34"/>
        <v>10</v>
      </c>
      <c r="C855" s="313">
        <v>42279</v>
      </c>
      <c r="D855" s="313" t="s">
        <v>17</v>
      </c>
      <c r="E855" s="313">
        <v>42279</v>
      </c>
      <c r="F855" s="314" t="s">
        <v>35</v>
      </c>
      <c r="G855" s="315"/>
      <c r="H855" s="316"/>
      <c r="I855" s="74">
        <v>32000</v>
      </c>
      <c r="J855" s="317" t="s">
        <v>19</v>
      </c>
      <c r="K855" s="317" t="s">
        <v>54</v>
      </c>
      <c r="L855" s="134" t="str">
        <f>IF(AND('331-CT'!$E$7=TH!H855,OR(J855="331",K855="331")),"x","")</f>
        <v/>
      </c>
    </row>
    <row r="856" spans="1:12" hidden="1">
      <c r="A856" s="72">
        <f t="shared" si="33"/>
        <v>2015</v>
      </c>
      <c r="B856" s="72">
        <f t="shared" si="34"/>
        <v>10</v>
      </c>
      <c r="C856" s="313">
        <v>42280</v>
      </c>
      <c r="D856" s="313" t="s">
        <v>154</v>
      </c>
      <c r="E856" s="313">
        <v>42280</v>
      </c>
      <c r="F856" s="314" t="s">
        <v>604</v>
      </c>
      <c r="G856" s="315" t="s">
        <v>607</v>
      </c>
      <c r="H856" s="316" t="s">
        <v>436</v>
      </c>
      <c r="I856" s="74">
        <v>18000000</v>
      </c>
      <c r="J856" s="317" t="s">
        <v>655</v>
      </c>
      <c r="K856" s="317" t="s">
        <v>203</v>
      </c>
      <c r="L856" s="134" t="str">
        <f>IF(AND('331-CT'!$E$7=TH!H856,OR(J856="331",K856="331")),"x","")</f>
        <v/>
      </c>
    </row>
    <row r="857" spans="1:12" hidden="1">
      <c r="A857" s="72">
        <f t="shared" si="33"/>
        <v>2015</v>
      </c>
      <c r="B857" s="72">
        <f t="shared" si="34"/>
        <v>10</v>
      </c>
      <c r="C857" s="313">
        <v>42280</v>
      </c>
      <c r="D857" s="313" t="s">
        <v>154</v>
      </c>
      <c r="E857" s="313">
        <v>42280</v>
      </c>
      <c r="F857" s="314" t="s">
        <v>610</v>
      </c>
      <c r="G857" s="318" t="s">
        <v>607</v>
      </c>
      <c r="H857" s="316" t="s">
        <v>436</v>
      </c>
      <c r="I857" s="74">
        <v>1800000</v>
      </c>
      <c r="J857" s="317" t="s">
        <v>19</v>
      </c>
      <c r="K857" s="317" t="s">
        <v>203</v>
      </c>
      <c r="L857" s="134" t="str">
        <f>IF(AND('331-CT'!$E$7=TH!H857,OR(J857="331",K857="331")),"x","")</f>
        <v/>
      </c>
    </row>
    <row r="858" spans="1:12" hidden="1">
      <c r="A858" s="72">
        <f t="shared" si="33"/>
        <v>2015</v>
      </c>
      <c r="B858" s="72">
        <f t="shared" si="34"/>
        <v>10</v>
      </c>
      <c r="C858" s="313">
        <v>42281</v>
      </c>
      <c r="D858" s="313" t="s">
        <v>157</v>
      </c>
      <c r="E858" s="313">
        <v>42281</v>
      </c>
      <c r="F858" s="314" t="s">
        <v>604</v>
      </c>
      <c r="G858" s="318" t="s">
        <v>608</v>
      </c>
      <c r="H858" s="316" t="s">
        <v>436</v>
      </c>
      <c r="I858" s="74">
        <v>18000000</v>
      </c>
      <c r="J858" s="317" t="s">
        <v>655</v>
      </c>
      <c r="K858" s="317" t="s">
        <v>203</v>
      </c>
      <c r="L858" s="134" t="str">
        <f>IF(AND('331-CT'!$E$7=TH!H858,OR(J858="331",K858="331")),"x","")</f>
        <v/>
      </c>
    </row>
    <row r="859" spans="1:12" hidden="1">
      <c r="A859" s="72">
        <f t="shared" si="33"/>
        <v>2015</v>
      </c>
      <c r="B859" s="72">
        <f t="shared" si="34"/>
        <v>10</v>
      </c>
      <c r="C859" s="313">
        <v>42281</v>
      </c>
      <c r="D859" s="313" t="s">
        <v>157</v>
      </c>
      <c r="E859" s="313">
        <v>42281</v>
      </c>
      <c r="F859" s="314" t="s">
        <v>610</v>
      </c>
      <c r="G859" s="318" t="s">
        <v>608</v>
      </c>
      <c r="H859" s="316" t="s">
        <v>436</v>
      </c>
      <c r="I859" s="74">
        <v>1800000</v>
      </c>
      <c r="J859" s="317" t="s">
        <v>19</v>
      </c>
      <c r="K859" s="317" t="s">
        <v>203</v>
      </c>
      <c r="L859" s="134" t="str">
        <f>IF(AND('331-CT'!$E$7=TH!H859,OR(J859="331",K859="331")),"x","")</f>
        <v/>
      </c>
    </row>
    <row r="860" spans="1:12" hidden="1">
      <c r="A860" s="72">
        <f t="shared" si="33"/>
        <v>2015</v>
      </c>
      <c r="B860" s="72">
        <f t="shared" si="34"/>
        <v>10</v>
      </c>
      <c r="C860" s="313">
        <v>42281</v>
      </c>
      <c r="D860" s="313" t="s">
        <v>158</v>
      </c>
      <c r="E860" s="313">
        <v>42281</v>
      </c>
      <c r="F860" s="314" t="s">
        <v>616</v>
      </c>
      <c r="G860" s="318" t="s">
        <v>617</v>
      </c>
      <c r="H860" s="316" t="s">
        <v>620</v>
      </c>
      <c r="I860" s="74">
        <v>7848182</v>
      </c>
      <c r="J860" s="317" t="s">
        <v>655</v>
      </c>
      <c r="K860" s="317" t="s">
        <v>203</v>
      </c>
      <c r="L860" s="134" t="str">
        <f>IF(AND('331-CT'!$E$7=TH!H860,OR(J860="331",K860="331")),"x","")</f>
        <v/>
      </c>
    </row>
    <row r="861" spans="1:12" hidden="1">
      <c r="A861" s="72">
        <f t="shared" si="33"/>
        <v>2015</v>
      </c>
      <c r="B861" s="72">
        <f t="shared" si="34"/>
        <v>10</v>
      </c>
      <c r="C861" s="313">
        <v>42281</v>
      </c>
      <c r="D861" s="313" t="s">
        <v>158</v>
      </c>
      <c r="E861" s="313">
        <v>42281</v>
      </c>
      <c r="F861" s="314" t="s">
        <v>619</v>
      </c>
      <c r="G861" s="318" t="s">
        <v>617</v>
      </c>
      <c r="H861" s="316" t="s">
        <v>620</v>
      </c>
      <c r="I861" s="74">
        <v>784818</v>
      </c>
      <c r="J861" s="317" t="s">
        <v>19</v>
      </c>
      <c r="K861" s="317" t="s">
        <v>203</v>
      </c>
      <c r="L861" s="134" t="str">
        <f>IF(AND('331-CT'!$E$7=TH!H861,OR(J861="331",K861="331")),"x","")</f>
        <v/>
      </c>
    </row>
    <row r="862" spans="1:12" hidden="1">
      <c r="A862" s="72">
        <f t="shared" si="33"/>
        <v>2015</v>
      </c>
      <c r="B862" s="72">
        <f t="shared" si="34"/>
        <v>10</v>
      </c>
      <c r="C862" s="313">
        <v>42281</v>
      </c>
      <c r="D862" s="313" t="s">
        <v>158</v>
      </c>
      <c r="E862" s="313">
        <v>42281</v>
      </c>
      <c r="F862" s="314" t="s">
        <v>621</v>
      </c>
      <c r="G862" s="318" t="s">
        <v>618</v>
      </c>
      <c r="H862" s="9" t="s">
        <v>620</v>
      </c>
      <c r="I862" s="74">
        <v>6666364</v>
      </c>
      <c r="J862" s="317" t="s">
        <v>655</v>
      </c>
      <c r="K862" s="317" t="s">
        <v>203</v>
      </c>
      <c r="L862" s="134" t="str">
        <f>IF(AND('331-CT'!$E$7=TH!H862,OR(J862="331",K862="331")),"x","")</f>
        <v/>
      </c>
    </row>
    <row r="863" spans="1:12" hidden="1">
      <c r="A863" s="72">
        <f t="shared" si="33"/>
        <v>2015</v>
      </c>
      <c r="B863" s="72">
        <f t="shared" si="34"/>
        <v>10</v>
      </c>
      <c r="C863" s="313">
        <v>42281</v>
      </c>
      <c r="D863" s="313" t="s">
        <v>158</v>
      </c>
      <c r="E863" s="313">
        <v>42281</v>
      </c>
      <c r="F863" s="314" t="s">
        <v>622</v>
      </c>
      <c r="G863" s="318" t="s">
        <v>618</v>
      </c>
      <c r="H863" s="316" t="s">
        <v>620</v>
      </c>
      <c r="I863" s="74">
        <v>666636</v>
      </c>
      <c r="J863" s="317" t="s">
        <v>19</v>
      </c>
      <c r="K863" s="317" t="s">
        <v>203</v>
      </c>
      <c r="L863" s="134" t="str">
        <f>IF(AND('331-CT'!$E$7=TH!H863,OR(J863="331",K863="331")),"x","")</f>
        <v/>
      </c>
    </row>
    <row r="864" spans="1:12" hidden="1">
      <c r="A864" s="72">
        <f t="shared" si="33"/>
        <v>2015</v>
      </c>
      <c r="B864" s="72">
        <f t="shared" si="34"/>
        <v>10</v>
      </c>
      <c r="C864" s="313">
        <v>42282</v>
      </c>
      <c r="D864" s="313" t="s">
        <v>163</v>
      </c>
      <c r="E864" s="313">
        <v>42282</v>
      </c>
      <c r="F864" s="314" t="s">
        <v>604</v>
      </c>
      <c r="G864" s="318" t="s">
        <v>609</v>
      </c>
      <c r="H864" s="316" t="s">
        <v>436</v>
      </c>
      <c r="I864" s="74">
        <v>18000000</v>
      </c>
      <c r="J864" s="317" t="s">
        <v>655</v>
      </c>
      <c r="K864" s="317" t="s">
        <v>203</v>
      </c>
      <c r="L864" s="134" t="str">
        <f>IF(AND('331-CT'!$E$7=TH!H864,OR(J864="331",K864="331")),"x","")</f>
        <v/>
      </c>
    </row>
    <row r="865" spans="1:12" hidden="1">
      <c r="A865" s="72">
        <f t="shared" si="33"/>
        <v>2015</v>
      </c>
      <c r="B865" s="72">
        <f t="shared" si="34"/>
        <v>10</v>
      </c>
      <c r="C865" s="73">
        <v>42282</v>
      </c>
      <c r="D865" s="313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 hidden="1">
      <c r="A866" s="72">
        <f t="shared" si="33"/>
        <v>2015</v>
      </c>
      <c r="B866" s="72">
        <f t="shared" si="34"/>
        <v>10</v>
      </c>
      <c r="C866" s="73">
        <v>42282</v>
      </c>
      <c r="D866" s="313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 hidden="1">
      <c r="A867" s="72">
        <f t="shared" si="33"/>
        <v>2015</v>
      </c>
      <c r="B867" s="72">
        <f t="shared" si="34"/>
        <v>10</v>
      </c>
      <c r="C867" s="313">
        <v>42282</v>
      </c>
      <c r="D867" s="313" t="s">
        <v>164</v>
      </c>
      <c r="E867" s="313">
        <v>42282</v>
      </c>
      <c r="F867" s="314" t="s">
        <v>660</v>
      </c>
      <c r="G867" s="318" t="s">
        <v>661</v>
      </c>
      <c r="H867" s="316" t="s">
        <v>357</v>
      </c>
      <c r="I867" s="74">
        <v>518182</v>
      </c>
      <c r="J867" s="317" t="s">
        <v>19</v>
      </c>
      <c r="K867" s="317" t="s">
        <v>203</v>
      </c>
      <c r="L867" s="134" t="str">
        <f>IF(AND('331-CT'!$E$7=TH!H867,OR(J867="331",K867="331")),"x","")</f>
        <v/>
      </c>
    </row>
    <row r="868" spans="1:12" hidden="1">
      <c r="A868" s="72">
        <f t="shared" si="33"/>
        <v>2015</v>
      </c>
      <c r="B868" s="72">
        <f t="shared" si="34"/>
        <v>10</v>
      </c>
      <c r="C868" s="313">
        <v>42283</v>
      </c>
      <c r="D868" s="313" t="s">
        <v>78</v>
      </c>
      <c r="E868" s="313">
        <v>42283</v>
      </c>
      <c r="F868" s="314" t="s">
        <v>630</v>
      </c>
      <c r="G868" s="315" t="s">
        <v>631</v>
      </c>
      <c r="H868" s="316" t="s">
        <v>632</v>
      </c>
      <c r="I868" s="74">
        <v>20382000</v>
      </c>
      <c r="J868" s="317" t="s">
        <v>655</v>
      </c>
      <c r="K868" s="317" t="s">
        <v>18</v>
      </c>
      <c r="L868" s="134" t="str">
        <f>IF(AND('331-CT'!$E$7=TH!H868,OR(J868="331",K868="331")),"x","")</f>
        <v/>
      </c>
    </row>
    <row r="869" spans="1:12" hidden="1">
      <c r="A869" s="72">
        <f t="shared" si="33"/>
        <v>2015</v>
      </c>
      <c r="B869" s="72">
        <f t="shared" si="34"/>
        <v>10</v>
      </c>
      <c r="C869" s="313">
        <v>42283</v>
      </c>
      <c r="D869" s="313" t="s">
        <v>165</v>
      </c>
      <c r="E869" s="313">
        <v>42283</v>
      </c>
      <c r="F869" s="314" t="s">
        <v>725</v>
      </c>
      <c r="G869" s="315" t="s">
        <v>729</v>
      </c>
      <c r="H869" s="316" t="s">
        <v>727</v>
      </c>
      <c r="I869" s="74">
        <v>15000000</v>
      </c>
      <c r="J869" s="317" t="s">
        <v>655</v>
      </c>
      <c r="K869" s="317" t="s">
        <v>203</v>
      </c>
      <c r="L869" s="134" t="str">
        <f>IF(AND('331-CT'!$E$7=TH!H869,OR(J869="331",K869="331")),"x","")</f>
        <v/>
      </c>
    </row>
    <row r="870" spans="1:12" hidden="1">
      <c r="A870" s="72">
        <f t="shared" si="33"/>
        <v>2015</v>
      </c>
      <c r="B870" s="72">
        <f t="shared" si="34"/>
        <v>10</v>
      </c>
      <c r="C870" s="313">
        <v>42283</v>
      </c>
      <c r="D870" s="313" t="s">
        <v>165</v>
      </c>
      <c r="E870" s="313">
        <v>42283</v>
      </c>
      <c r="F870" s="314" t="s">
        <v>728</v>
      </c>
      <c r="G870" s="315" t="s">
        <v>729</v>
      </c>
      <c r="H870" s="316" t="s">
        <v>727</v>
      </c>
      <c r="I870" s="74">
        <v>1500000</v>
      </c>
      <c r="J870" s="317" t="s">
        <v>19</v>
      </c>
      <c r="K870" s="317" t="s">
        <v>203</v>
      </c>
      <c r="L870" s="134" t="str">
        <f>IF(AND('331-CT'!$E$7=TH!H870,OR(J870="331",K870="331")),"x","")</f>
        <v/>
      </c>
    </row>
    <row r="871" spans="1:12" hidden="1">
      <c r="A871" s="72">
        <f t="shared" si="33"/>
        <v>2015</v>
      </c>
      <c r="B871" s="72">
        <f t="shared" si="34"/>
        <v>10</v>
      </c>
      <c r="C871" s="313">
        <v>42284</v>
      </c>
      <c r="D871" s="313" t="s">
        <v>166</v>
      </c>
      <c r="E871" s="313">
        <v>42284</v>
      </c>
      <c r="F871" s="314" t="s">
        <v>623</v>
      </c>
      <c r="G871" s="315" t="s">
        <v>624</v>
      </c>
      <c r="H871" s="316" t="s">
        <v>625</v>
      </c>
      <c r="I871" s="74">
        <v>400000</v>
      </c>
      <c r="J871" s="317" t="s">
        <v>655</v>
      </c>
      <c r="K871" s="317" t="s">
        <v>203</v>
      </c>
      <c r="L871" s="134" t="str">
        <f>IF(AND('331-CT'!$E$7=TH!H871,OR(J871="331",K871="331")),"x","")</f>
        <v/>
      </c>
    </row>
    <row r="872" spans="1:12" hidden="1">
      <c r="A872" s="72">
        <f t="shared" si="33"/>
        <v>2015</v>
      </c>
      <c r="B872" s="72">
        <f t="shared" si="34"/>
        <v>10</v>
      </c>
      <c r="C872" s="313">
        <v>42285</v>
      </c>
      <c r="D872" s="313" t="s">
        <v>167</v>
      </c>
      <c r="E872" s="313">
        <v>42285</v>
      </c>
      <c r="F872" s="314" t="s">
        <v>626</v>
      </c>
      <c r="G872" s="318" t="s">
        <v>628</v>
      </c>
      <c r="H872" s="9" t="s">
        <v>629</v>
      </c>
      <c r="I872" s="74">
        <v>2650000</v>
      </c>
      <c r="J872" s="317" t="s">
        <v>655</v>
      </c>
      <c r="K872" s="317" t="s">
        <v>203</v>
      </c>
      <c r="L872" s="134" t="str">
        <f>IF(AND('331-CT'!$E$7=TH!H872,OR(J872="331",K872="331")),"x","")</f>
        <v/>
      </c>
    </row>
    <row r="873" spans="1:12" hidden="1">
      <c r="A873" s="72">
        <f t="shared" si="33"/>
        <v>2015</v>
      </c>
      <c r="B873" s="72">
        <f t="shared" si="34"/>
        <v>10</v>
      </c>
      <c r="C873" s="313">
        <v>42285</v>
      </c>
      <c r="D873" s="313" t="s">
        <v>167</v>
      </c>
      <c r="E873" s="313">
        <v>42285</v>
      </c>
      <c r="F873" s="314" t="s">
        <v>627</v>
      </c>
      <c r="G873" s="318" t="s">
        <v>628</v>
      </c>
      <c r="H873" s="316" t="s">
        <v>629</v>
      </c>
      <c r="I873" s="74">
        <v>265000</v>
      </c>
      <c r="J873" s="317" t="s">
        <v>19</v>
      </c>
      <c r="K873" s="317" t="s">
        <v>203</v>
      </c>
      <c r="L873" s="134" t="str">
        <f>IF(AND('331-CT'!$E$7=TH!H873,OR(J873="331",K873="331")),"x","")</f>
        <v/>
      </c>
    </row>
    <row r="874" spans="1:12" hidden="1">
      <c r="A874" s="72">
        <f t="shared" si="33"/>
        <v>2015</v>
      </c>
      <c r="B874" s="72">
        <f t="shared" si="34"/>
        <v>10</v>
      </c>
      <c r="C874" s="313">
        <v>42285</v>
      </c>
      <c r="D874" s="313" t="s">
        <v>168</v>
      </c>
      <c r="E874" s="313">
        <v>42285</v>
      </c>
      <c r="F874" s="314" t="s">
        <v>637</v>
      </c>
      <c r="G874" s="318" t="s">
        <v>639</v>
      </c>
      <c r="H874" s="316" t="s">
        <v>640</v>
      </c>
      <c r="I874" s="74">
        <v>1338182</v>
      </c>
      <c r="J874" s="317" t="s">
        <v>655</v>
      </c>
      <c r="K874" s="317" t="s">
        <v>203</v>
      </c>
      <c r="L874" s="134" t="str">
        <f>IF(AND('331-CT'!$E$7=TH!H874,OR(J874="331",K874="331")),"x","")</f>
        <v/>
      </c>
    </row>
    <row r="875" spans="1:12" hidden="1">
      <c r="A875" s="72">
        <f t="shared" si="33"/>
        <v>2015</v>
      </c>
      <c r="B875" s="72">
        <f t="shared" si="34"/>
        <v>10</v>
      </c>
      <c r="C875" s="313">
        <v>42285</v>
      </c>
      <c r="D875" s="313" t="s">
        <v>168</v>
      </c>
      <c r="E875" s="313">
        <v>42285</v>
      </c>
      <c r="F875" s="314" t="s">
        <v>638</v>
      </c>
      <c r="G875" s="318" t="s">
        <v>639</v>
      </c>
      <c r="H875" s="9" t="s">
        <v>640</v>
      </c>
      <c r="I875" s="74">
        <v>133818</v>
      </c>
      <c r="J875" s="317" t="s">
        <v>19</v>
      </c>
      <c r="K875" s="317" t="s">
        <v>203</v>
      </c>
      <c r="L875" s="134" t="str">
        <f>IF(AND('331-CT'!$E$7=TH!H875,OR(J875="331",K875="331")),"x","")</f>
        <v/>
      </c>
    </row>
    <row r="876" spans="1:12" hidden="1">
      <c r="A876" s="72">
        <f t="shared" si="33"/>
        <v>2015</v>
      </c>
      <c r="B876" s="72">
        <f t="shared" si="34"/>
        <v>10</v>
      </c>
      <c r="C876" s="313">
        <v>42285</v>
      </c>
      <c r="D876" s="313" t="s">
        <v>17</v>
      </c>
      <c r="E876" s="313">
        <v>42285</v>
      </c>
      <c r="F876" s="314" t="s">
        <v>301</v>
      </c>
      <c r="G876" s="318"/>
      <c r="H876" s="316" t="s">
        <v>407</v>
      </c>
      <c r="I876" s="74">
        <v>30000000</v>
      </c>
      <c r="J876" s="317" t="s">
        <v>18</v>
      </c>
      <c r="K876" s="317" t="s">
        <v>54</v>
      </c>
      <c r="L876" s="134" t="str">
        <f>IF(AND('331-CT'!$E$7=TH!H876,OR(J876="331",K876="331")),"x","")</f>
        <v/>
      </c>
    </row>
    <row r="877" spans="1:12" hidden="1">
      <c r="A877" s="72">
        <f t="shared" si="33"/>
        <v>2015</v>
      </c>
      <c r="B877" s="72">
        <f t="shared" si="34"/>
        <v>10</v>
      </c>
      <c r="C877" s="313">
        <v>42285</v>
      </c>
      <c r="D877" s="313" t="s">
        <v>17</v>
      </c>
      <c r="E877" s="313">
        <v>42285</v>
      </c>
      <c r="F877" s="314" t="s">
        <v>34</v>
      </c>
      <c r="G877" s="318"/>
      <c r="H877" s="316"/>
      <c r="I877" s="74">
        <v>25000</v>
      </c>
      <c r="J877" s="317" t="s">
        <v>242</v>
      </c>
      <c r="K877" s="317" t="s">
        <v>54</v>
      </c>
      <c r="L877" s="134" t="str">
        <f>IF(AND('331-CT'!$E$7=TH!H877,OR(J877="331",K877="331")),"x","")</f>
        <v/>
      </c>
    </row>
    <row r="878" spans="1:12" hidden="1">
      <c r="A878" s="72">
        <f t="shared" si="33"/>
        <v>2015</v>
      </c>
      <c r="B878" s="72">
        <f t="shared" si="34"/>
        <v>10</v>
      </c>
      <c r="C878" s="313">
        <v>42285</v>
      </c>
      <c r="D878" s="313" t="s">
        <v>17</v>
      </c>
      <c r="E878" s="313">
        <v>42285</v>
      </c>
      <c r="F878" s="314" t="s">
        <v>35</v>
      </c>
      <c r="G878" s="315"/>
      <c r="H878" s="316"/>
      <c r="I878" s="74">
        <v>2500</v>
      </c>
      <c r="J878" s="317" t="s">
        <v>19</v>
      </c>
      <c r="K878" s="317" t="s">
        <v>54</v>
      </c>
      <c r="L878" s="134" t="str">
        <f>IF(AND('331-CT'!$E$7=TH!H878,OR(J878="331",K878="331")),"x","")</f>
        <v/>
      </c>
    </row>
    <row r="879" spans="1:12" hidden="1">
      <c r="A879" s="72">
        <f t="shared" si="33"/>
        <v>2015</v>
      </c>
      <c r="B879" s="72">
        <f t="shared" si="34"/>
        <v>10</v>
      </c>
      <c r="C879" s="313">
        <v>42286</v>
      </c>
      <c r="D879" s="313" t="s">
        <v>169</v>
      </c>
      <c r="E879" s="313">
        <v>42286</v>
      </c>
      <c r="F879" s="314" t="s">
        <v>663</v>
      </c>
      <c r="G879" s="315" t="s">
        <v>662</v>
      </c>
      <c r="H879" s="316" t="s">
        <v>585</v>
      </c>
      <c r="I879" s="74">
        <v>1882000</v>
      </c>
      <c r="J879" s="317" t="s">
        <v>655</v>
      </c>
      <c r="K879" s="317" t="s">
        <v>203</v>
      </c>
      <c r="L879" s="134" t="str">
        <f>IF(AND('331-CT'!$E$7=TH!H879,OR(J879="331",K879="331")),"x","")</f>
        <v/>
      </c>
    </row>
    <row r="880" spans="1:12" hidden="1">
      <c r="A880" s="72">
        <f t="shared" si="33"/>
        <v>2015</v>
      </c>
      <c r="B880" s="72">
        <f t="shared" si="34"/>
        <v>10</v>
      </c>
      <c r="C880" s="313">
        <v>42286</v>
      </c>
      <c r="D880" s="313" t="s">
        <v>170</v>
      </c>
      <c r="E880" s="313">
        <v>42286</v>
      </c>
      <c r="F880" s="314" t="s">
        <v>725</v>
      </c>
      <c r="G880" s="315" t="s">
        <v>730</v>
      </c>
      <c r="H880" s="316" t="s">
        <v>727</v>
      </c>
      <c r="I880" s="74">
        <v>15000000</v>
      </c>
      <c r="J880" s="317" t="s">
        <v>655</v>
      </c>
      <c r="K880" s="317" t="s">
        <v>203</v>
      </c>
      <c r="L880" s="134" t="str">
        <f>IF(AND('331-CT'!$E$7=TH!H880,OR(J880="331",K880="331")),"x","")</f>
        <v/>
      </c>
    </row>
    <row r="881" spans="1:12" hidden="1">
      <c r="A881" s="72">
        <f t="shared" si="33"/>
        <v>2015</v>
      </c>
      <c r="B881" s="72">
        <f t="shared" si="34"/>
        <v>10</v>
      </c>
      <c r="C881" s="313">
        <v>42286</v>
      </c>
      <c r="D881" s="313" t="s">
        <v>170</v>
      </c>
      <c r="E881" s="313">
        <v>42286</v>
      </c>
      <c r="F881" s="314" t="s">
        <v>728</v>
      </c>
      <c r="G881" s="315" t="s">
        <v>730</v>
      </c>
      <c r="H881" s="316" t="s">
        <v>727</v>
      </c>
      <c r="I881" s="74">
        <v>1500000</v>
      </c>
      <c r="J881" s="317" t="s">
        <v>19</v>
      </c>
      <c r="K881" s="317" t="s">
        <v>203</v>
      </c>
      <c r="L881" s="134" t="str">
        <f>IF(AND('331-CT'!$E$7=TH!H881,OR(J881="331",K881="331")),"x","")</f>
        <v/>
      </c>
    </row>
    <row r="882" spans="1:12" hidden="1">
      <c r="A882" s="72">
        <f t="shared" si="33"/>
        <v>2015</v>
      </c>
      <c r="B882" s="72">
        <f t="shared" si="34"/>
        <v>10</v>
      </c>
      <c r="C882" s="313">
        <v>42287</v>
      </c>
      <c r="D882" s="313" t="s">
        <v>171</v>
      </c>
      <c r="E882" s="313">
        <v>42287</v>
      </c>
      <c r="F882" s="314" t="s">
        <v>633</v>
      </c>
      <c r="G882" s="315" t="s">
        <v>634</v>
      </c>
      <c r="H882" s="316" t="s">
        <v>635</v>
      </c>
      <c r="I882" s="74">
        <v>19200000</v>
      </c>
      <c r="J882" s="317" t="s">
        <v>655</v>
      </c>
      <c r="K882" s="317" t="s">
        <v>203</v>
      </c>
      <c r="L882" s="134" t="str">
        <f>IF(AND('331-CT'!$E$7=TH!H882,OR(J882="331",K882="331")),"x","")</f>
        <v/>
      </c>
    </row>
    <row r="883" spans="1:12" hidden="1">
      <c r="A883" s="72">
        <f t="shared" si="33"/>
        <v>2015</v>
      </c>
      <c r="B883" s="72">
        <f t="shared" si="34"/>
        <v>10</v>
      </c>
      <c r="C883" s="313">
        <v>42288</v>
      </c>
      <c r="D883" s="313" t="s">
        <v>495</v>
      </c>
      <c r="E883" s="313">
        <v>42288</v>
      </c>
      <c r="F883" s="314" t="s">
        <v>633</v>
      </c>
      <c r="G883" s="315" t="s">
        <v>636</v>
      </c>
      <c r="H883" s="316" t="s">
        <v>635</v>
      </c>
      <c r="I883" s="74">
        <v>18000000</v>
      </c>
      <c r="J883" s="317" t="s">
        <v>655</v>
      </c>
      <c r="K883" s="317" t="s">
        <v>203</v>
      </c>
      <c r="L883" s="134" t="str">
        <f>IF(AND('331-CT'!$E$7=TH!H883,OR(J883="331",K883="331")),"x","")</f>
        <v/>
      </c>
    </row>
    <row r="884" spans="1:12" hidden="1">
      <c r="A884" s="72">
        <f t="shared" si="33"/>
        <v>2015</v>
      </c>
      <c r="B884" s="72">
        <f t="shared" si="34"/>
        <v>10</v>
      </c>
      <c r="C884" s="313">
        <v>42288</v>
      </c>
      <c r="D884" s="313" t="s">
        <v>78</v>
      </c>
      <c r="E884" s="313">
        <v>42288</v>
      </c>
      <c r="F884" s="314" t="s">
        <v>715</v>
      </c>
      <c r="G884" s="315" t="s">
        <v>716</v>
      </c>
      <c r="H884" s="316" t="s">
        <v>649</v>
      </c>
      <c r="I884" s="74">
        <v>14553800</v>
      </c>
      <c r="J884" s="317" t="s">
        <v>242</v>
      </c>
      <c r="K884" s="317" t="s">
        <v>18</v>
      </c>
      <c r="L884" s="134" t="str">
        <f>IF(AND('331-CT'!$E$7=TH!H884,OR(J884="331",K884="331")),"x","")</f>
        <v/>
      </c>
    </row>
    <row r="885" spans="1:12" hidden="1">
      <c r="A885" s="72">
        <f t="shared" si="33"/>
        <v>2015</v>
      </c>
      <c r="B885" s="72">
        <f t="shared" si="34"/>
        <v>10</v>
      </c>
      <c r="C885" s="313">
        <v>42288</v>
      </c>
      <c r="D885" s="313" t="s">
        <v>78</v>
      </c>
      <c r="E885" s="313">
        <v>42288</v>
      </c>
      <c r="F885" s="314" t="s">
        <v>717</v>
      </c>
      <c r="G885" s="315" t="s">
        <v>716</v>
      </c>
      <c r="H885" s="316" t="s">
        <v>649</v>
      </c>
      <c r="I885" s="74">
        <v>1455380</v>
      </c>
      <c r="J885" s="317" t="s">
        <v>19</v>
      </c>
      <c r="K885" s="317" t="s">
        <v>18</v>
      </c>
      <c r="L885" s="134" t="str">
        <f>IF(AND('331-CT'!$E$7=TH!H885,OR(J885="331",K885="331")),"x","")</f>
        <v/>
      </c>
    </row>
    <row r="886" spans="1:12" hidden="1">
      <c r="A886" s="72">
        <f t="shared" si="33"/>
        <v>2015</v>
      </c>
      <c r="B886" s="72">
        <f t="shared" si="34"/>
        <v>10</v>
      </c>
      <c r="C886" s="313">
        <v>42288</v>
      </c>
      <c r="D886" s="313" t="s">
        <v>78</v>
      </c>
      <c r="E886" s="313">
        <v>42288</v>
      </c>
      <c r="F886" s="314" t="s">
        <v>718</v>
      </c>
      <c r="G886" s="315" t="s">
        <v>719</v>
      </c>
      <c r="H886" s="316" t="s">
        <v>649</v>
      </c>
      <c r="I886" s="74">
        <v>855763</v>
      </c>
      <c r="J886" s="317" t="s">
        <v>242</v>
      </c>
      <c r="K886" s="317" t="s">
        <v>18</v>
      </c>
      <c r="L886" s="134" t="str">
        <f>IF(AND('331-CT'!$E$7=TH!H886,OR(J886="331",K886="331")),"x","")</f>
        <v/>
      </c>
    </row>
    <row r="887" spans="1:12" hidden="1">
      <c r="A887" s="72">
        <f t="shared" si="33"/>
        <v>2015</v>
      </c>
      <c r="B887" s="72">
        <f t="shared" si="34"/>
        <v>10</v>
      </c>
      <c r="C887" s="313">
        <v>42288</v>
      </c>
      <c r="D887" s="313" t="s">
        <v>78</v>
      </c>
      <c r="E887" s="313">
        <v>42288</v>
      </c>
      <c r="F887" s="314" t="s">
        <v>720</v>
      </c>
      <c r="G887" s="315" t="s">
        <v>719</v>
      </c>
      <c r="H887" s="316" t="s">
        <v>649</v>
      </c>
      <c r="I887" s="74">
        <v>85576</v>
      </c>
      <c r="J887" s="317" t="s">
        <v>19</v>
      </c>
      <c r="K887" s="317" t="s">
        <v>18</v>
      </c>
      <c r="L887" s="134" t="str">
        <f>IF(AND('331-CT'!$E$7=TH!H887,OR(J887="331",K887="331")),"x","")</f>
        <v/>
      </c>
    </row>
    <row r="888" spans="1:12" hidden="1">
      <c r="A888" s="72">
        <f t="shared" si="33"/>
        <v>2015</v>
      </c>
      <c r="B888" s="72">
        <f t="shared" si="34"/>
        <v>10</v>
      </c>
      <c r="C888" s="313">
        <v>42289</v>
      </c>
      <c r="D888" s="313" t="s">
        <v>496</v>
      </c>
      <c r="E888" s="313">
        <v>42289</v>
      </c>
      <c r="F888" s="314" t="s">
        <v>641</v>
      </c>
      <c r="G888" s="315" t="s">
        <v>643</v>
      </c>
      <c r="H888" s="316" t="s">
        <v>644</v>
      </c>
      <c r="I888" s="74">
        <v>10000000</v>
      </c>
      <c r="J888" s="317" t="s">
        <v>655</v>
      </c>
      <c r="K888" s="317" t="s">
        <v>203</v>
      </c>
      <c r="L888" s="134" t="str">
        <f>IF(AND('331-CT'!$E$7=TH!H888,OR(J888="331",K888="331")),"x","")</f>
        <v/>
      </c>
    </row>
    <row r="889" spans="1:12" hidden="1">
      <c r="A889" s="72">
        <f t="shared" si="33"/>
        <v>2015</v>
      </c>
      <c r="B889" s="72">
        <f t="shared" si="34"/>
        <v>10</v>
      </c>
      <c r="C889" s="313">
        <v>42289</v>
      </c>
      <c r="D889" s="313" t="s">
        <v>496</v>
      </c>
      <c r="E889" s="313">
        <v>42289</v>
      </c>
      <c r="F889" s="314" t="s">
        <v>642</v>
      </c>
      <c r="G889" s="315" t="s">
        <v>643</v>
      </c>
      <c r="H889" s="316" t="s">
        <v>644</v>
      </c>
      <c r="I889" s="74">
        <v>1000000</v>
      </c>
      <c r="J889" s="317" t="s">
        <v>19</v>
      </c>
      <c r="K889" s="317" t="s">
        <v>203</v>
      </c>
      <c r="L889" s="134" t="str">
        <f>IF(AND('331-CT'!$E$7=TH!H889,OR(J889="331",K889="331")),"x","")</f>
        <v/>
      </c>
    </row>
    <row r="890" spans="1:12" hidden="1">
      <c r="A890" s="72">
        <f t="shared" si="33"/>
        <v>2015</v>
      </c>
      <c r="B890" s="72">
        <f t="shared" si="34"/>
        <v>10</v>
      </c>
      <c r="C890" s="313">
        <v>42290</v>
      </c>
      <c r="D890" s="313" t="s">
        <v>497</v>
      </c>
      <c r="E890" s="313">
        <v>42290</v>
      </c>
      <c r="F890" s="314" t="s">
        <v>752</v>
      </c>
      <c r="G890" s="315" t="s">
        <v>753</v>
      </c>
      <c r="H890" s="316" t="s">
        <v>754</v>
      </c>
      <c r="I890" s="74">
        <v>17985000</v>
      </c>
      <c r="J890" s="317" t="s">
        <v>655</v>
      </c>
      <c r="K890" s="317" t="s">
        <v>203</v>
      </c>
      <c r="L890" s="134" t="str">
        <f>IF(AND('331-CT'!$E$7=TH!H890,OR(J890="331",K890="331")),"x","")</f>
        <v/>
      </c>
    </row>
    <row r="891" spans="1:12" hidden="1">
      <c r="A891" s="72">
        <f t="shared" si="33"/>
        <v>2015</v>
      </c>
      <c r="B891" s="72">
        <f t="shared" si="34"/>
        <v>10</v>
      </c>
      <c r="C891" s="73">
        <v>42290</v>
      </c>
      <c r="D891" s="313" t="s">
        <v>497</v>
      </c>
      <c r="E891" s="73">
        <v>42290</v>
      </c>
      <c r="F891" s="76" t="s">
        <v>755</v>
      </c>
      <c r="G891" s="270" t="s">
        <v>753</v>
      </c>
      <c r="H891" s="122" t="s">
        <v>754</v>
      </c>
      <c r="I891" s="74">
        <v>1798500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 hidden="1">
      <c r="A892" s="72">
        <f t="shared" si="33"/>
        <v>2015</v>
      </c>
      <c r="B892" s="72">
        <f t="shared" si="34"/>
        <v>10</v>
      </c>
      <c r="C892" s="73">
        <v>42291</v>
      </c>
      <c r="D892" s="313" t="s">
        <v>498</v>
      </c>
      <c r="E892" s="73">
        <v>42291</v>
      </c>
      <c r="F892" s="76" t="s">
        <v>645</v>
      </c>
      <c r="G892" s="270" t="s">
        <v>646</v>
      </c>
      <c r="H892" s="122" t="s">
        <v>644</v>
      </c>
      <c r="I892" s="74">
        <v>11999996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 hidden="1">
      <c r="A893" s="72">
        <f t="shared" si="33"/>
        <v>2015</v>
      </c>
      <c r="B893" s="72">
        <f t="shared" si="34"/>
        <v>10</v>
      </c>
      <c r="C893" s="313">
        <v>42291</v>
      </c>
      <c r="D893" s="313" t="s">
        <v>498</v>
      </c>
      <c r="E893" s="313">
        <v>42291</v>
      </c>
      <c r="F893" s="314" t="s">
        <v>647</v>
      </c>
      <c r="G893" s="315" t="s">
        <v>646</v>
      </c>
      <c r="H893" s="316" t="s">
        <v>644</v>
      </c>
      <c r="I893" s="74">
        <v>1199999</v>
      </c>
      <c r="J893" s="317" t="s">
        <v>19</v>
      </c>
      <c r="K893" s="317" t="s">
        <v>203</v>
      </c>
      <c r="L893" s="134" t="str">
        <f>IF(AND('331-CT'!$E$7=TH!H893,OR(J893="331",K893="331")),"x","")</f>
        <v/>
      </c>
    </row>
    <row r="894" spans="1:12" hidden="1">
      <c r="A894" s="72">
        <f t="shared" si="33"/>
        <v>2015</v>
      </c>
      <c r="B894" s="72">
        <f t="shared" si="34"/>
        <v>10</v>
      </c>
      <c r="C894" s="313">
        <v>42291</v>
      </c>
      <c r="D894" s="313" t="s">
        <v>499</v>
      </c>
      <c r="E894" s="313">
        <v>42291</v>
      </c>
      <c r="F894" s="314" t="s">
        <v>752</v>
      </c>
      <c r="G894" s="315" t="s">
        <v>756</v>
      </c>
      <c r="H894" s="316" t="s">
        <v>754</v>
      </c>
      <c r="I894" s="74">
        <v>17985000</v>
      </c>
      <c r="J894" s="317" t="s">
        <v>655</v>
      </c>
      <c r="K894" s="317" t="s">
        <v>203</v>
      </c>
      <c r="L894" s="134" t="str">
        <f>IF(AND('331-CT'!$E$7=TH!H914,OR(J894="331",K894="331")),"x","")</f>
        <v/>
      </c>
    </row>
    <row r="895" spans="1:12" hidden="1">
      <c r="A895" s="72">
        <f t="shared" si="33"/>
        <v>2015</v>
      </c>
      <c r="B895" s="72">
        <f t="shared" si="34"/>
        <v>10</v>
      </c>
      <c r="C895" s="313">
        <v>42291</v>
      </c>
      <c r="D895" s="313" t="s">
        <v>499</v>
      </c>
      <c r="E895" s="313">
        <v>42291</v>
      </c>
      <c r="F895" s="314" t="s">
        <v>755</v>
      </c>
      <c r="G895" s="315" t="s">
        <v>756</v>
      </c>
      <c r="H895" s="316" t="s">
        <v>754</v>
      </c>
      <c r="I895" s="74">
        <v>1798500</v>
      </c>
      <c r="J895" s="317" t="s">
        <v>19</v>
      </c>
      <c r="K895" s="317" t="s">
        <v>203</v>
      </c>
      <c r="L895" s="134" t="str">
        <f>IF(AND('331-CT'!$E$7=TH!H915,OR(J895="331",K895="331")),"x","")</f>
        <v/>
      </c>
    </row>
    <row r="896" spans="1:12" hidden="1">
      <c r="A896" s="72">
        <f t="shared" si="33"/>
        <v>2015</v>
      </c>
      <c r="B896" s="72">
        <f t="shared" si="34"/>
        <v>10</v>
      </c>
      <c r="C896" s="313">
        <v>42291</v>
      </c>
      <c r="D896" s="313" t="s">
        <v>500</v>
      </c>
      <c r="E896" s="313">
        <v>42268</v>
      </c>
      <c r="F896" s="314" t="s">
        <v>650</v>
      </c>
      <c r="G896" s="315" t="s">
        <v>651</v>
      </c>
      <c r="H896" s="316" t="s">
        <v>188</v>
      </c>
      <c r="I896" s="74">
        <v>2900800</v>
      </c>
      <c r="J896" s="317" t="s">
        <v>242</v>
      </c>
      <c r="K896" s="317" t="s">
        <v>203</v>
      </c>
      <c r="L896" s="134" t="str">
        <f>IF(AND('331-CT'!$E$7=TH!H916,OR(J896="331",K896="331")),"x","")</f>
        <v/>
      </c>
    </row>
    <row r="897" spans="1:12" hidden="1">
      <c r="A897" s="72">
        <f t="shared" si="33"/>
        <v>2015</v>
      </c>
      <c r="B897" s="72">
        <f t="shared" si="34"/>
        <v>10</v>
      </c>
      <c r="C897" s="313">
        <v>42291</v>
      </c>
      <c r="D897" s="313" t="s">
        <v>500</v>
      </c>
      <c r="E897" s="313">
        <v>42268</v>
      </c>
      <c r="F897" s="314" t="s">
        <v>652</v>
      </c>
      <c r="G897" s="315" t="s">
        <v>651</v>
      </c>
      <c r="H897" s="316" t="s">
        <v>188</v>
      </c>
      <c r="I897" s="74">
        <v>145040</v>
      </c>
      <c r="J897" s="317" t="s">
        <v>19</v>
      </c>
      <c r="K897" s="317" t="s">
        <v>203</v>
      </c>
      <c r="L897" s="134" t="str">
        <f>IF(AND('331-CT'!$E$7=TH!H894,OR(J897="331",K897="331")),"x","")</f>
        <v/>
      </c>
    </row>
    <row r="898" spans="1:12" hidden="1">
      <c r="A898" s="72">
        <f t="shared" si="33"/>
        <v>2015</v>
      </c>
      <c r="B898" s="72">
        <f t="shared" si="34"/>
        <v>10</v>
      </c>
      <c r="C898" s="313">
        <v>42291</v>
      </c>
      <c r="D898" s="313" t="s">
        <v>501</v>
      </c>
      <c r="E898" s="313">
        <v>42291</v>
      </c>
      <c r="F898" s="314" t="s">
        <v>576</v>
      </c>
      <c r="G898" s="315"/>
      <c r="H898" s="316" t="s">
        <v>272</v>
      </c>
      <c r="I898" s="74">
        <v>150000000</v>
      </c>
      <c r="J898" s="317" t="s">
        <v>54</v>
      </c>
      <c r="K898" s="317" t="s">
        <v>203</v>
      </c>
      <c r="L898" s="134" t="str">
        <f>IF(AND('331-CT'!$E$7=TH!H895,OR(J898="331",K898="331")),"x","")</f>
        <v/>
      </c>
    </row>
    <row r="899" spans="1:12" hidden="1">
      <c r="A899" s="72">
        <f t="shared" si="33"/>
        <v>2015</v>
      </c>
      <c r="B899" s="72">
        <f t="shared" si="34"/>
        <v>10</v>
      </c>
      <c r="C899" s="313">
        <v>42291</v>
      </c>
      <c r="D899" s="313" t="s">
        <v>17</v>
      </c>
      <c r="E899" s="313">
        <v>42291</v>
      </c>
      <c r="F899" s="314" t="s">
        <v>301</v>
      </c>
      <c r="G899" s="315"/>
      <c r="H899" s="316" t="s">
        <v>306</v>
      </c>
      <c r="I899" s="74">
        <v>150000000</v>
      </c>
      <c r="J899" s="317" t="s">
        <v>18</v>
      </c>
      <c r="K899" s="317" t="s">
        <v>54</v>
      </c>
      <c r="L899" s="134" t="str">
        <f>IF(AND('331-CT'!$E$7=TH!H896,OR(J899="331",K899="331")),"x","")</f>
        <v/>
      </c>
    </row>
    <row r="900" spans="1:12" hidden="1">
      <c r="A900" s="72">
        <f t="shared" si="33"/>
        <v>2015</v>
      </c>
      <c r="B900" s="72">
        <f t="shared" si="34"/>
        <v>10</v>
      </c>
      <c r="C900" s="313">
        <v>42291</v>
      </c>
      <c r="D900" s="313" t="s">
        <v>17</v>
      </c>
      <c r="E900" s="313">
        <v>42291</v>
      </c>
      <c r="F900" s="314" t="s">
        <v>34</v>
      </c>
      <c r="G900" s="315"/>
      <c r="H900" s="316"/>
      <c r="I900" s="74">
        <v>106738</v>
      </c>
      <c r="J900" s="317" t="s">
        <v>242</v>
      </c>
      <c r="K900" s="317" t="s">
        <v>54</v>
      </c>
      <c r="L900" s="134" t="str">
        <f>IF(AND('331-CT'!$E$7=TH!H910,OR(J900="331",K900="331")),"x","")</f>
        <v/>
      </c>
    </row>
    <row r="901" spans="1:12" hidden="1">
      <c r="A901" s="72">
        <f t="shared" si="33"/>
        <v>2015</v>
      </c>
      <c r="B901" s="72">
        <f t="shared" si="34"/>
        <v>10</v>
      </c>
      <c r="C901" s="313">
        <v>42291</v>
      </c>
      <c r="D901" s="313" t="s">
        <v>17</v>
      </c>
      <c r="E901" s="313">
        <v>42291</v>
      </c>
      <c r="F901" s="314" t="s">
        <v>35</v>
      </c>
      <c r="G901" s="315"/>
      <c r="H901" s="316"/>
      <c r="I901" s="74">
        <v>10674</v>
      </c>
      <c r="J901" s="317" t="s">
        <v>19</v>
      </c>
      <c r="K901" s="317" t="s">
        <v>54</v>
      </c>
      <c r="L901" s="134" t="str">
        <f>IF(AND('331-CT'!$E$7=TH!H911,OR(J901="331",K901="331")),"x","")</f>
        <v/>
      </c>
    </row>
    <row r="902" spans="1:12" hidden="1">
      <c r="A902" s="72">
        <f t="shared" si="33"/>
        <v>2015</v>
      </c>
      <c r="B902" s="72">
        <f t="shared" si="34"/>
        <v>10</v>
      </c>
      <c r="C902" s="73">
        <v>42291</v>
      </c>
      <c r="D902" s="313" t="s">
        <v>502</v>
      </c>
      <c r="E902" s="73">
        <v>42291</v>
      </c>
      <c r="F902" s="76" t="s">
        <v>725</v>
      </c>
      <c r="G902" s="270" t="s">
        <v>731</v>
      </c>
      <c r="H902" s="122" t="s">
        <v>727</v>
      </c>
      <c r="I902" s="74">
        <v>15000000</v>
      </c>
      <c r="J902" s="75" t="s">
        <v>655</v>
      </c>
      <c r="K902" s="75" t="s">
        <v>203</v>
      </c>
      <c r="L902" s="134" t="str">
        <f>IF(AND('331-CT'!$E$7=TH!H912,OR(J902="331",K902="331")),"x","")</f>
        <v/>
      </c>
    </row>
    <row r="903" spans="1:12" hidden="1">
      <c r="A903" s="72">
        <f t="shared" si="33"/>
        <v>2015</v>
      </c>
      <c r="B903" s="72">
        <f t="shared" si="34"/>
        <v>10</v>
      </c>
      <c r="C903" s="73">
        <v>42291</v>
      </c>
      <c r="D903" s="313" t="s">
        <v>502</v>
      </c>
      <c r="E903" s="73">
        <v>42291</v>
      </c>
      <c r="F903" s="76" t="s">
        <v>728</v>
      </c>
      <c r="G903" s="270" t="s">
        <v>731</v>
      </c>
      <c r="H903" s="122" t="s">
        <v>727</v>
      </c>
      <c r="I903" s="74">
        <v>1500000</v>
      </c>
      <c r="J903" s="75" t="s">
        <v>19</v>
      </c>
      <c r="K903" s="75" t="s">
        <v>203</v>
      </c>
      <c r="L903" s="134" t="str">
        <f>IF(AND('331-CT'!$E$7=TH!H913,OR(J903="331",K903="331")),"x","")</f>
        <v/>
      </c>
    </row>
    <row r="904" spans="1:12" hidden="1">
      <c r="A904" s="72">
        <f t="shared" si="33"/>
        <v>2015</v>
      </c>
      <c r="B904" s="72">
        <f t="shared" si="34"/>
        <v>10</v>
      </c>
      <c r="C904" s="313">
        <v>42292</v>
      </c>
      <c r="D904" s="313" t="s">
        <v>503</v>
      </c>
      <c r="E904" s="313">
        <v>42292</v>
      </c>
      <c r="F904" s="314" t="s">
        <v>752</v>
      </c>
      <c r="G904" s="315" t="s">
        <v>757</v>
      </c>
      <c r="H904" s="316" t="s">
        <v>754</v>
      </c>
      <c r="I904" s="74">
        <v>17985000</v>
      </c>
      <c r="J904" s="317" t="s">
        <v>655</v>
      </c>
      <c r="K904" s="317" t="s">
        <v>203</v>
      </c>
      <c r="L904" s="134" t="str">
        <f>IF(AND('331-CT'!$E$7=TH!H897,OR(J904="331",K904="331")),"x","")</f>
        <v/>
      </c>
    </row>
    <row r="905" spans="1:12" hidden="1">
      <c r="A905" s="72">
        <f t="shared" si="33"/>
        <v>2015</v>
      </c>
      <c r="B905" s="72">
        <f t="shared" si="34"/>
        <v>10</v>
      </c>
      <c r="C905" s="313">
        <v>42292</v>
      </c>
      <c r="D905" s="313" t="s">
        <v>503</v>
      </c>
      <c r="E905" s="313">
        <v>42292</v>
      </c>
      <c r="F905" s="314" t="s">
        <v>755</v>
      </c>
      <c r="G905" s="315" t="s">
        <v>757</v>
      </c>
      <c r="H905" s="316" t="s">
        <v>754</v>
      </c>
      <c r="I905" s="74">
        <v>1798500</v>
      </c>
      <c r="J905" s="317" t="s">
        <v>19</v>
      </c>
      <c r="K905" s="317" t="s">
        <v>203</v>
      </c>
      <c r="L905" s="134" t="str">
        <f>IF(AND('331-CT'!$E$7=TH!H898,OR(J905="331",K905="331")),"x","")</f>
        <v/>
      </c>
    </row>
    <row r="906" spans="1:12" hidden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3">
        <v>42292</v>
      </c>
      <c r="D906" s="313" t="s">
        <v>20</v>
      </c>
      <c r="E906" s="313">
        <v>42292</v>
      </c>
      <c r="F906" s="314" t="s">
        <v>579</v>
      </c>
      <c r="G906" s="315"/>
      <c r="H906" s="316" t="s">
        <v>431</v>
      </c>
      <c r="I906" s="74">
        <v>1000000000</v>
      </c>
      <c r="J906" s="317" t="s">
        <v>203</v>
      </c>
      <c r="K906" s="317" t="s">
        <v>39</v>
      </c>
      <c r="L906" s="134" t="str">
        <f>IF(AND('331-CT'!$E$7=TH!H899,OR(J906="331",K906="331")),"x","")</f>
        <v/>
      </c>
    </row>
    <row r="907" spans="1:12" hidden="1">
      <c r="A907" s="72">
        <f t="shared" si="35"/>
        <v>2015</v>
      </c>
      <c r="B907" s="72">
        <f t="shared" si="36"/>
        <v>10</v>
      </c>
      <c r="C907" s="313">
        <v>42292</v>
      </c>
      <c r="D907" s="313" t="s">
        <v>17</v>
      </c>
      <c r="E907" s="313">
        <v>42292</v>
      </c>
      <c r="F907" s="314" t="s">
        <v>721</v>
      </c>
      <c r="G907" s="315"/>
      <c r="H907" s="316" t="s">
        <v>751</v>
      </c>
      <c r="I907" s="74">
        <v>16950519</v>
      </c>
      <c r="J907" s="317" t="s">
        <v>212</v>
      </c>
      <c r="K907" s="317" t="s">
        <v>54</v>
      </c>
      <c r="L907" s="134" t="str">
        <f>IF(AND('331-CT'!$E$7=TH!H900,OR(J907="331",K907="331")),"x","")</f>
        <v/>
      </c>
    </row>
    <row r="908" spans="1:12" hidden="1">
      <c r="A908" s="72">
        <f t="shared" si="35"/>
        <v>2015</v>
      </c>
      <c r="B908" s="72">
        <f t="shared" si="36"/>
        <v>10</v>
      </c>
      <c r="C908" s="313">
        <v>42292</v>
      </c>
      <c r="D908" s="313" t="s">
        <v>17</v>
      </c>
      <c r="E908" s="313">
        <v>42292</v>
      </c>
      <c r="F908" s="314" t="s">
        <v>34</v>
      </c>
      <c r="G908" s="315"/>
      <c r="H908" s="316"/>
      <c r="I908" s="74">
        <v>45000</v>
      </c>
      <c r="J908" s="317" t="s">
        <v>242</v>
      </c>
      <c r="K908" s="317" t="s">
        <v>54</v>
      </c>
      <c r="L908" s="134" t="str">
        <f>IF(AND('331-CT'!$E$7=TH!H901,OR(J908="331",K908="331")),"x","")</f>
        <v/>
      </c>
    </row>
    <row r="909" spans="1:12" hidden="1">
      <c r="A909" s="72">
        <f t="shared" si="35"/>
        <v>2015</v>
      </c>
      <c r="B909" s="72">
        <f t="shared" si="36"/>
        <v>10</v>
      </c>
      <c r="C909" s="313">
        <v>42292</v>
      </c>
      <c r="D909" s="313" t="s">
        <v>17</v>
      </c>
      <c r="E909" s="313">
        <v>42292</v>
      </c>
      <c r="F909" s="314" t="s">
        <v>35</v>
      </c>
      <c r="G909" s="318"/>
      <c r="H909" s="316"/>
      <c r="I909" s="74">
        <v>4500</v>
      </c>
      <c r="J909" s="317" t="s">
        <v>19</v>
      </c>
      <c r="K909" s="317" t="s">
        <v>54</v>
      </c>
      <c r="L909" s="134" t="str">
        <f>IF(AND('331-CT'!$E$7=TH!H902,OR(J909="331",K909="331")),"x","")</f>
        <v/>
      </c>
    </row>
    <row r="910" spans="1:12" hidden="1">
      <c r="A910" s="72">
        <f t="shared" si="35"/>
        <v>2015</v>
      </c>
      <c r="B910" s="72">
        <f t="shared" si="36"/>
        <v>10</v>
      </c>
      <c r="C910" s="313">
        <v>42293</v>
      </c>
      <c r="D910" s="313" t="s">
        <v>21</v>
      </c>
      <c r="E910" s="313">
        <v>42293</v>
      </c>
      <c r="F910" s="314" t="s">
        <v>722</v>
      </c>
      <c r="G910" s="318"/>
      <c r="H910" s="316" t="s">
        <v>751</v>
      </c>
      <c r="I910" s="74">
        <v>16950519</v>
      </c>
      <c r="J910" s="317" t="s">
        <v>54</v>
      </c>
      <c r="K910" s="317" t="s">
        <v>212</v>
      </c>
      <c r="L910" s="134" t="str">
        <f>IF(AND('331-CT'!$E$7=TH!H903,OR(J910="331",K910="331")),"x","")</f>
        <v/>
      </c>
    </row>
    <row r="911" spans="1:12" hidden="1">
      <c r="A911" s="72">
        <f t="shared" si="35"/>
        <v>2015</v>
      </c>
      <c r="B911" s="72">
        <f t="shared" si="36"/>
        <v>10</v>
      </c>
      <c r="C911" s="313">
        <v>42293</v>
      </c>
      <c r="D911" s="313" t="s">
        <v>17</v>
      </c>
      <c r="E911" s="313">
        <v>42293</v>
      </c>
      <c r="F911" s="314" t="s">
        <v>721</v>
      </c>
      <c r="G911" s="315"/>
      <c r="H911" s="316" t="s">
        <v>649</v>
      </c>
      <c r="I911" s="74">
        <v>16950519</v>
      </c>
      <c r="J911" s="317" t="s">
        <v>18</v>
      </c>
      <c r="K911" s="317" t="s">
        <v>54</v>
      </c>
      <c r="L911" s="134" t="str">
        <f>IF(AND('331-CT'!$E$7=TH!H917,OR(J911="331",K911="331")),"x","")</f>
        <v/>
      </c>
    </row>
    <row r="912" spans="1:12" hidden="1">
      <c r="A912" s="72">
        <f t="shared" si="35"/>
        <v>2015</v>
      </c>
      <c r="B912" s="72">
        <f t="shared" si="36"/>
        <v>10</v>
      </c>
      <c r="C912" s="313">
        <v>42293</v>
      </c>
      <c r="D912" s="313" t="s">
        <v>17</v>
      </c>
      <c r="E912" s="313">
        <v>42293</v>
      </c>
      <c r="F912" s="314" t="s">
        <v>34</v>
      </c>
      <c r="G912" s="315"/>
      <c r="H912" s="316"/>
      <c r="I912" s="74">
        <v>25000</v>
      </c>
      <c r="J912" s="317" t="s">
        <v>242</v>
      </c>
      <c r="K912" s="317" t="s">
        <v>54</v>
      </c>
      <c r="L912" s="134" t="str">
        <f>IF(AND('331-CT'!$E$7=TH!H918,OR(J912="331",K912="331")),"x","")</f>
        <v/>
      </c>
    </row>
    <row r="913" spans="1:12" hidden="1">
      <c r="A913" s="72">
        <f t="shared" si="35"/>
        <v>2015</v>
      </c>
      <c r="B913" s="72">
        <f t="shared" si="36"/>
        <v>10</v>
      </c>
      <c r="C913" s="313">
        <v>42293</v>
      </c>
      <c r="D913" s="313" t="s">
        <v>17</v>
      </c>
      <c r="E913" s="313">
        <v>42293</v>
      </c>
      <c r="F913" s="314" t="s">
        <v>35</v>
      </c>
      <c r="G913" s="315"/>
      <c r="H913" s="316"/>
      <c r="I913" s="74">
        <v>2500</v>
      </c>
      <c r="J913" s="317" t="s">
        <v>19</v>
      </c>
      <c r="K913" s="317" t="s">
        <v>54</v>
      </c>
      <c r="L913" s="134" t="str">
        <f>IF(AND('331-CT'!$E$7=TH!H919,OR(J913="331",K913="331")),"x","")</f>
        <v/>
      </c>
    </row>
    <row r="914" spans="1:12" hidden="1">
      <c r="A914" s="72">
        <f t="shared" si="35"/>
        <v>2015</v>
      </c>
      <c r="B914" s="72">
        <f t="shared" si="36"/>
        <v>10</v>
      </c>
      <c r="C914" s="319">
        <v>42297</v>
      </c>
      <c r="D914" s="319" t="s">
        <v>17</v>
      </c>
      <c r="E914" s="319">
        <v>42297</v>
      </c>
      <c r="F914" s="320" t="s">
        <v>119</v>
      </c>
      <c r="G914" s="321"/>
      <c r="H914" s="322" t="s">
        <v>314</v>
      </c>
      <c r="I914" s="133">
        <v>7919801</v>
      </c>
      <c r="J914" s="323" t="s">
        <v>240</v>
      </c>
      <c r="K914" s="323" t="s">
        <v>54</v>
      </c>
      <c r="L914" s="134" t="str">
        <f>IF(AND('331-CT'!$E$7=TH!H920,OR(J914="331",K914="331")),"x","")</f>
        <v/>
      </c>
    </row>
    <row r="915" spans="1:12" hidden="1">
      <c r="A915" s="72">
        <f t="shared" si="35"/>
        <v>2015</v>
      </c>
      <c r="B915" s="72">
        <f t="shared" si="36"/>
        <v>10</v>
      </c>
      <c r="C915" s="313">
        <v>42297</v>
      </c>
      <c r="D915" s="319" t="s">
        <v>17</v>
      </c>
      <c r="E915" s="313">
        <v>42297</v>
      </c>
      <c r="F915" s="314" t="s">
        <v>145</v>
      </c>
      <c r="G915" s="315"/>
      <c r="H915" s="316" t="s">
        <v>318</v>
      </c>
      <c r="I915" s="74">
        <v>7919801</v>
      </c>
      <c r="J915" s="317" t="s">
        <v>240</v>
      </c>
      <c r="K915" s="317" t="s">
        <v>54</v>
      </c>
      <c r="L915" s="134" t="str">
        <f>IF(AND('331-CT'!$E$7=TH!H921,OR(J915="331",K915="331")),"x","")</f>
        <v/>
      </c>
    </row>
    <row r="916" spans="1:12" hidden="1">
      <c r="A916" s="72">
        <f t="shared" si="35"/>
        <v>2015</v>
      </c>
      <c r="B916" s="72">
        <f t="shared" si="36"/>
        <v>10</v>
      </c>
      <c r="C916" s="73">
        <v>42297</v>
      </c>
      <c r="D916" s="73" t="s">
        <v>17</v>
      </c>
      <c r="E916" s="73">
        <v>42297</v>
      </c>
      <c r="F916" s="76" t="s">
        <v>303</v>
      </c>
      <c r="G916" s="270"/>
      <c r="H916" s="316" t="s">
        <v>321</v>
      </c>
      <c r="I916" s="74">
        <v>11087720</v>
      </c>
      <c r="J916" s="75" t="s">
        <v>240</v>
      </c>
      <c r="K916" s="75" t="s">
        <v>54</v>
      </c>
      <c r="L916" s="134" t="str">
        <f>IF(AND('331-CT'!$E$7=TH!H922,OR(J916="331",K916="331")),"x","")</f>
        <v/>
      </c>
    </row>
    <row r="917" spans="1:12" hidden="1">
      <c r="A917" s="72">
        <f t="shared" si="35"/>
        <v>2015</v>
      </c>
      <c r="B917" s="72">
        <f t="shared" si="36"/>
        <v>10</v>
      </c>
      <c r="C917" s="73">
        <v>42297</v>
      </c>
      <c r="D917" s="73" t="s">
        <v>504</v>
      </c>
      <c r="E917" s="73">
        <v>42297</v>
      </c>
      <c r="F917" s="76" t="s">
        <v>725</v>
      </c>
      <c r="G917" s="270" t="s">
        <v>732</v>
      </c>
      <c r="H917" s="316" t="s">
        <v>727</v>
      </c>
      <c r="I917" s="74">
        <v>15000000</v>
      </c>
      <c r="J917" s="75" t="s">
        <v>655</v>
      </c>
      <c r="K917" s="75" t="s">
        <v>203</v>
      </c>
      <c r="L917" s="134" t="str">
        <f>IF(AND('331-CT'!$E$7=TH!H923,OR(J917="331",K917="331")),"x","")</f>
        <v/>
      </c>
    </row>
    <row r="918" spans="1:12" hidden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504</v>
      </c>
      <c r="E918" s="73">
        <v>42297</v>
      </c>
      <c r="F918" s="76" t="s">
        <v>728</v>
      </c>
      <c r="G918" s="270" t="s">
        <v>732</v>
      </c>
      <c r="H918" s="316" t="s">
        <v>727</v>
      </c>
      <c r="I918" s="74">
        <v>1500000</v>
      </c>
      <c r="J918" s="75" t="s">
        <v>19</v>
      </c>
      <c r="K918" s="75" t="s">
        <v>203</v>
      </c>
      <c r="L918" s="134" t="str">
        <f>IF(AND('331-CT'!$E$7=TH!H924,OR(J918="331",K918="331")),"x","")</f>
        <v/>
      </c>
    </row>
    <row r="919" spans="1:12" hidden="1">
      <c r="A919" s="72">
        <f t="shared" si="35"/>
        <v>2015</v>
      </c>
      <c r="B919" s="72">
        <f t="shared" si="36"/>
        <v>10</v>
      </c>
      <c r="C919" s="130">
        <v>42298</v>
      </c>
      <c r="D919" s="130" t="s">
        <v>505</v>
      </c>
      <c r="E919" s="130">
        <v>42298</v>
      </c>
      <c r="F919" s="131" t="s">
        <v>733</v>
      </c>
      <c r="G919" s="271" t="s">
        <v>734</v>
      </c>
      <c r="H919" s="322" t="s">
        <v>727</v>
      </c>
      <c r="I919" s="133">
        <v>13390000</v>
      </c>
      <c r="J919" s="134" t="s">
        <v>655</v>
      </c>
      <c r="K919" s="134" t="s">
        <v>203</v>
      </c>
      <c r="L919" s="134" t="str">
        <f>IF(AND('331-CT'!$E$7=TH!H925,OR(J919="331",K919="331")),"x","")</f>
        <v/>
      </c>
    </row>
    <row r="920" spans="1:12" hidden="1">
      <c r="A920" s="72">
        <f t="shared" si="35"/>
        <v>2015</v>
      </c>
      <c r="B920" s="72">
        <f t="shared" si="36"/>
        <v>10</v>
      </c>
      <c r="C920" s="73">
        <v>42298</v>
      </c>
      <c r="D920" s="73" t="s">
        <v>505</v>
      </c>
      <c r="E920" s="73">
        <v>42298</v>
      </c>
      <c r="F920" s="76" t="s">
        <v>735</v>
      </c>
      <c r="G920" s="270" t="s">
        <v>734</v>
      </c>
      <c r="H920" s="122" t="s">
        <v>727</v>
      </c>
      <c r="I920" s="74">
        <v>1339000</v>
      </c>
      <c r="J920" s="75" t="s">
        <v>19</v>
      </c>
      <c r="K920" s="75" t="s">
        <v>203</v>
      </c>
      <c r="L920" s="134" t="str">
        <f>IF(AND('331-CT'!$E$7=TH!H926,OR(J920="331",K920="331")),"x","")</f>
        <v/>
      </c>
    </row>
    <row r="921" spans="1:12" hidden="1">
      <c r="A921" s="72">
        <f t="shared" si="35"/>
        <v>2015</v>
      </c>
      <c r="B921" s="72">
        <f t="shared" si="36"/>
        <v>10</v>
      </c>
      <c r="C921" s="73">
        <v>42298</v>
      </c>
      <c r="D921" s="73" t="s">
        <v>506</v>
      </c>
      <c r="E921" s="73">
        <v>42298</v>
      </c>
      <c r="F921" s="76" t="s">
        <v>758</v>
      </c>
      <c r="G921" s="270" t="s">
        <v>759</v>
      </c>
      <c r="H921" s="122" t="s">
        <v>188</v>
      </c>
      <c r="I921" s="74">
        <v>4773000</v>
      </c>
      <c r="J921" s="75" t="s">
        <v>242</v>
      </c>
      <c r="K921" s="75" t="s">
        <v>203</v>
      </c>
      <c r="L921" s="134" t="str">
        <f>IF(AND('331-CT'!$E$7=TH!H927,OR(J921="331",K921="331")),"x","")</f>
        <v/>
      </c>
    </row>
    <row r="922" spans="1:12" hidden="1">
      <c r="A922" s="72">
        <f t="shared" si="35"/>
        <v>2015</v>
      </c>
      <c r="B922" s="72">
        <f t="shared" si="36"/>
        <v>10</v>
      </c>
      <c r="C922" s="130">
        <v>42298</v>
      </c>
      <c r="D922" s="130" t="s">
        <v>506</v>
      </c>
      <c r="E922" s="130">
        <v>42298</v>
      </c>
      <c r="F922" s="131" t="s">
        <v>760</v>
      </c>
      <c r="G922" s="271" t="s">
        <v>759</v>
      </c>
      <c r="H922" s="322" t="s">
        <v>188</v>
      </c>
      <c r="I922" s="133">
        <v>238650</v>
      </c>
      <c r="J922" s="134" t="s">
        <v>19</v>
      </c>
      <c r="K922" s="134" t="s">
        <v>203</v>
      </c>
      <c r="L922" s="134" t="str">
        <f>IF(AND('331-CT'!$E$7=TH!H928,OR(J922="331",K922="331")),"x","")</f>
        <v/>
      </c>
    </row>
    <row r="923" spans="1:12" hidden="1">
      <c r="A923" s="72">
        <f t="shared" si="35"/>
        <v>2015</v>
      </c>
      <c r="B923" s="72">
        <f t="shared" si="36"/>
        <v>10</v>
      </c>
      <c r="C923" s="73">
        <v>42299</v>
      </c>
      <c r="D923" s="73" t="s">
        <v>507</v>
      </c>
      <c r="E923" s="73">
        <v>42299</v>
      </c>
      <c r="F923" s="76" t="s">
        <v>576</v>
      </c>
      <c r="G923" s="265"/>
      <c r="H923" s="122" t="s">
        <v>272</v>
      </c>
      <c r="I923" s="74">
        <v>140000000</v>
      </c>
      <c r="J923" s="75" t="s">
        <v>54</v>
      </c>
      <c r="K923" s="75" t="s">
        <v>203</v>
      </c>
      <c r="L923" s="134" t="str">
        <f>IF(AND('331-CT'!$E$7=TH!H929,OR(J923="331",K923="331")),"x","")</f>
        <v/>
      </c>
    </row>
    <row r="924" spans="1:12" hidden="1">
      <c r="A924" s="72">
        <f t="shared" si="35"/>
        <v>2015</v>
      </c>
      <c r="B924" s="72">
        <f t="shared" si="36"/>
        <v>10</v>
      </c>
      <c r="C924" s="73">
        <v>42299</v>
      </c>
      <c r="D924" s="73" t="s">
        <v>17</v>
      </c>
      <c r="E924" s="73">
        <v>42299</v>
      </c>
      <c r="F924" s="76" t="s">
        <v>141</v>
      </c>
      <c r="G924" s="265"/>
      <c r="H924" s="122" t="s">
        <v>315</v>
      </c>
      <c r="I924" s="74">
        <v>15852135</v>
      </c>
      <c r="J924" s="75" t="s">
        <v>240</v>
      </c>
      <c r="K924" s="75" t="s">
        <v>54</v>
      </c>
      <c r="L924" s="134" t="str">
        <f>IF(AND('331-CT'!$E$7=TH!H904,OR(J924="331",K924="331")),"x","")</f>
        <v/>
      </c>
    </row>
    <row r="925" spans="1:12" hidden="1">
      <c r="A925" s="72">
        <f t="shared" si="35"/>
        <v>2015</v>
      </c>
      <c r="B925" s="72">
        <f t="shared" si="36"/>
        <v>10</v>
      </c>
      <c r="C925" s="73">
        <v>42299</v>
      </c>
      <c r="D925" s="73" t="s">
        <v>17</v>
      </c>
      <c r="E925" s="73">
        <v>42299</v>
      </c>
      <c r="F925" s="76" t="s">
        <v>143</v>
      </c>
      <c r="G925" s="265"/>
      <c r="H925" s="122" t="s">
        <v>317</v>
      </c>
      <c r="I925" s="74">
        <v>12681709</v>
      </c>
      <c r="J925" s="75" t="s">
        <v>240</v>
      </c>
      <c r="K925" s="75" t="s">
        <v>54</v>
      </c>
      <c r="L925" s="134" t="str">
        <f>IF(AND('331-CT'!$E$7=TH!H930,OR(J925="331",K925="331")),"x","")</f>
        <v/>
      </c>
    </row>
    <row r="926" spans="1:12" hidden="1">
      <c r="A926" s="72">
        <f t="shared" si="35"/>
        <v>2015</v>
      </c>
      <c r="B926" s="72">
        <f t="shared" si="36"/>
        <v>10</v>
      </c>
      <c r="C926" s="73">
        <v>42299</v>
      </c>
      <c r="D926" s="73" t="s">
        <v>17</v>
      </c>
      <c r="E926" s="73">
        <v>42299</v>
      </c>
      <c r="F926" s="76" t="s">
        <v>144</v>
      </c>
      <c r="G926" s="265"/>
      <c r="H926" s="122" t="s">
        <v>316</v>
      </c>
      <c r="I926" s="74">
        <v>11889102</v>
      </c>
      <c r="J926" s="75" t="s">
        <v>240</v>
      </c>
      <c r="K926" s="75" t="s">
        <v>54</v>
      </c>
      <c r="L926" s="134" t="str">
        <f>IF(AND('331-CT'!$E$7=TH!H931,OR(J926="331",K926="331")),"x","")</f>
        <v/>
      </c>
    </row>
    <row r="927" spans="1:12" hidden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17</v>
      </c>
      <c r="E927" s="73">
        <v>42299</v>
      </c>
      <c r="F927" s="76" t="s">
        <v>147</v>
      </c>
      <c r="G927" s="265"/>
      <c r="H927" s="122" t="s">
        <v>319</v>
      </c>
      <c r="I927" s="74">
        <v>11889102</v>
      </c>
      <c r="J927" s="75" t="s">
        <v>240</v>
      </c>
      <c r="K927" s="75" t="s">
        <v>54</v>
      </c>
      <c r="L927" s="134" t="str">
        <f>IF(AND('331-CT'!$E$7=TH!H932,OR(J927="331",K927="331")),"x","")</f>
        <v/>
      </c>
    </row>
    <row r="928" spans="1:12" hidden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273</v>
      </c>
      <c r="G928" s="265"/>
      <c r="H928" s="122" t="s">
        <v>320</v>
      </c>
      <c r="I928" s="74">
        <v>15852135</v>
      </c>
      <c r="J928" s="75" t="s">
        <v>240</v>
      </c>
      <c r="K928" s="75" t="s">
        <v>54</v>
      </c>
      <c r="L928" s="134" t="str">
        <f>IF(AND('331-CT'!$E$7=TH!H933,OR(J928="331",K928="331")),"x","")</f>
        <v/>
      </c>
    </row>
    <row r="929" spans="1:12" hidden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304</v>
      </c>
      <c r="G929" s="265"/>
      <c r="H929" s="122" t="s">
        <v>322</v>
      </c>
      <c r="I929" s="74">
        <v>11889102</v>
      </c>
      <c r="J929" s="75" t="s">
        <v>240</v>
      </c>
      <c r="K929" s="75" t="s">
        <v>54</v>
      </c>
      <c r="L929" s="134" t="str">
        <f>IF(AND('331-CT'!$E$7=TH!H934,OR(J929="331",K929="331")),"x","")</f>
        <v/>
      </c>
    </row>
    <row r="930" spans="1:12" hidden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465</v>
      </c>
      <c r="G930" s="265"/>
      <c r="H930" s="122" t="s">
        <v>326</v>
      </c>
      <c r="I930" s="74">
        <v>11889102</v>
      </c>
      <c r="J930" s="75" t="s">
        <v>240</v>
      </c>
      <c r="K930" s="75" t="s">
        <v>54</v>
      </c>
      <c r="L930" s="134" t="str">
        <f>IF(AND('331-CT'!$E$7=TH!H935,OR(J930="331",K930="331")),"x","")</f>
        <v/>
      </c>
    </row>
    <row r="931" spans="1:12" hidden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466</v>
      </c>
      <c r="G931" s="265"/>
      <c r="H931" s="122" t="s">
        <v>417</v>
      </c>
      <c r="I931" s="74">
        <v>11889102</v>
      </c>
      <c r="J931" s="75" t="s">
        <v>240</v>
      </c>
      <c r="K931" s="75" t="s">
        <v>54</v>
      </c>
      <c r="L931" s="134" t="str">
        <f>IF(AND('331-CT'!$E$7=TH!H936,OR(J931="331",K931="331")),"x","")</f>
        <v/>
      </c>
    </row>
    <row r="932" spans="1:12" hidden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580</v>
      </c>
      <c r="G932" s="265"/>
      <c r="H932" s="122" t="s">
        <v>422</v>
      </c>
      <c r="I932" s="74">
        <v>7926068</v>
      </c>
      <c r="J932" s="75" t="s">
        <v>240</v>
      </c>
      <c r="K932" s="75" t="s">
        <v>54</v>
      </c>
      <c r="L932" s="134" t="str">
        <f>IF(AND('331-CT'!$E$7=TH!H937,OR(J932="331",K932="331")),"x","")</f>
        <v/>
      </c>
    </row>
    <row r="933" spans="1:12" hidden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581</v>
      </c>
      <c r="G933" s="270"/>
      <c r="H933" s="122" t="s">
        <v>456</v>
      </c>
      <c r="I933" s="74">
        <v>7926068</v>
      </c>
      <c r="J933" s="75" t="s">
        <v>240</v>
      </c>
      <c r="K933" s="75" t="s">
        <v>54</v>
      </c>
      <c r="L933" s="134" t="str">
        <f>IF(AND('331-CT'!$E$7=TH!H938,OR(J933="331",K933="331")),"x","")</f>
        <v/>
      </c>
    </row>
    <row r="934" spans="1:12" hidden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418</v>
      </c>
      <c r="G934" s="270"/>
      <c r="H934" s="122" t="s">
        <v>324</v>
      </c>
      <c r="I934" s="74">
        <v>11889102</v>
      </c>
      <c r="J934" s="75" t="s">
        <v>240</v>
      </c>
      <c r="K934" s="75" t="s">
        <v>54</v>
      </c>
      <c r="L934" s="134" t="str">
        <f>IF(AND('331-CT'!$E$7=TH!H939,OR(J934="331",K934="331")),"x","")</f>
        <v/>
      </c>
    </row>
    <row r="935" spans="1:12" hidden="1">
      <c r="A935" s="72">
        <f t="shared" si="35"/>
        <v>2015</v>
      </c>
      <c r="B935" s="72">
        <f t="shared" si="36"/>
        <v>10</v>
      </c>
      <c r="C935" s="73">
        <v>42301</v>
      </c>
      <c r="D935" s="73" t="s">
        <v>21</v>
      </c>
      <c r="E935" s="73">
        <v>42301</v>
      </c>
      <c r="F935" s="76" t="s">
        <v>420</v>
      </c>
      <c r="G935" s="270"/>
      <c r="H935" s="122"/>
      <c r="I935" s="74">
        <v>400000</v>
      </c>
      <c r="J935" s="75" t="s">
        <v>54</v>
      </c>
      <c r="K935" s="75" t="s">
        <v>99</v>
      </c>
      <c r="L935" s="134" t="str">
        <f>IF(AND('331-CT'!$E$7=TH!H940,OR(J935="331",K935="331")),"x","")</f>
        <v/>
      </c>
    </row>
    <row r="936" spans="1:12" hidden="1">
      <c r="A936" s="72">
        <f t="shared" si="35"/>
        <v>2015</v>
      </c>
      <c r="B936" s="72">
        <f t="shared" si="36"/>
        <v>10</v>
      </c>
      <c r="C936" s="73">
        <v>42301</v>
      </c>
      <c r="D936" s="73" t="s">
        <v>21</v>
      </c>
      <c r="E936" s="73">
        <v>42301</v>
      </c>
      <c r="F936" s="76" t="s">
        <v>98</v>
      </c>
      <c r="G936" s="270"/>
      <c r="H936" s="122"/>
      <c r="I936" s="74">
        <v>9085</v>
      </c>
      <c r="J936" s="75" t="s">
        <v>54</v>
      </c>
      <c r="K936" s="75" t="s">
        <v>99</v>
      </c>
      <c r="L936" s="134" t="str">
        <f>IF(AND('331-CT'!$E$7=TH!H941,OR(J936="331",K936="331")),"x","")</f>
        <v/>
      </c>
    </row>
    <row r="937" spans="1:12" hidden="1">
      <c r="A937" s="72">
        <f t="shared" si="35"/>
        <v>2015</v>
      </c>
      <c r="B937" s="72">
        <f t="shared" si="36"/>
        <v>10</v>
      </c>
      <c r="C937" s="73">
        <v>42301</v>
      </c>
      <c r="D937" s="73" t="s">
        <v>508</v>
      </c>
      <c r="E937" s="73">
        <v>42301</v>
      </c>
      <c r="F937" s="76" t="s">
        <v>736</v>
      </c>
      <c r="G937" s="265" t="s">
        <v>737</v>
      </c>
      <c r="H937" s="122" t="s">
        <v>727</v>
      </c>
      <c r="I937" s="74">
        <v>18000000</v>
      </c>
      <c r="J937" s="75" t="s">
        <v>655</v>
      </c>
      <c r="K937" s="75" t="s">
        <v>203</v>
      </c>
      <c r="L937" s="134" t="str">
        <f>IF(AND('331-CT'!$E$7=TH!H942,OR(J937="331",K937="331")),"x","")</f>
        <v/>
      </c>
    </row>
    <row r="938" spans="1:12" hidden="1">
      <c r="A938" s="72">
        <f t="shared" si="35"/>
        <v>2015</v>
      </c>
      <c r="B938" s="72">
        <f t="shared" si="36"/>
        <v>10</v>
      </c>
      <c r="C938" s="73">
        <v>42301</v>
      </c>
      <c r="D938" s="73" t="s">
        <v>508</v>
      </c>
      <c r="E938" s="73">
        <v>42301</v>
      </c>
      <c r="F938" s="76" t="s">
        <v>738</v>
      </c>
      <c r="G938" s="265" t="s">
        <v>737</v>
      </c>
      <c r="H938" s="122" t="s">
        <v>727</v>
      </c>
      <c r="I938" s="74">
        <v>1800000</v>
      </c>
      <c r="J938" s="75" t="s">
        <v>19</v>
      </c>
      <c r="K938" s="75" t="s">
        <v>203</v>
      </c>
      <c r="L938" s="134" t="str">
        <f>IF(AND('331-CT'!$E$7=TH!H905,OR(J938="331",K938="331")),"x","")</f>
        <v/>
      </c>
    </row>
    <row r="939" spans="1:12" hidden="1">
      <c r="A939" s="72">
        <f t="shared" si="35"/>
        <v>2015</v>
      </c>
      <c r="B939" s="72">
        <f t="shared" si="36"/>
        <v>10</v>
      </c>
      <c r="C939" s="73">
        <v>42303</v>
      </c>
      <c r="D939" s="73" t="s">
        <v>509</v>
      </c>
      <c r="E939" s="73">
        <v>42303</v>
      </c>
      <c r="F939" s="76" t="s">
        <v>664</v>
      </c>
      <c r="G939" s="265" t="s">
        <v>666</v>
      </c>
      <c r="H939" s="122" t="s">
        <v>667</v>
      </c>
      <c r="I939" s="74">
        <v>16000000</v>
      </c>
      <c r="J939" s="75" t="s">
        <v>655</v>
      </c>
      <c r="K939" s="75" t="s">
        <v>203</v>
      </c>
      <c r="L939" s="134" t="str">
        <f>IF(AND('331-CT'!$E$7=TH!H906,OR(J939="331",K939="331")),"x","")</f>
        <v/>
      </c>
    </row>
    <row r="940" spans="1:12" hidden="1">
      <c r="A940" s="72">
        <f t="shared" si="35"/>
        <v>2015</v>
      </c>
      <c r="B940" s="72">
        <f t="shared" si="36"/>
        <v>10</v>
      </c>
      <c r="C940" s="73">
        <v>42303</v>
      </c>
      <c r="D940" s="73" t="s">
        <v>509</v>
      </c>
      <c r="E940" s="73">
        <v>42303</v>
      </c>
      <c r="F940" s="76" t="s">
        <v>665</v>
      </c>
      <c r="G940" s="265" t="s">
        <v>666</v>
      </c>
      <c r="H940" s="122" t="s">
        <v>667</v>
      </c>
      <c r="I940" s="74">
        <v>1600000</v>
      </c>
      <c r="J940" s="75" t="s">
        <v>19</v>
      </c>
      <c r="K940" s="75" t="s">
        <v>203</v>
      </c>
      <c r="L940" s="134" t="str">
        <f>IF(AND('331-CT'!$E$7=TH!H907,OR(J940="331",K940="331")),"x","")</f>
        <v/>
      </c>
    </row>
    <row r="941" spans="1:12" hidden="1">
      <c r="A941" s="72">
        <f t="shared" si="35"/>
        <v>2015</v>
      </c>
      <c r="B941" s="72">
        <f t="shared" si="36"/>
        <v>10</v>
      </c>
      <c r="C941" s="73">
        <v>42303</v>
      </c>
      <c r="D941" s="73" t="s">
        <v>510</v>
      </c>
      <c r="E941" s="73">
        <v>42303</v>
      </c>
      <c r="F941" s="76" t="s">
        <v>576</v>
      </c>
      <c r="G941" s="265"/>
      <c r="H941" s="122" t="s">
        <v>272</v>
      </c>
      <c r="I941" s="74">
        <v>20000000</v>
      </c>
      <c r="J941" s="75" t="s">
        <v>54</v>
      </c>
      <c r="K941" s="75" t="s">
        <v>203</v>
      </c>
      <c r="L941" s="134" t="str">
        <f>IF(AND('331-CT'!$E$7=TH!H943,OR(J941="331",K941="331")),"x","")</f>
        <v/>
      </c>
    </row>
    <row r="942" spans="1:12" hidden="1">
      <c r="A942" s="72">
        <f t="shared" si="35"/>
        <v>2015</v>
      </c>
      <c r="B942" s="72">
        <f t="shared" si="36"/>
        <v>10</v>
      </c>
      <c r="C942" s="73">
        <v>42303</v>
      </c>
      <c r="D942" s="73" t="s">
        <v>511</v>
      </c>
      <c r="E942" s="73">
        <v>42303</v>
      </c>
      <c r="F942" s="76" t="s">
        <v>725</v>
      </c>
      <c r="G942" s="265" t="s">
        <v>739</v>
      </c>
      <c r="H942" s="122" t="s">
        <v>727</v>
      </c>
      <c r="I942" s="74">
        <v>15000000</v>
      </c>
      <c r="J942" s="75" t="s">
        <v>655</v>
      </c>
      <c r="K942" s="75" t="s">
        <v>203</v>
      </c>
      <c r="L942" s="134" t="str">
        <f>IF(AND('331-CT'!$E$7=TH!H944,OR(J942="331",K942="331")),"x","")</f>
        <v/>
      </c>
    </row>
    <row r="943" spans="1:12" hidden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728</v>
      </c>
      <c r="G943" s="265" t="s">
        <v>739</v>
      </c>
      <c r="H943" s="122" t="s">
        <v>727</v>
      </c>
      <c r="I943" s="74">
        <v>1500000</v>
      </c>
      <c r="J943" s="75" t="s">
        <v>19</v>
      </c>
      <c r="K943" s="75" t="s">
        <v>203</v>
      </c>
      <c r="L943" s="134" t="str">
        <f>IF(AND('331-CT'!$E$7=TH!H945,OR(J943="331",K943="331")),"x","")</f>
        <v/>
      </c>
    </row>
    <row r="944" spans="1:12" hidden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78</v>
      </c>
      <c r="E944" s="73">
        <v>42303</v>
      </c>
      <c r="F944" s="76" t="s">
        <v>1052</v>
      </c>
      <c r="G944" s="265" t="s">
        <v>1053</v>
      </c>
      <c r="H944" s="122" t="s">
        <v>649</v>
      </c>
      <c r="I944" s="74">
        <v>27858600</v>
      </c>
      <c r="J944" s="75" t="s">
        <v>242</v>
      </c>
      <c r="K944" s="75" t="s">
        <v>18</v>
      </c>
      <c r="L944" s="134" t="str">
        <f>IF(AND('331-CT'!$E$7=TH!H946,OR(J944="331",K944="331")),"x","")</f>
        <v/>
      </c>
    </row>
    <row r="945" spans="1:12" hidden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78</v>
      </c>
      <c r="E945" s="73">
        <v>42303</v>
      </c>
      <c r="F945" s="76" t="s">
        <v>1054</v>
      </c>
      <c r="G945" s="265" t="s">
        <v>1053</v>
      </c>
      <c r="H945" s="122" t="s">
        <v>649</v>
      </c>
      <c r="I945" s="74">
        <v>2785860</v>
      </c>
      <c r="J945" s="75" t="s">
        <v>19</v>
      </c>
      <c r="K945" s="75" t="s">
        <v>18</v>
      </c>
      <c r="L945" s="134" t="str">
        <f>IF(AND('331-CT'!$E$7=TH!H947,OR(J945="331",K945="331")),"x","")</f>
        <v/>
      </c>
    </row>
    <row r="946" spans="1:12" hidden="1">
      <c r="A946" s="72">
        <f t="shared" si="35"/>
        <v>2015</v>
      </c>
      <c r="B946" s="72">
        <f t="shared" si="36"/>
        <v>10</v>
      </c>
      <c r="C946" s="73">
        <v>42304</v>
      </c>
      <c r="D946" s="73" t="s">
        <v>17</v>
      </c>
      <c r="E946" s="73">
        <v>42304</v>
      </c>
      <c r="F946" s="76" t="s">
        <v>723</v>
      </c>
      <c r="G946" s="265"/>
      <c r="H946" s="122" t="s">
        <v>632</v>
      </c>
      <c r="I946" s="74">
        <v>20382000</v>
      </c>
      <c r="J946" s="75" t="s">
        <v>18</v>
      </c>
      <c r="K946" s="75" t="s">
        <v>54</v>
      </c>
      <c r="L946" s="134" t="str">
        <f>IF(AND('331-CT'!$E$7=TH!H948,OR(J946="331",K946="331")),"x","")</f>
        <v/>
      </c>
    </row>
    <row r="947" spans="1:12" hidden="1">
      <c r="A947" s="72">
        <f t="shared" si="35"/>
        <v>2015</v>
      </c>
      <c r="B947" s="72">
        <f t="shared" si="36"/>
        <v>10</v>
      </c>
      <c r="C947" s="73">
        <v>42304</v>
      </c>
      <c r="D947" s="73" t="s">
        <v>17</v>
      </c>
      <c r="E947" s="73">
        <v>42304</v>
      </c>
      <c r="F947" s="76" t="s">
        <v>34</v>
      </c>
      <c r="G947" s="265"/>
      <c r="H947" s="122"/>
      <c r="I947" s="74">
        <v>45000</v>
      </c>
      <c r="J947" s="75" t="s">
        <v>242</v>
      </c>
      <c r="K947" s="75" t="s">
        <v>54</v>
      </c>
      <c r="L947" s="134" t="str">
        <f>IF(AND('331-CT'!$E$7=TH!H949,OR(J947="331",K947="331")),"x","")</f>
        <v/>
      </c>
    </row>
    <row r="948" spans="1:12" hidden="1">
      <c r="A948" s="72">
        <f t="shared" si="35"/>
        <v>2015</v>
      </c>
      <c r="B948" s="72">
        <f t="shared" si="36"/>
        <v>10</v>
      </c>
      <c r="C948" s="73">
        <v>42304</v>
      </c>
      <c r="D948" s="73" t="s">
        <v>17</v>
      </c>
      <c r="E948" s="73">
        <v>42304</v>
      </c>
      <c r="F948" s="76" t="s">
        <v>35</v>
      </c>
      <c r="G948" s="265"/>
      <c r="H948" s="122"/>
      <c r="I948" s="74">
        <v>4500</v>
      </c>
      <c r="J948" s="75" t="s">
        <v>19</v>
      </c>
      <c r="K948" s="75" t="s">
        <v>54</v>
      </c>
      <c r="L948" s="134" t="str">
        <f>IF(AND('331-CT'!$E$7=TH!H908,OR(J948="331",K948="331")),"x","")</f>
        <v/>
      </c>
    </row>
    <row r="949" spans="1:12" hidden="1">
      <c r="A949" s="72">
        <f t="shared" si="35"/>
        <v>2015</v>
      </c>
      <c r="B949" s="72">
        <f t="shared" si="36"/>
        <v>10</v>
      </c>
      <c r="C949" s="73">
        <v>42304</v>
      </c>
      <c r="D949" s="73" t="s">
        <v>78</v>
      </c>
      <c r="E949" s="73">
        <v>42304</v>
      </c>
      <c r="F949" s="76" t="s">
        <v>740</v>
      </c>
      <c r="G949" s="265" t="s">
        <v>741</v>
      </c>
      <c r="H949" s="122" t="s">
        <v>742</v>
      </c>
      <c r="I949" s="74">
        <v>9272640</v>
      </c>
      <c r="J949" s="75" t="s">
        <v>242</v>
      </c>
      <c r="K949" s="75" t="s">
        <v>18</v>
      </c>
      <c r="L949" s="134" t="str">
        <f>IF(AND('331-CT'!$E$7=TH!H909,OR(J949="331",K949="331")),"x","")</f>
        <v/>
      </c>
    </row>
    <row r="950" spans="1:12" hidden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78</v>
      </c>
      <c r="E950" s="73">
        <v>42304</v>
      </c>
      <c r="F950" s="76" t="s">
        <v>743</v>
      </c>
      <c r="G950" s="265" t="s">
        <v>741</v>
      </c>
      <c r="H950" s="122" t="s">
        <v>742</v>
      </c>
      <c r="I950" s="74">
        <v>927264</v>
      </c>
      <c r="J950" s="75" t="s">
        <v>19</v>
      </c>
      <c r="K950" s="75" t="s">
        <v>18</v>
      </c>
      <c r="L950" s="134" t="str">
        <f>IF(AND('331-CT'!$E$7=TH!H950,OR(J950="331",K950="331")),"x","")</f>
        <v/>
      </c>
    </row>
    <row r="951" spans="1:12" hidden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78</v>
      </c>
      <c r="E951" s="73">
        <v>42304</v>
      </c>
      <c r="F951" s="76" t="s">
        <v>463</v>
      </c>
      <c r="G951" s="270" t="s">
        <v>761</v>
      </c>
      <c r="H951" s="122" t="s">
        <v>190</v>
      </c>
      <c r="I951" s="74">
        <v>10313194</v>
      </c>
      <c r="J951" s="75" t="s">
        <v>655</v>
      </c>
      <c r="K951" s="75" t="s">
        <v>18</v>
      </c>
      <c r="L951" s="134" t="str">
        <f>IF(AND('331-CT'!$E$7=TH!H951,OR(J951="331",K951="331")),"x","")</f>
        <v>x</v>
      </c>
    </row>
    <row r="952" spans="1:12" hidden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78</v>
      </c>
      <c r="E952" s="73">
        <v>42304</v>
      </c>
      <c r="F952" s="76" t="s">
        <v>464</v>
      </c>
      <c r="G952" s="270" t="s">
        <v>761</v>
      </c>
      <c r="H952" s="122" t="s">
        <v>190</v>
      </c>
      <c r="I952" s="74">
        <v>1031319</v>
      </c>
      <c r="J952" s="75" t="s">
        <v>19</v>
      </c>
      <c r="K952" s="75" t="s">
        <v>18</v>
      </c>
      <c r="L952" s="134" t="str">
        <f>IF(AND('331-CT'!$E$7=TH!H952,OR(J952="331",K952="331")),"x","")</f>
        <v>x</v>
      </c>
    </row>
    <row r="953" spans="1:12" hidden="1">
      <c r="A953" s="72">
        <f t="shared" si="35"/>
        <v>2015</v>
      </c>
      <c r="B953" s="72">
        <f t="shared" si="36"/>
        <v>10</v>
      </c>
      <c r="C953" s="73">
        <v>42305</v>
      </c>
      <c r="D953" s="73" t="s">
        <v>762</v>
      </c>
      <c r="E953" s="73">
        <v>42303</v>
      </c>
      <c r="F953" s="76" t="s">
        <v>576</v>
      </c>
      <c r="G953" s="265"/>
      <c r="H953" s="122" t="s">
        <v>272</v>
      </c>
      <c r="I953" s="74">
        <v>400000000</v>
      </c>
      <c r="J953" s="75" t="s">
        <v>54</v>
      </c>
      <c r="K953" s="75" t="s">
        <v>203</v>
      </c>
      <c r="L953" s="134" t="str">
        <f>IF(AND('331-CT'!$E$7=TH!H953,OR(J953="331",K953="331")),"x","")</f>
        <v/>
      </c>
    </row>
    <row r="954" spans="1:12" hidden="1">
      <c r="A954" s="72">
        <f t="shared" si="35"/>
        <v>2015</v>
      </c>
      <c r="B954" s="72">
        <f t="shared" si="36"/>
        <v>10</v>
      </c>
      <c r="C954" s="73">
        <v>42305</v>
      </c>
      <c r="D954" s="73" t="s">
        <v>17</v>
      </c>
      <c r="E954" s="73">
        <v>42305</v>
      </c>
      <c r="F954" s="76" t="s">
        <v>301</v>
      </c>
      <c r="G954" s="265"/>
      <c r="H954" s="122" t="s">
        <v>306</v>
      </c>
      <c r="I954" s="74">
        <v>400000000</v>
      </c>
      <c r="J954" s="75" t="s">
        <v>18</v>
      </c>
      <c r="K954" s="75" t="s">
        <v>54</v>
      </c>
      <c r="L954" s="134" t="str">
        <f>IF(AND('331-CT'!$E$7=TH!H954,OR(J954="331",K954="331")),"x","")</f>
        <v/>
      </c>
    </row>
    <row r="955" spans="1:12" hidden="1">
      <c r="A955" s="72">
        <f t="shared" si="35"/>
        <v>2015</v>
      </c>
      <c r="B955" s="72">
        <f t="shared" si="36"/>
        <v>10</v>
      </c>
      <c r="C955" s="73">
        <v>42305</v>
      </c>
      <c r="D955" s="73" t="s">
        <v>17</v>
      </c>
      <c r="E955" s="73">
        <v>42305</v>
      </c>
      <c r="F955" s="76" t="s">
        <v>34</v>
      </c>
      <c r="G955" s="265"/>
      <c r="H955" s="122"/>
      <c r="I955" s="74">
        <v>317438</v>
      </c>
      <c r="J955" s="75" t="s">
        <v>242</v>
      </c>
      <c r="K955" s="75" t="s">
        <v>54</v>
      </c>
      <c r="L955" s="134" t="str">
        <f>IF(AND('331-CT'!$E$7=TH!H955,OR(J955="331",K955="331")),"x","")</f>
        <v/>
      </c>
    </row>
    <row r="956" spans="1:12" hidden="1">
      <c r="A956" s="72">
        <f t="shared" si="35"/>
        <v>2015</v>
      </c>
      <c r="B956" s="72">
        <f t="shared" si="36"/>
        <v>10</v>
      </c>
      <c r="C956" s="73">
        <v>42305</v>
      </c>
      <c r="D956" s="73" t="s">
        <v>17</v>
      </c>
      <c r="E956" s="73">
        <v>42305</v>
      </c>
      <c r="F956" s="76" t="s">
        <v>35</v>
      </c>
      <c r="G956" s="270"/>
      <c r="H956" s="122"/>
      <c r="I956" s="74">
        <v>31744</v>
      </c>
      <c r="J956" s="75" t="s">
        <v>19</v>
      </c>
      <c r="K956" s="75" t="s">
        <v>54</v>
      </c>
      <c r="L956" s="134" t="str">
        <f>IF(AND('331-CT'!$E$7=TH!H956,OR(J956="331",K956="331")),"x","")</f>
        <v/>
      </c>
    </row>
    <row r="957" spans="1:12" hidden="1">
      <c r="A957" s="72">
        <f t="shared" si="35"/>
        <v>2015</v>
      </c>
      <c r="B957" s="72">
        <f t="shared" si="36"/>
        <v>10</v>
      </c>
      <c r="C957" s="73">
        <v>42306</v>
      </c>
      <c r="D957" s="73" t="s">
        <v>763</v>
      </c>
      <c r="E957" s="73">
        <v>42306</v>
      </c>
      <c r="F957" s="76" t="s">
        <v>744</v>
      </c>
      <c r="G957" s="270" t="s">
        <v>745</v>
      </c>
      <c r="H957" s="122" t="s">
        <v>727</v>
      </c>
      <c r="I957" s="74">
        <v>17100000</v>
      </c>
      <c r="J957" s="75" t="s">
        <v>655</v>
      </c>
      <c r="K957" s="75" t="s">
        <v>203</v>
      </c>
      <c r="L957" s="134" t="str">
        <f>IF(AND('331-CT'!$E$7=TH!H957,OR(J957="331",K957="331")),"x","")</f>
        <v/>
      </c>
    </row>
    <row r="958" spans="1:12" hidden="1">
      <c r="A958" s="72">
        <f t="shared" si="35"/>
        <v>2015</v>
      </c>
      <c r="B958" s="72">
        <f t="shared" si="36"/>
        <v>10</v>
      </c>
      <c r="C958" s="73">
        <v>42306</v>
      </c>
      <c r="D958" s="73" t="s">
        <v>763</v>
      </c>
      <c r="E958" s="73">
        <v>42306</v>
      </c>
      <c r="F958" s="76" t="s">
        <v>746</v>
      </c>
      <c r="G958" s="265" t="s">
        <v>745</v>
      </c>
      <c r="H958" s="122" t="s">
        <v>727</v>
      </c>
      <c r="I958" s="74">
        <v>1710000</v>
      </c>
      <c r="J958" s="75" t="s">
        <v>19</v>
      </c>
      <c r="K958" s="75" t="s">
        <v>203</v>
      </c>
      <c r="L958" s="134" t="str">
        <f>IF(AND('331-CT'!$E$7=TH!H958,OR(J958="331",K958="331")),"x","")</f>
        <v/>
      </c>
    </row>
    <row r="959" spans="1:12" hidden="1">
      <c r="A959" s="72">
        <f t="shared" si="35"/>
        <v>2015</v>
      </c>
      <c r="B959" s="72">
        <f t="shared" si="36"/>
        <v>10</v>
      </c>
      <c r="C959" s="73">
        <v>42307</v>
      </c>
      <c r="D959" s="73" t="s">
        <v>764</v>
      </c>
      <c r="E959" s="73">
        <v>42307</v>
      </c>
      <c r="F959" s="76" t="s">
        <v>626</v>
      </c>
      <c r="G959" s="265" t="s">
        <v>714</v>
      </c>
      <c r="H959" s="122" t="s">
        <v>629</v>
      </c>
      <c r="I959" s="74">
        <v>1650000</v>
      </c>
      <c r="J959" s="75" t="s">
        <v>655</v>
      </c>
      <c r="K959" s="75" t="s">
        <v>203</v>
      </c>
      <c r="L959" s="134" t="str">
        <f>IF(AND('331-CT'!$E$7=TH!H959,OR(J959="331",K959="331")),"x","")</f>
        <v/>
      </c>
    </row>
    <row r="960" spans="1:12" hidden="1">
      <c r="A960" s="72">
        <f t="shared" si="35"/>
        <v>2015</v>
      </c>
      <c r="B960" s="72">
        <f t="shared" si="36"/>
        <v>10</v>
      </c>
      <c r="C960" s="73">
        <v>42307</v>
      </c>
      <c r="D960" s="73" t="s">
        <v>764</v>
      </c>
      <c r="E960" s="73">
        <v>42307</v>
      </c>
      <c r="F960" s="76" t="s">
        <v>627</v>
      </c>
      <c r="G960" s="265" t="s">
        <v>714</v>
      </c>
      <c r="H960" s="122" t="s">
        <v>629</v>
      </c>
      <c r="I960" s="74">
        <v>165000</v>
      </c>
      <c r="J960" s="75" t="s">
        <v>19</v>
      </c>
      <c r="K960" s="75" t="s">
        <v>203</v>
      </c>
      <c r="L960" s="134" t="str">
        <f>IF(AND('331-CT'!$E$7=TH!H960,OR(J960="331",K960="331")),"x","")</f>
        <v/>
      </c>
    </row>
    <row r="961" spans="1:12" hidden="1">
      <c r="A961" s="72">
        <f t="shared" si="35"/>
        <v>2015</v>
      </c>
      <c r="B961" s="72">
        <f t="shared" si="36"/>
        <v>10</v>
      </c>
      <c r="C961" s="73">
        <v>42308</v>
      </c>
      <c r="D961" s="73" t="s">
        <v>765</v>
      </c>
      <c r="E961" s="73">
        <v>42308</v>
      </c>
      <c r="F961" s="76" t="s">
        <v>725</v>
      </c>
      <c r="G961" s="270" t="s">
        <v>747</v>
      </c>
      <c r="H961" s="122" t="s">
        <v>727</v>
      </c>
      <c r="I961" s="74">
        <v>15000000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 hidden="1">
      <c r="A962" s="72">
        <f t="shared" si="35"/>
        <v>2015</v>
      </c>
      <c r="B962" s="72">
        <f t="shared" si="36"/>
        <v>10</v>
      </c>
      <c r="C962" s="73">
        <v>42308</v>
      </c>
      <c r="D962" s="73" t="s">
        <v>765</v>
      </c>
      <c r="E962" s="73">
        <v>42308</v>
      </c>
      <c r="F962" s="76" t="s">
        <v>728</v>
      </c>
      <c r="G962" s="270" t="s">
        <v>747</v>
      </c>
      <c r="H962" s="122" t="s">
        <v>727</v>
      </c>
      <c r="I962" s="74">
        <v>1500000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 hidden="1">
      <c r="A963" s="72">
        <f t="shared" si="35"/>
        <v>2015</v>
      </c>
      <c r="B963" s="72">
        <f t="shared" si="36"/>
        <v>11</v>
      </c>
      <c r="C963" s="73">
        <v>42313</v>
      </c>
      <c r="D963" s="73" t="s">
        <v>766</v>
      </c>
      <c r="E963" s="73">
        <v>42313</v>
      </c>
      <c r="F963" s="76" t="s">
        <v>767</v>
      </c>
      <c r="G963" s="265" t="s">
        <v>768</v>
      </c>
      <c r="H963" s="122" t="s">
        <v>769</v>
      </c>
      <c r="I963" s="74">
        <v>17750000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 hidden="1">
      <c r="A964" s="72">
        <f t="shared" si="35"/>
        <v>2015</v>
      </c>
      <c r="B964" s="72">
        <f t="shared" si="36"/>
        <v>11</v>
      </c>
      <c r="C964" s="73">
        <v>42313</v>
      </c>
      <c r="D964" s="73" t="s">
        <v>766</v>
      </c>
      <c r="E964" s="73">
        <v>42313</v>
      </c>
      <c r="F964" s="76" t="s">
        <v>770</v>
      </c>
      <c r="G964" s="265" t="s">
        <v>768</v>
      </c>
      <c r="H964" s="122" t="s">
        <v>769</v>
      </c>
      <c r="I964" s="74">
        <v>1775000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 hidden="1">
      <c r="A965" s="72">
        <f t="shared" si="35"/>
        <v>2015</v>
      </c>
      <c r="B965" s="72">
        <f t="shared" si="36"/>
        <v>11</v>
      </c>
      <c r="C965" s="73">
        <v>42317</v>
      </c>
      <c r="D965" s="73" t="s">
        <v>771</v>
      </c>
      <c r="E965" s="73">
        <v>42317</v>
      </c>
      <c r="F965" s="76" t="s">
        <v>772</v>
      </c>
      <c r="G965" s="265" t="s">
        <v>773</v>
      </c>
      <c r="H965" s="122" t="s">
        <v>774</v>
      </c>
      <c r="I965" s="74">
        <v>14460700</v>
      </c>
      <c r="J965" s="75" t="s">
        <v>655</v>
      </c>
      <c r="K965" s="75" t="s">
        <v>203</v>
      </c>
      <c r="L965" s="134" t="str">
        <f>IF(AND('331-CT'!$E$7=TH!H965,OR(J965="331",K965="331")),"x","")</f>
        <v/>
      </c>
    </row>
    <row r="966" spans="1:12" hidden="1">
      <c r="A966" s="72">
        <f t="shared" si="35"/>
        <v>2015</v>
      </c>
      <c r="B966" s="72">
        <f t="shared" si="36"/>
        <v>11</v>
      </c>
      <c r="C966" s="73">
        <v>42317</v>
      </c>
      <c r="D966" s="73" t="s">
        <v>771</v>
      </c>
      <c r="E966" s="73">
        <v>42317</v>
      </c>
      <c r="F966" s="76" t="s">
        <v>775</v>
      </c>
      <c r="G966" s="265" t="s">
        <v>773</v>
      </c>
      <c r="H966" s="122" t="s">
        <v>774</v>
      </c>
      <c r="I966" s="74">
        <v>1416070</v>
      </c>
      <c r="J966" s="75" t="s">
        <v>19</v>
      </c>
      <c r="K966" s="75" t="s">
        <v>203</v>
      </c>
      <c r="L966" s="134" t="str">
        <f>IF(AND('331-CT'!$E$7=TH!H966,OR(J966="331",K966="331")),"x","")</f>
        <v/>
      </c>
    </row>
    <row r="967" spans="1:12" hidden="1">
      <c r="A967" s="72">
        <f t="shared" si="35"/>
        <v>2015</v>
      </c>
      <c r="B967" s="72">
        <f t="shared" si="36"/>
        <v>11</v>
      </c>
      <c r="C967" s="73">
        <v>42317</v>
      </c>
      <c r="D967" s="73" t="s">
        <v>776</v>
      </c>
      <c r="E967" s="73">
        <v>42317</v>
      </c>
      <c r="F967" s="76" t="s">
        <v>767</v>
      </c>
      <c r="G967" s="270" t="s">
        <v>777</v>
      </c>
      <c r="H967" s="122" t="s">
        <v>769</v>
      </c>
      <c r="I967" s="74">
        <v>17900000</v>
      </c>
      <c r="J967" s="75" t="s">
        <v>655</v>
      </c>
      <c r="K967" s="75" t="s">
        <v>203</v>
      </c>
      <c r="L967" s="134" t="str">
        <f>IF(AND('331-CT'!$E$7=TH!H967,OR(J967="331",K967="331")),"x","")</f>
        <v/>
      </c>
    </row>
    <row r="968" spans="1:12" hidden="1">
      <c r="A968" s="72">
        <f t="shared" si="35"/>
        <v>2015</v>
      </c>
      <c r="B968" s="72">
        <f t="shared" si="36"/>
        <v>11</v>
      </c>
      <c r="C968" s="73">
        <v>42317</v>
      </c>
      <c r="D968" s="73" t="s">
        <v>776</v>
      </c>
      <c r="E968" s="73">
        <v>42317</v>
      </c>
      <c r="F968" s="76" t="s">
        <v>770</v>
      </c>
      <c r="G968" s="270" t="s">
        <v>777</v>
      </c>
      <c r="H968" s="122" t="s">
        <v>769</v>
      </c>
      <c r="I968" s="74">
        <v>1790000</v>
      </c>
      <c r="J968" s="75" t="s">
        <v>19</v>
      </c>
      <c r="K968" s="75" t="s">
        <v>203</v>
      </c>
      <c r="L968" s="134" t="str">
        <f>IF(AND('331-CT'!$E$7=TH!H968,OR(J968="331",K968="331")),"x","")</f>
        <v/>
      </c>
    </row>
    <row r="969" spans="1:12" hidden="1">
      <c r="A969" s="72">
        <f t="shared" si="35"/>
        <v>2015</v>
      </c>
      <c r="B969" s="72">
        <f t="shared" si="36"/>
        <v>11</v>
      </c>
      <c r="C969" s="73">
        <v>42318</v>
      </c>
      <c r="D969" s="73" t="s">
        <v>778</v>
      </c>
      <c r="E969" s="73">
        <v>42318</v>
      </c>
      <c r="F969" s="76" t="s">
        <v>772</v>
      </c>
      <c r="G969" s="265" t="s">
        <v>779</v>
      </c>
      <c r="H969" s="122" t="s">
        <v>774</v>
      </c>
      <c r="I969" s="74">
        <v>15610550</v>
      </c>
      <c r="J969" s="75" t="s">
        <v>655</v>
      </c>
      <c r="K969" s="75" t="s">
        <v>203</v>
      </c>
      <c r="L969" s="134" t="str">
        <f>IF(AND('331-CT'!$E$7=TH!H969,OR(J969="331",K969="331")),"x","")</f>
        <v/>
      </c>
    </row>
    <row r="970" spans="1:12" hidden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42318</v>
      </c>
      <c r="D970" s="73" t="s">
        <v>778</v>
      </c>
      <c r="E970" s="73">
        <v>42318</v>
      </c>
      <c r="F970" s="76" t="s">
        <v>775</v>
      </c>
      <c r="G970" s="265" t="s">
        <v>779</v>
      </c>
      <c r="H970" s="122" t="s">
        <v>774</v>
      </c>
      <c r="I970" s="74">
        <v>1561055</v>
      </c>
      <c r="J970" s="75" t="s">
        <v>19</v>
      </c>
      <c r="K970" s="75" t="s">
        <v>203</v>
      </c>
      <c r="L970" s="134" t="str">
        <f>IF(AND('331-CT'!$E$7=TH!H970,OR(J970="331",K970="331")),"x","")</f>
        <v/>
      </c>
    </row>
    <row r="971" spans="1:12" hidden="1">
      <c r="A971" s="72">
        <f t="shared" si="37"/>
        <v>2015</v>
      </c>
      <c r="B971" s="72">
        <f t="shared" si="38"/>
        <v>11</v>
      </c>
      <c r="C971" s="73">
        <v>42318</v>
      </c>
      <c r="D971" s="73" t="s">
        <v>780</v>
      </c>
      <c r="E971" s="73">
        <v>42318</v>
      </c>
      <c r="F971" s="76" t="s">
        <v>781</v>
      </c>
      <c r="G971" s="270" t="s">
        <v>782</v>
      </c>
      <c r="H971" s="122" t="s">
        <v>783</v>
      </c>
      <c r="I971" s="74">
        <v>6818182</v>
      </c>
      <c r="J971" s="75" t="s">
        <v>242</v>
      </c>
      <c r="K971" s="75" t="s">
        <v>203</v>
      </c>
      <c r="L971" s="134" t="str">
        <f>IF(AND('331-CT'!$E$7=TH!H971,OR(J971="331",K971="331")),"x","")</f>
        <v/>
      </c>
    </row>
    <row r="972" spans="1:12" hidden="1">
      <c r="A972" s="72">
        <f t="shared" si="37"/>
        <v>2015</v>
      </c>
      <c r="B972" s="72">
        <f t="shared" si="38"/>
        <v>11</v>
      </c>
      <c r="C972" s="73">
        <v>42318</v>
      </c>
      <c r="D972" s="73" t="s">
        <v>780</v>
      </c>
      <c r="E972" s="73">
        <v>42318</v>
      </c>
      <c r="F972" s="76" t="s">
        <v>784</v>
      </c>
      <c r="G972" s="270" t="s">
        <v>782</v>
      </c>
      <c r="H972" s="122" t="s">
        <v>783</v>
      </c>
      <c r="I972" s="74">
        <v>681818</v>
      </c>
      <c r="J972" s="75" t="s">
        <v>19</v>
      </c>
      <c r="K972" s="75" t="s">
        <v>203</v>
      </c>
      <c r="L972" s="134" t="str">
        <f>IF(AND('331-CT'!$E$7=TH!H972,OR(J972="331",K972="331")),"x","")</f>
        <v/>
      </c>
    </row>
    <row r="973" spans="1:12" hidden="1">
      <c r="A973" s="72">
        <f t="shared" si="37"/>
        <v>2015</v>
      </c>
      <c r="B973" s="72">
        <f t="shared" si="38"/>
        <v>11</v>
      </c>
      <c r="C973" s="73">
        <v>42318</v>
      </c>
      <c r="D973" s="73" t="s">
        <v>785</v>
      </c>
      <c r="E973" s="73">
        <v>42318</v>
      </c>
      <c r="F973" s="76" t="s">
        <v>786</v>
      </c>
      <c r="G973" s="265" t="s">
        <v>787</v>
      </c>
      <c r="H973" s="122" t="s">
        <v>788</v>
      </c>
      <c r="I973" s="74">
        <v>7960000</v>
      </c>
      <c r="J973" s="75" t="s">
        <v>655</v>
      </c>
      <c r="K973" s="75" t="s">
        <v>203</v>
      </c>
      <c r="L973" s="134" t="str">
        <f>IF(AND('331-CT'!$E$7=TH!H973,OR(J973="331",K973="331")),"x","")</f>
        <v/>
      </c>
    </row>
    <row r="974" spans="1:12" hidden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</v>
      </c>
      <c r="E974" s="73">
        <v>42318</v>
      </c>
      <c r="F974" s="76" t="s">
        <v>789</v>
      </c>
      <c r="G974" s="265" t="s">
        <v>790</v>
      </c>
      <c r="H974" s="122" t="s">
        <v>791</v>
      </c>
      <c r="I974" s="74">
        <v>15221000</v>
      </c>
      <c r="J974" s="75" t="s">
        <v>655</v>
      </c>
      <c r="K974" s="75" t="s">
        <v>18</v>
      </c>
      <c r="L974" s="134" t="str">
        <f>IF(AND('331-CT'!$E$7=TH!H974,OR(J974="331",K974="331")),"x","")</f>
        <v/>
      </c>
    </row>
    <row r="975" spans="1:12" hidden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</v>
      </c>
      <c r="E975" s="73">
        <v>42318</v>
      </c>
      <c r="F975" s="76" t="s">
        <v>792</v>
      </c>
      <c r="G975" s="265" t="s">
        <v>790</v>
      </c>
      <c r="H975" s="122" t="s">
        <v>791</v>
      </c>
      <c r="I975" s="74">
        <v>1522100</v>
      </c>
      <c r="J975" s="75" t="s">
        <v>19</v>
      </c>
      <c r="K975" s="75" t="s">
        <v>18</v>
      </c>
      <c r="L975" s="134" t="str">
        <f>IF(AND('331-CT'!$E$7=TH!H975,OR(J975="331",K975="331")),"x","")</f>
        <v/>
      </c>
    </row>
    <row r="976" spans="1:12" hidden="1">
      <c r="A976" s="72">
        <f t="shared" si="37"/>
        <v>2015</v>
      </c>
      <c r="B976" s="72">
        <f t="shared" si="38"/>
        <v>11</v>
      </c>
      <c r="C976" s="73">
        <v>42319</v>
      </c>
      <c r="D976" s="73" t="s">
        <v>793</v>
      </c>
      <c r="E976" s="73">
        <v>42319</v>
      </c>
      <c r="F976" s="76" t="s">
        <v>794</v>
      </c>
      <c r="G976" s="265" t="s">
        <v>795</v>
      </c>
      <c r="H976" s="122" t="s">
        <v>774</v>
      </c>
      <c r="I976" s="74">
        <v>15000000</v>
      </c>
      <c r="J976" s="75" t="s">
        <v>655</v>
      </c>
      <c r="K976" s="75" t="s">
        <v>203</v>
      </c>
      <c r="L976" s="134" t="str">
        <f>IF(AND('331-CT'!$E$7=TH!H976,OR(J976="331",K976="331")),"x","")</f>
        <v/>
      </c>
    </row>
    <row r="977" spans="1:12" hidden="1">
      <c r="A977" s="72">
        <f t="shared" si="37"/>
        <v>2015</v>
      </c>
      <c r="B977" s="72">
        <f t="shared" si="38"/>
        <v>11</v>
      </c>
      <c r="C977" s="73">
        <v>42319</v>
      </c>
      <c r="D977" s="73" t="s">
        <v>793</v>
      </c>
      <c r="E977" s="73">
        <v>42319</v>
      </c>
      <c r="F977" s="76" t="s">
        <v>796</v>
      </c>
      <c r="G977" s="265" t="s">
        <v>795</v>
      </c>
      <c r="H977" s="122" t="s">
        <v>774</v>
      </c>
      <c r="I977" s="74">
        <v>1500000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 hidden="1">
      <c r="A978" s="72">
        <f t="shared" si="37"/>
        <v>2015</v>
      </c>
      <c r="B978" s="72">
        <f t="shared" si="38"/>
        <v>11</v>
      </c>
      <c r="C978" s="73">
        <v>42319</v>
      </c>
      <c r="D978" s="73" t="s">
        <v>797</v>
      </c>
      <c r="E978" s="73">
        <v>42319</v>
      </c>
      <c r="F978" s="76" t="s">
        <v>798</v>
      </c>
      <c r="G978" s="265" t="s">
        <v>799</v>
      </c>
      <c r="H978" s="122" t="s">
        <v>800</v>
      </c>
      <c r="I978" s="74">
        <v>8181816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 hidden="1">
      <c r="A979" s="72">
        <f t="shared" si="37"/>
        <v>2015</v>
      </c>
      <c r="B979" s="72">
        <f t="shared" si="38"/>
        <v>11</v>
      </c>
      <c r="C979" s="73">
        <v>42319</v>
      </c>
      <c r="D979" s="73" t="s">
        <v>797</v>
      </c>
      <c r="E979" s="73">
        <v>42319</v>
      </c>
      <c r="F979" s="76" t="s">
        <v>801</v>
      </c>
      <c r="G979" s="265" t="s">
        <v>799</v>
      </c>
      <c r="H979" s="122" t="s">
        <v>800</v>
      </c>
      <c r="I979" s="74">
        <v>818181</v>
      </c>
      <c r="J979" s="75" t="s">
        <v>19</v>
      </c>
      <c r="K979" s="75" t="s">
        <v>203</v>
      </c>
      <c r="L979" s="134" t="str">
        <f>IF(AND('331-CT'!$E$7=TH!H979,OR(J979="331",K979="331")),"x","")</f>
        <v/>
      </c>
    </row>
    <row r="980" spans="1:12" hidden="1">
      <c r="A980" s="72">
        <f t="shared" si="37"/>
        <v>2015</v>
      </c>
      <c r="B980" s="72">
        <f t="shared" si="38"/>
        <v>11</v>
      </c>
      <c r="C980" s="73">
        <v>42319</v>
      </c>
      <c r="D980" s="73" t="s">
        <v>802</v>
      </c>
      <c r="E980" s="73">
        <v>42319</v>
      </c>
      <c r="F980" s="76" t="s">
        <v>576</v>
      </c>
      <c r="G980" s="265"/>
      <c r="H980" s="122"/>
      <c r="I980" s="74">
        <v>50000000</v>
      </c>
      <c r="J980" s="75" t="s">
        <v>54</v>
      </c>
      <c r="K980" s="75" t="s">
        <v>203</v>
      </c>
      <c r="L980" s="134" t="str">
        <f>IF(AND('331-CT'!$E$7=TH!H980,OR(J980="331",K980="331")),"x","")</f>
        <v/>
      </c>
    </row>
    <row r="981" spans="1:12" hidden="1">
      <c r="A981" s="72">
        <f t="shared" si="37"/>
        <v>2015</v>
      </c>
      <c r="B981" s="72">
        <f t="shared" si="38"/>
        <v>11</v>
      </c>
      <c r="C981" s="73">
        <v>42321</v>
      </c>
      <c r="D981" s="73" t="s">
        <v>803</v>
      </c>
      <c r="E981" s="73">
        <v>42321</v>
      </c>
      <c r="F981" s="76" t="s">
        <v>576</v>
      </c>
      <c r="G981" s="265"/>
      <c r="H981" s="122"/>
      <c r="I981" s="74">
        <v>50000000</v>
      </c>
      <c r="J981" s="75" t="s">
        <v>54</v>
      </c>
      <c r="K981" s="75" t="s">
        <v>203</v>
      </c>
      <c r="L981" s="134" t="str">
        <f>IF(AND('331-CT'!$E$7=TH!H981,OR(J981="331",K981="331")),"x","")</f>
        <v/>
      </c>
    </row>
    <row r="982" spans="1:12" hidden="1">
      <c r="A982" s="72">
        <f t="shared" si="37"/>
        <v>2015</v>
      </c>
      <c r="B982" s="72">
        <f t="shared" si="38"/>
        <v>11</v>
      </c>
      <c r="C982" s="73">
        <v>42328</v>
      </c>
      <c r="D982" s="73" t="s">
        <v>804</v>
      </c>
      <c r="E982" s="73">
        <v>42328</v>
      </c>
      <c r="F982" s="76" t="s">
        <v>805</v>
      </c>
      <c r="G982" s="265" t="s">
        <v>806</v>
      </c>
      <c r="H982" s="122" t="s">
        <v>280</v>
      </c>
      <c r="I982" s="74">
        <v>280531</v>
      </c>
      <c r="J982" s="75" t="s">
        <v>242</v>
      </c>
      <c r="K982" s="75" t="s">
        <v>203</v>
      </c>
      <c r="L982" s="134" t="str">
        <f>IF(AND('331-CT'!$E$7=TH!H982,OR(J982="331",K982="331")),"x","")</f>
        <v/>
      </c>
    </row>
    <row r="983" spans="1:12" hidden="1">
      <c r="A983" s="72">
        <f t="shared" si="37"/>
        <v>2015</v>
      </c>
      <c r="B983" s="72">
        <f t="shared" si="38"/>
        <v>11</v>
      </c>
      <c r="C983" s="73">
        <v>42328</v>
      </c>
      <c r="D983" s="73" t="s">
        <v>804</v>
      </c>
      <c r="E983" s="73">
        <v>42328</v>
      </c>
      <c r="F983" s="76" t="s">
        <v>807</v>
      </c>
      <c r="G983" s="265" t="s">
        <v>806</v>
      </c>
      <c r="H983" s="122" t="s">
        <v>280</v>
      </c>
      <c r="I983" s="74">
        <v>28053</v>
      </c>
      <c r="J983" s="75" t="s">
        <v>19</v>
      </c>
      <c r="K983" s="75" t="s">
        <v>203</v>
      </c>
      <c r="L983" s="134" t="str">
        <f>IF(AND('331-CT'!$E$7=TH!H983,OR(J983="331",K983="331")),"x","")</f>
        <v/>
      </c>
    </row>
    <row r="984" spans="1:12" hidden="1">
      <c r="A984" s="72">
        <f t="shared" si="37"/>
        <v>2015</v>
      </c>
      <c r="B984" s="72">
        <f t="shared" si="38"/>
        <v>11</v>
      </c>
      <c r="C984" s="73">
        <v>42328</v>
      </c>
      <c r="D984" s="73" t="s">
        <v>808</v>
      </c>
      <c r="E984" s="73">
        <v>42328</v>
      </c>
      <c r="F984" s="76" t="s">
        <v>809</v>
      </c>
      <c r="G984" s="265" t="s">
        <v>810</v>
      </c>
      <c r="H984" s="122" t="s">
        <v>280</v>
      </c>
      <c r="I984" s="74">
        <v>305830</v>
      </c>
      <c r="J984" s="75" t="s">
        <v>242</v>
      </c>
      <c r="K984" s="75" t="s">
        <v>203</v>
      </c>
      <c r="L984" s="134" t="str">
        <f>IF(AND('331-CT'!$E$7=TH!H984,OR(J984="331",K984="331")),"x","")</f>
        <v/>
      </c>
    </row>
    <row r="985" spans="1:12" hidden="1">
      <c r="A985" s="72">
        <f t="shared" si="37"/>
        <v>2015</v>
      </c>
      <c r="B985" s="72">
        <f t="shared" si="38"/>
        <v>11</v>
      </c>
      <c r="C985" s="73">
        <v>42328</v>
      </c>
      <c r="D985" s="73" t="s">
        <v>808</v>
      </c>
      <c r="E985" s="73">
        <v>42328</v>
      </c>
      <c r="F985" s="76" t="s">
        <v>811</v>
      </c>
      <c r="G985" s="265" t="s">
        <v>810</v>
      </c>
      <c r="H985" s="122" t="s">
        <v>280</v>
      </c>
      <c r="I985" s="74">
        <v>30586</v>
      </c>
      <c r="J985" s="75" t="s">
        <v>19</v>
      </c>
      <c r="K985" s="75" t="s">
        <v>203</v>
      </c>
      <c r="L985" s="134" t="str">
        <f>IF(AND('331-CT'!$E$7=TH!H985,OR(J985="331",K985="331")),"x","")</f>
        <v/>
      </c>
    </row>
    <row r="986" spans="1:12" hidden="1">
      <c r="A986" s="72">
        <f t="shared" si="37"/>
        <v>2015</v>
      </c>
      <c r="B986" s="72">
        <f t="shared" si="38"/>
        <v>11</v>
      </c>
      <c r="C986" s="73">
        <v>42328</v>
      </c>
      <c r="D986" s="73" t="s">
        <v>812</v>
      </c>
      <c r="E986" s="73">
        <v>42328</v>
      </c>
      <c r="F986" s="76" t="s">
        <v>626</v>
      </c>
      <c r="G986" s="265" t="s">
        <v>813</v>
      </c>
      <c r="H986" s="122" t="s">
        <v>629</v>
      </c>
      <c r="I986" s="74">
        <v>6700000</v>
      </c>
      <c r="J986" s="75" t="s">
        <v>242</v>
      </c>
      <c r="K986" s="75" t="s">
        <v>203</v>
      </c>
      <c r="L986" s="134" t="str">
        <f>IF(AND('331-CT'!$E$7=TH!H986,OR(J986="331",K986="331")),"x","")</f>
        <v/>
      </c>
    </row>
    <row r="987" spans="1:12" hidden="1">
      <c r="A987" s="72">
        <f t="shared" si="37"/>
        <v>2015</v>
      </c>
      <c r="B987" s="72">
        <f t="shared" si="38"/>
        <v>11</v>
      </c>
      <c r="C987" s="73">
        <v>42328</v>
      </c>
      <c r="D987" s="73" t="s">
        <v>812</v>
      </c>
      <c r="E987" s="73">
        <v>42328</v>
      </c>
      <c r="F987" s="76" t="s">
        <v>627</v>
      </c>
      <c r="G987" s="265" t="s">
        <v>813</v>
      </c>
      <c r="H987" s="122" t="s">
        <v>629</v>
      </c>
      <c r="I987" s="74">
        <v>670000</v>
      </c>
      <c r="J987" s="75" t="s">
        <v>19</v>
      </c>
      <c r="K987" s="75" t="s">
        <v>203</v>
      </c>
      <c r="L987" s="134" t="str">
        <f>IF(AND('331-CT'!$E$7=TH!H987,OR(J987="331",K987="331")),"x","")</f>
        <v/>
      </c>
    </row>
    <row r="988" spans="1:12" hidden="1">
      <c r="A988" s="72">
        <f t="shared" si="37"/>
        <v>2015</v>
      </c>
      <c r="B988" s="72">
        <f t="shared" si="38"/>
        <v>11</v>
      </c>
      <c r="C988" s="73">
        <v>42329</v>
      </c>
      <c r="D988" s="73" t="s">
        <v>814</v>
      </c>
      <c r="E988" s="73">
        <v>42329</v>
      </c>
      <c r="F988" s="76" t="s">
        <v>576</v>
      </c>
      <c r="G988" s="265"/>
      <c r="H988" s="122"/>
      <c r="I988" s="74">
        <v>165000000</v>
      </c>
      <c r="J988" s="75" t="s">
        <v>54</v>
      </c>
      <c r="K988" s="75" t="s">
        <v>203</v>
      </c>
      <c r="L988" s="134" t="str">
        <f>IF(AND('331-CT'!$E$7=TH!H988,OR(J988="331",K988="331")),"x","")</f>
        <v/>
      </c>
    </row>
    <row r="989" spans="1:12" hidden="1">
      <c r="A989" s="72">
        <f t="shared" si="37"/>
        <v>2015</v>
      </c>
      <c r="B989" s="72">
        <f t="shared" si="38"/>
        <v>11</v>
      </c>
      <c r="C989" s="73">
        <v>42329</v>
      </c>
      <c r="D989" s="73" t="s">
        <v>815</v>
      </c>
      <c r="E989" s="73">
        <v>42329</v>
      </c>
      <c r="F989" s="76" t="s">
        <v>816</v>
      </c>
      <c r="G989" s="265" t="s">
        <v>817</v>
      </c>
      <c r="H989" s="122" t="s">
        <v>188</v>
      </c>
      <c r="I989" s="74">
        <v>9042800</v>
      </c>
      <c r="J989" s="75" t="s">
        <v>242</v>
      </c>
      <c r="K989" s="75" t="s">
        <v>203</v>
      </c>
      <c r="L989" s="134" t="str">
        <f>IF(AND('331-CT'!$E$7=TH!H989,OR(J989="331",K989="331")),"x","")</f>
        <v/>
      </c>
    </row>
    <row r="990" spans="1:12" hidden="1">
      <c r="A990" s="72">
        <f t="shared" si="37"/>
        <v>2015</v>
      </c>
      <c r="B990" s="72">
        <f t="shared" si="38"/>
        <v>11</v>
      </c>
      <c r="C990" s="73">
        <v>42329</v>
      </c>
      <c r="D990" s="73" t="s">
        <v>815</v>
      </c>
      <c r="E990" s="73">
        <v>42329</v>
      </c>
      <c r="F990" s="76" t="s">
        <v>818</v>
      </c>
      <c r="G990" s="265" t="s">
        <v>817</v>
      </c>
      <c r="H990" s="122" t="s">
        <v>188</v>
      </c>
      <c r="I990" s="74">
        <v>452140</v>
      </c>
      <c r="J990" s="75" t="s">
        <v>19</v>
      </c>
      <c r="K990" s="75" t="s">
        <v>203</v>
      </c>
      <c r="L990" s="134" t="str">
        <f>IF(AND('331-CT'!$E$7=TH!H990,OR(J990="331",K990="331")),"x","")</f>
        <v/>
      </c>
    </row>
    <row r="991" spans="1:12" hidden="1">
      <c r="A991" s="72">
        <f t="shared" si="37"/>
        <v>2015</v>
      </c>
      <c r="B991" s="72">
        <f t="shared" si="38"/>
        <v>11</v>
      </c>
      <c r="C991" s="73">
        <v>42325</v>
      </c>
      <c r="D991" s="73" t="s">
        <v>78</v>
      </c>
      <c r="E991" s="73">
        <v>42325</v>
      </c>
      <c r="F991" s="76" t="s">
        <v>463</v>
      </c>
      <c r="G991" s="265" t="s">
        <v>819</v>
      </c>
      <c r="H991" s="122" t="s">
        <v>300</v>
      </c>
      <c r="I991" s="74">
        <v>83901727</v>
      </c>
      <c r="J991" s="75" t="s">
        <v>655</v>
      </c>
      <c r="K991" s="75" t="s">
        <v>18</v>
      </c>
      <c r="L991" s="134" t="str">
        <f>IF(AND('331-CT'!$E$7=TH!H991,OR(J991="331",K991="331")),"x","")</f>
        <v/>
      </c>
    </row>
    <row r="992" spans="1:12" hidden="1">
      <c r="A992" s="72">
        <f t="shared" si="37"/>
        <v>2015</v>
      </c>
      <c r="B992" s="72">
        <f t="shared" si="38"/>
        <v>11</v>
      </c>
      <c r="C992" s="73">
        <v>42325</v>
      </c>
      <c r="D992" s="73" t="s">
        <v>78</v>
      </c>
      <c r="E992" s="73">
        <v>42325</v>
      </c>
      <c r="F992" s="76" t="s">
        <v>464</v>
      </c>
      <c r="G992" s="265" t="s">
        <v>819</v>
      </c>
      <c r="H992" s="122" t="s">
        <v>300</v>
      </c>
      <c r="I992" s="74">
        <v>8390173</v>
      </c>
      <c r="J992" s="75" t="s">
        <v>19</v>
      </c>
      <c r="K992" s="75" t="s">
        <v>18</v>
      </c>
      <c r="L992" s="134" t="str">
        <f>IF(AND('331-CT'!$E$7=TH!H992,OR(J992="331",K992="331")),"x","")</f>
        <v/>
      </c>
    </row>
    <row r="993" spans="1:12" hidden="1">
      <c r="A993" s="72">
        <f t="shared" si="37"/>
        <v>2015</v>
      </c>
      <c r="B993" s="72">
        <f t="shared" si="38"/>
        <v>11</v>
      </c>
      <c r="C993" s="73">
        <v>42328</v>
      </c>
      <c r="D993" s="73" t="s">
        <v>78</v>
      </c>
      <c r="E993" s="73">
        <v>42328</v>
      </c>
      <c r="F993" s="76" t="s">
        <v>820</v>
      </c>
      <c r="G993" s="265" t="s">
        <v>821</v>
      </c>
      <c r="H993" s="122" t="s">
        <v>111</v>
      </c>
      <c r="I993" s="74">
        <v>280636364</v>
      </c>
      <c r="J993" s="75" t="s">
        <v>655</v>
      </c>
      <c r="K993" s="75" t="s">
        <v>18</v>
      </c>
      <c r="L993" s="134" t="str">
        <f>IF(AND('331-CT'!$E$7=TH!H993,OR(J993="331",K993="331")),"x","")</f>
        <v/>
      </c>
    </row>
    <row r="994" spans="1:12" hidden="1">
      <c r="A994" s="72">
        <f t="shared" si="37"/>
        <v>2015</v>
      </c>
      <c r="B994" s="72">
        <f t="shared" si="38"/>
        <v>11</v>
      </c>
      <c r="C994" s="73">
        <v>42328</v>
      </c>
      <c r="D994" s="73" t="s">
        <v>78</v>
      </c>
      <c r="E994" s="73">
        <v>42328</v>
      </c>
      <c r="F994" s="76" t="s">
        <v>822</v>
      </c>
      <c r="G994" s="265" t="s">
        <v>821</v>
      </c>
      <c r="H994" s="122" t="s">
        <v>111</v>
      </c>
      <c r="I994" s="74">
        <v>28063636</v>
      </c>
      <c r="J994" s="75" t="s">
        <v>19</v>
      </c>
      <c r="K994" s="75" t="s">
        <v>18</v>
      </c>
      <c r="L994" s="134" t="str">
        <f>IF(AND('331-CT'!$E$7=TH!H994,OR(J994="331",K994="331")),"x","")</f>
        <v/>
      </c>
    </row>
    <row r="995" spans="1:12" hidden="1">
      <c r="A995" s="72">
        <f t="shared" si="37"/>
        <v>2015</v>
      </c>
      <c r="B995" s="72">
        <f t="shared" si="38"/>
        <v>11</v>
      </c>
      <c r="C995" s="73">
        <v>42329</v>
      </c>
      <c r="D995" s="73" t="s">
        <v>78</v>
      </c>
      <c r="E995" s="73">
        <v>42329</v>
      </c>
      <c r="F995" s="76" t="s">
        <v>823</v>
      </c>
      <c r="G995" s="265" t="s">
        <v>824</v>
      </c>
      <c r="H995" s="122" t="s">
        <v>111</v>
      </c>
      <c r="I995" s="74">
        <v>455818182</v>
      </c>
      <c r="J995" s="75" t="s">
        <v>655</v>
      </c>
      <c r="K995" s="75" t="s">
        <v>18</v>
      </c>
      <c r="L995" s="134" t="str">
        <f>IF(AND('331-CT'!$E$7=TH!H995,OR(J995="331",K995="331")),"x","")</f>
        <v/>
      </c>
    </row>
    <row r="996" spans="1:12" hidden="1">
      <c r="A996" s="72">
        <f t="shared" si="37"/>
        <v>2015</v>
      </c>
      <c r="B996" s="72">
        <f t="shared" si="38"/>
        <v>11</v>
      </c>
      <c r="C996" s="73">
        <v>42329</v>
      </c>
      <c r="D996" s="73" t="s">
        <v>78</v>
      </c>
      <c r="E996" s="73">
        <v>42329</v>
      </c>
      <c r="F996" s="76" t="s">
        <v>825</v>
      </c>
      <c r="G996" s="265" t="s">
        <v>824</v>
      </c>
      <c r="H996" s="122" t="s">
        <v>111</v>
      </c>
      <c r="I996" s="74">
        <v>45581818</v>
      </c>
      <c r="J996" s="75" t="s">
        <v>19</v>
      </c>
      <c r="K996" s="75" t="s">
        <v>18</v>
      </c>
      <c r="L996" s="134" t="str">
        <f>IF(AND('331-CT'!$E$7=TH!H996,OR(J996="331",K996="331")),"x","")</f>
        <v/>
      </c>
    </row>
    <row r="997" spans="1:12" hidden="1">
      <c r="A997" s="72">
        <f t="shared" si="37"/>
        <v>2015</v>
      </c>
      <c r="B997" s="72">
        <f t="shared" si="38"/>
        <v>11</v>
      </c>
      <c r="C997" s="73">
        <v>42335</v>
      </c>
      <c r="D997" s="73" t="s">
        <v>826</v>
      </c>
      <c r="E997" s="73">
        <v>42335</v>
      </c>
      <c r="F997" s="76" t="s">
        <v>827</v>
      </c>
      <c r="G997" s="265" t="s">
        <v>828</v>
      </c>
      <c r="H997" s="122" t="s">
        <v>829</v>
      </c>
      <c r="I997" s="74">
        <v>4937000</v>
      </c>
      <c r="J997" s="75" t="s">
        <v>655</v>
      </c>
      <c r="K997" s="75" t="s">
        <v>203</v>
      </c>
      <c r="L997" s="134" t="str">
        <f>IF(AND('331-CT'!$E$7=TH!H997,OR(J997="331",K997="331")),"x","")</f>
        <v/>
      </c>
    </row>
    <row r="998" spans="1:12" hidden="1">
      <c r="A998" s="72">
        <f t="shared" si="37"/>
        <v>2015</v>
      </c>
      <c r="B998" s="72">
        <f t="shared" si="38"/>
        <v>11</v>
      </c>
      <c r="C998" s="73">
        <v>42336</v>
      </c>
      <c r="D998" s="73" t="s">
        <v>830</v>
      </c>
      <c r="E998" s="73">
        <v>42336</v>
      </c>
      <c r="F998" s="76" t="s">
        <v>831</v>
      </c>
      <c r="G998" s="265" t="s">
        <v>832</v>
      </c>
      <c r="H998" s="122" t="s">
        <v>774</v>
      </c>
      <c r="I998" s="74">
        <v>3856320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 hidden="1">
      <c r="A999" s="72">
        <f t="shared" si="37"/>
        <v>2015</v>
      </c>
      <c r="B999" s="72">
        <f t="shared" si="38"/>
        <v>11</v>
      </c>
      <c r="C999" s="73">
        <v>42336</v>
      </c>
      <c r="D999" s="73" t="s">
        <v>830</v>
      </c>
      <c r="E999" s="73">
        <v>42336</v>
      </c>
      <c r="F999" s="76" t="s">
        <v>833</v>
      </c>
      <c r="G999" s="265" t="s">
        <v>832</v>
      </c>
      <c r="H999" s="122" t="s">
        <v>774</v>
      </c>
      <c r="I999" s="74">
        <v>385632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 hidden="1">
      <c r="A1000" s="72">
        <f t="shared" si="37"/>
        <v>2015</v>
      </c>
      <c r="B1000" s="72">
        <f t="shared" si="38"/>
        <v>11</v>
      </c>
      <c r="C1000" s="73">
        <v>42336</v>
      </c>
      <c r="D1000" s="73" t="s">
        <v>834</v>
      </c>
      <c r="E1000" s="73">
        <v>42336</v>
      </c>
      <c r="F1000" s="76" t="s">
        <v>576</v>
      </c>
      <c r="G1000" s="265"/>
      <c r="H1000" s="122"/>
      <c r="I1000" s="74">
        <v>40000000</v>
      </c>
      <c r="J1000" s="75" t="s">
        <v>54</v>
      </c>
      <c r="K1000" s="75" t="s">
        <v>203</v>
      </c>
      <c r="L1000" s="134" t="str">
        <f>IF(AND('331-CT'!$E$7=TH!H1000,OR(J1000="331",K1000="331")),"x","")</f>
        <v/>
      </c>
    </row>
    <row r="1001" spans="1:12" hidden="1">
      <c r="A1001" s="72">
        <f t="shared" si="37"/>
        <v>2015</v>
      </c>
      <c r="B1001" s="72">
        <f t="shared" si="38"/>
        <v>11</v>
      </c>
      <c r="C1001" s="73">
        <v>42337</v>
      </c>
      <c r="D1001" s="73" t="s">
        <v>835</v>
      </c>
      <c r="E1001" s="73">
        <v>42337</v>
      </c>
      <c r="F1001" s="76" t="s">
        <v>836</v>
      </c>
      <c r="G1001" s="265" t="s">
        <v>837</v>
      </c>
      <c r="H1001" s="122" t="s">
        <v>838</v>
      </c>
      <c r="I1001" s="74">
        <v>2418182</v>
      </c>
      <c r="J1001" s="75" t="s">
        <v>242</v>
      </c>
      <c r="K1001" s="75" t="s">
        <v>203</v>
      </c>
      <c r="L1001" s="134" t="str">
        <f>IF(AND('331-CT'!$E$7=TH!H1001,OR(J1001="331",K1001="331")),"x","")</f>
        <v/>
      </c>
    </row>
    <row r="1002" spans="1:12" hidden="1">
      <c r="A1002" s="72">
        <f t="shared" si="37"/>
        <v>2015</v>
      </c>
      <c r="B1002" s="72">
        <f t="shared" si="38"/>
        <v>11</v>
      </c>
      <c r="C1002" s="73">
        <v>42337</v>
      </c>
      <c r="D1002" s="73" t="s">
        <v>835</v>
      </c>
      <c r="E1002" s="73">
        <v>42337</v>
      </c>
      <c r="F1002" s="76" t="s">
        <v>839</v>
      </c>
      <c r="G1002" s="265" t="s">
        <v>837</v>
      </c>
      <c r="H1002" s="122" t="s">
        <v>838</v>
      </c>
      <c r="I1002" s="74">
        <v>241818</v>
      </c>
      <c r="J1002" s="75" t="s">
        <v>19</v>
      </c>
      <c r="K1002" s="75" t="s">
        <v>203</v>
      </c>
      <c r="L1002" s="134" t="str">
        <f>IF(AND('331-CT'!$E$7=TH!H1002,OR(J1002="331",K1002="331")),"x","")</f>
        <v/>
      </c>
    </row>
    <row r="1003" spans="1:12" hidden="1">
      <c r="A1003" s="72">
        <f t="shared" si="37"/>
        <v>2015</v>
      </c>
      <c r="B1003" s="72">
        <f t="shared" si="38"/>
        <v>11</v>
      </c>
      <c r="C1003" s="73">
        <v>42319</v>
      </c>
      <c r="D1003" s="73" t="s">
        <v>17</v>
      </c>
      <c r="E1003" s="73">
        <v>42319</v>
      </c>
      <c r="F1003" s="76" t="s">
        <v>301</v>
      </c>
      <c r="G1003" s="265"/>
      <c r="H1003" s="122" t="s">
        <v>151</v>
      </c>
      <c r="I1003" s="74">
        <v>50000000</v>
      </c>
      <c r="J1003" s="75" t="s">
        <v>18</v>
      </c>
      <c r="K1003" s="75" t="s">
        <v>54</v>
      </c>
      <c r="L1003" s="134" t="str">
        <f>IF(AND('331-CT'!$E$7=TH!H1003,OR(J1003="331",K1003="331")),"x","")</f>
        <v/>
      </c>
    </row>
    <row r="1004" spans="1:12" hidden="1">
      <c r="A1004" s="72">
        <f t="shared" si="37"/>
        <v>2015</v>
      </c>
      <c r="B1004" s="72">
        <f t="shared" si="38"/>
        <v>11</v>
      </c>
      <c r="C1004" s="73">
        <v>42319</v>
      </c>
      <c r="D1004" s="73" t="s">
        <v>17</v>
      </c>
      <c r="E1004" s="73">
        <v>42319</v>
      </c>
      <c r="F1004" s="76" t="s">
        <v>34</v>
      </c>
      <c r="G1004" s="265"/>
      <c r="H1004" s="122"/>
      <c r="I1004" s="74">
        <v>45000</v>
      </c>
      <c r="J1004" s="75" t="s">
        <v>242</v>
      </c>
      <c r="K1004" s="75" t="s">
        <v>54</v>
      </c>
      <c r="L1004" s="134" t="str">
        <f>IF(AND('331-CT'!$E$7=TH!H1004,OR(J1004="331",K1004="331")),"x","")</f>
        <v/>
      </c>
    </row>
    <row r="1005" spans="1:12" hidden="1">
      <c r="A1005" s="72">
        <f t="shared" si="37"/>
        <v>2015</v>
      </c>
      <c r="B1005" s="72">
        <f t="shared" si="38"/>
        <v>11</v>
      </c>
      <c r="C1005" s="73">
        <v>42319</v>
      </c>
      <c r="D1005" s="73" t="s">
        <v>17</v>
      </c>
      <c r="E1005" s="73">
        <v>42319</v>
      </c>
      <c r="F1005" s="76" t="s">
        <v>35</v>
      </c>
      <c r="G1005" s="265"/>
      <c r="H1005" s="122"/>
      <c r="I1005" s="74">
        <v>4500</v>
      </c>
      <c r="J1005" s="75" t="s">
        <v>19</v>
      </c>
      <c r="K1005" s="75" t="s">
        <v>54</v>
      </c>
      <c r="L1005" s="134" t="str">
        <f>IF(AND('331-CT'!$E$7=TH!H1005,OR(J1005="331",K1005="331")),"x","")</f>
        <v/>
      </c>
    </row>
    <row r="1006" spans="1:12" hidden="1">
      <c r="A1006" s="72">
        <f t="shared" si="37"/>
        <v>2015</v>
      </c>
      <c r="B1006" s="72">
        <f t="shared" si="38"/>
        <v>11</v>
      </c>
      <c r="C1006" s="73">
        <v>42321</v>
      </c>
      <c r="D1006" s="73" t="s">
        <v>17</v>
      </c>
      <c r="E1006" s="73">
        <v>42321</v>
      </c>
      <c r="F1006" s="76" t="s">
        <v>840</v>
      </c>
      <c r="G1006" s="265"/>
      <c r="H1006" s="122" t="s">
        <v>742</v>
      </c>
      <c r="I1006" s="74">
        <v>10199904</v>
      </c>
      <c r="J1006" s="75" t="s">
        <v>18</v>
      </c>
      <c r="K1006" s="75" t="s">
        <v>54</v>
      </c>
      <c r="L1006" s="134" t="str">
        <f>IF(AND('331-CT'!$E$7=TH!H1006,OR(J1006="331",K1006="331")),"x","")</f>
        <v/>
      </c>
    </row>
    <row r="1007" spans="1:12" hidden="1">
      <c r="A1007" s="72">
        <f t="shared" si="37"/>
        <v>2015</v>
      </c>
      <c r="B1007" s="72">
        <f t="shared" si="38"/>
        <v>11</v>
      </c>
      <c r="C1007" s="73">
        <v>42321</v>
      </c>
      <c r="D1007" s="73" t="s">
        <v>17</v>
      </c>
      <c r="E1007" s="73">
        <v>42321</v>
      </c>
      <c r="F1007" s="76" t="s">
        <v>34</v>
      </c>
      <c r="G1007" s="265"/>
      <c r="H1007" s="122"/>
      <c r="I1007" s="74">
        <v>45000</v>
      </c>
      <c r="J1007" s="75" t="s">
        <v>242</v>
      </c>
      <c r="K1007" s="75" t="s">
        <v>54</v>
      </c>
      <c r="L1007" s="134" t="str">
        <f>IF(AND('331-CT'!$E$7=TH!H1007,OR(J1007="331",K1007="331")),"x","")</f>
        <v/>
      </c>
    </row>
    <row r="1008" spans="1:12" hidden="1">
      <c r="A1008" s="72">
        <f t="shared" si="37"/>
        <v>2015</v>
      </c>
      <c r="B1008" s="72">
        <f t="shared" si="38"/>
        <v>11</v>
      </c>
      <c r="C1008" s="73">
        <v>42321</v>
      </c>
      <c r="D1008" s="73" t="s">
        <v>17</v>
      </c>
      <c r="E1008" s="73">
        <v>42321</v>
      </c>
      <c r="F1008" s="76" t="s">
        <v>35</v>
      </c>
      <c r="G1008" s="265"/>
      <c r="H1008" s="122"/>
      <c r="I1008" s="74">
        <v>4500</v>
      </c>
      <c r="J1008" s="75" t="s">
        <v>19</v>
      </c>
      <c r="K1008" s="75" t="s">
        <v>54</v>
      </c>
      <c r="L1008" s="134" t="str">
        <f>IF(AND('331-CT'!$E$7=TH!H1008,OR(J1008="331",K1008="331")),"x","")</f>
        <v/>
      </c>
    </row>
    <row r="1009" spans="1:12" hidden="1">
      <c r="A1009" s="72">
        <f t="shared" si="37"/>
        <v>2015</v>
      </c>
      <c r="B1009" s="72">
        <f t="shared" si="38"/>
        <v>11</v>
      </c>
      <c r="C1009" s="73">
        <v>42321</v>
      </c>
      <c r="D1009" s="73" t="s">
        <v>17</v>
      </c>
      <c r="E1009" s="73">
        <v>42321</v>
      </c>
      <c r="F1009" s="76" t="s">
        <v>841</v>
      </c>
      <c r="G1009" s="265"/>
      <c r="H1009" s="122" t="s">
        <v>649</v>
      </c>
      <c r="I1009" s="74">
        <v>30644460</v>
      </c>
      <c r="J1009" s="75" t="s">
        <v>18</v>
      </c>
      <c r="K1009" s="75" t="s">
        <v>54</v>
      </c>
      <c r="L1009" s="134" t="str">
        <f>IF(AND('331-CT'!$E$7=TH!H1009,OR(J1009="331",K1009="331")),"x","")</f>
        <v/>
      </c>
    </row>
    <row r="1010" spans="1:12" hidden="1">
      <c r="A1010" s="72">
        <f t="shared" si="37"/>
        <v>2015</v>
      </c>
      <c r="B1010" s="72">
        <f t="shared" si="38"/>
        <v>11</v>
      </c>
      <c r="C1010" s="73">
        <v>42321</v>
      </c>
      <c r="D1010" s="73" t="s">
        <v>17</v>
      </c>
      <c r="E1010" s="73">
        <v>42321</v>
      </c>
      <c r="F1010" s="76" t="s">
        <v>34</v>
      </c>
      <c r="G1010" s="265"/>
      <c r="H1010" s="122"/>
      <c r="I1010" s="74">
        <v>45000</v>
      </c>
      <c r="J1010" s="75" t="s">
        <v>242</v>
      </c>
      <c r="K1010" s="75" t="s">
        <v>54</v>
      </c>
      <c r="L1010" s="134" t="str">
        <f>IF(AND('331-CT'!$E$7=TH!H1010,OR(J1010="331",K1010="331")),"x","")</f>
        <v/>
      </c>
    </row>
    <row r="1011" spans="1:12" hidden="1">
      <c r="A1011" s="72">
        <f t="shared" si="37"/>
        <v>2015</v>
      </c>
      <c r="B1011" s="72">
        <f t="shared" si="38"/>
        <v>11</v>
      </c>
      <c r="C1011" s="73">
        <v>42321</v>
      </c>
      <c r="D1011" s="73" t="s">
        <v>17</v>
      </c>
      <c r="E1011" s="73">
        <v>42321</v>
      </c>
      <c r="F1011" s="76" t="s">
        <v>35</v>
      </c>
      <c r="G1011" s="265"/>
      <c r="H1011" s="122"/>
      <c r="I1011" s="74">
        <v>4500</v>
      </c>
      <c r="J1011" s="75" t="s">
        <v>19</v>
      </c>
      <c r="K1011" s="75" t="s">
        <v>54</v>
      </c>
      <c r="L1011" s="134" t="str">
        <f>IF(AND('331-CT'!$E$7=TH!H1011,OR(J1011="331",K1011="331")),"x","")</f>
        <v/>
      </c>
    </row>
    <row r="1012" spans="1:12" hidden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17</v>
      </c>
      <c r="E1012" s="73">
        <v>42328</v>
      </c>
      <c r="F1012" s="76" t="s">
        <v>119</v>
      </c>
      <c r="G1012" s="265"/>
      <c r="H1012" s="122" t="s">
        <v>314</v>
      </c>
      <c r="I1012" s="74">
        <v>8183794</v>
      </c>
      <c r="J1012" s="75" t="s">
        <v>240</v>
      </c>
      <c r="K1012" s="75" t="s">
        <v>54</v>
      </c>
      <c r="L1012" s="134" t="str">
        <f>IF(AND('331-CT'!$E$7=TH!H1012,OR(J1012="331",K1012="331")),"x","")</f>
        <v/>
      </c>
    </row>
    <row r="1013" spans="1:12" hidden="1">
      <c r="A1013" s="72">
        <f t="shared" si="37"/>
        <v>2015</v>
      </c>
      <c r="B1013" s="72">
        <f t="shared" si="38"/>
        <v>11</v>
      </c>
      <c r="C1013" s="73">
        <v>42329</v>
      </c>
      <c r="D1013" s="73" t="s">
        <v>17</v>
      </c>
      <c r="E1013" s="73">
        <v>42329</v>
      </c>
      <c r="F1013" s="76" t="s">
        <v>141</v>
      </c>
      <c r="G1013" s="265"/>
      <c r="H1013" s="122" t="s">
        <v>315</v>
      </c>
      <c r="I1013" s="74">
        <v>16374064</v>
      </c>
      <c r="J1013" s="75" t="s">
        <v>240</v>
      </c>
      <c r="K1013" s="75" t="s">
        <v>54</v>
      </c>
      <c r="L1013" s="134" t="str">
        <f>IF(AND('331-CT'!$E$7=TH!H1013,OR(J1013="331",K1013="331")),"x","")</f>
        <v/>
      </c>
    </row>
    <row r="1014" spans="1:12" hidden="1">
      <c r="A1014" s="72">
        <f t="shared" si="37"/>
        <v>2015</v>
      </c>
      <c r="B1014" s="72">
        <f t="shared" si="38"/>
        <v>11</v>
      </c>
      <c r="C1014" s="73">
        <v>42329</v>
      </c>
      <c r="D1014" s="73" t="s">
        <v>17</v>
      </c>
      <c r="E1014" s="73">
        <v>42329</v>
      </c>
      <c r="F1014" s="76" t="s">
        <v>143</v>
      </c>
      <c r="G1014" s="265"/>
      <c r="H1014" s="122" t="s">
        <v>317</v>
      </c>
      <c r="I1014" s="74">
        <v>13099251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 hidden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17</v>
      </c>
      <c r="E1015" s="73">
        <v>42329</v>
      </c>
      <c r="F1015" s="76" t="s">
        <v>144</v>
      </c>
      <c r="G1015" s="265"/>
      <c r="H1015" s="122" t="s">
        <v>316</v>
      </c>
      <c r="I1015" s="74">
        <v>12280547</v>
      </c>
      <c r="J1015" s="75" t="s">
        <v>240</v>
      </c>
      <c r="K1015" s="75" t="s">
        <v>54</v>
      </c>
      <c r="L1015" s="134" t="str">
        <f>IF(AND('331-CT'!$E$7=TH!H1015,OR(J1015="331",K1015="331")),"x","")</f>
        <v/>
      </c>
    </row>
    <row r="1016" spans="1:12" hidden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17</v>
      </c>
      <c r="E1016" s="73">
        <v>42329</v>
      </c>
      <c r="F1016" s="76" t="s">
        <v>145</v>
      </c>
      <c r="G1016" s="265"/>
      <c r="H1016" s="122" t="s">
        <v>318</v>
      </c>
      <c r="I1016" s="74">
        <v>8187032</v>
      </c>
      <c r="J1016" s="75" t="s">
        <v>240</v>
      </c>
      <c r="K1016" s="75" t="s">
        <v>54</v>
      </c>
      <c r="L1016" s="134" t="str">
        <f>IF(AND('331-CT'!$E$7=TH!H1016,OR(J1016="331",K1016="331")),"x","")</f>
        <v/>
      </c>
    </row>
    <row r="1017" spans="1:12" hidden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17</v>
      </c>
      <c r="E1017" s="73">
        <v>42329</v>
      </c>
      <c r="F1017" s="76" t="s">
        <v>147</v>
      </c>
      <c r="G1017" s="265"/>
      <c r="H1017" s="122" t="s">
        <v>319</v>
      </c>
      <c r="I1017" s="74">
        <v>12280547</v>
      </c>
      <c r="J1017" s="75" t="s">
        <v>240</v>
      </c>
      <c r="K1017" s="75" t="s">
        <v>54</v>
      </c>
      <c r="L1017" s="134" t="str">
        <f>IF(AND('331-CT'!$E$7=TH!H1017,OR(J1017="331",K1017="331")),"x","")</f>
        <v/>
      </c>
    </row>
    <row r="1018" spans="1:12" hidden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17</v>
      </c>
      <c r="E1018" s="73">
        <v>42329</v>
      </c>
      <c r="F1018" s="76" t="s">
        <v>273</v>
      </c>
      <c r="G1018" s="265"/>
      <c r="H1018" s="122" t="s">
        <v>320</v>
      </c>
      <c r="I1018" s="74">
        <v>16374064</v>
      </c>
      <c r="J1018" s="75" t="s">
        <v>240</v>
      </c>
      <c r="K1018" s="75" t="s">
        <v>54</v>
      </c>
      <c r="L1018" s="134" t="str">
        <f>IF(AND('331-CT'!$E$7=TH!H1018,OR(J1018="331",K1018="331")),"x","")</f>
        <v/>
      </c>
    </row>
    <row r="1019" spans="1:12" hidden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17</v>
      </c>
      <c r="E1019" s="73">
        <v>42329</v>
      </c>
      <c r="F1019" s="76" t="s">
        <v>303</v>
      </c>
      <c r="G1019" s="265"/>
      <c r="H1019" s="122" t="s">
        <v>321</v>
      </c>
      <c r="I1019" s="74">
        <v>11461845</v>
      </c>
      <c r="J1019" s="75" t="s">
        <v>240</v>
      </c>
      <c r="K1019" s="75" t="s">
        <v>54</v>
      </c>
      <c r="L1019" s="134" t="str">
        <f>IF(AND('331-CT'!$E$7=TH!H1019,OR(J1019="331",K1019="331")),"x","")</f>
        <v/>
      </c>
    </row>
    <row r="1020" spans="1:12" hidden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304</v>
      </c>
      <c r="G1020" s="265"/>
      <c r="H1020" s="122" t="s">
        <v>322</v>
      </c>
      <c r="I1020" s="74">
        <v>12280547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 hidden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418</v>
      </c>
      <c r="G1021" s="265"/>
      <c r="H1021" s="122" t="s">
        <v>324</v>
      </c>
      <c r="I1021" s="74">
        <v>12280547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 hidden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465</v>
      </c>
      <c r="G1022" s="265"/>
      <c r="H1022" s="122" t="s">
        <v>326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 hidden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466</v>
      </c>
      <c r="G1023" s="265"/>
      <c r="H1023" s="122" t="s">
        <v>417</v>
      </c>
      <c r="I1023" s="74">
        <v>12280547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 hidden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580</v>
      </c>
      <c r="G1024" s="265"/>
      <c r="H1024" s="122" t="s">
        <v>422</v>
      </c>
      <c r="I1024" s="74">
        <v>8187032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 hidden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581</v>
      </c>
      <c r="G1025" s="265"/>
      <c r="H1025" s="122" t="s">
        <v>456</v>
      </c>
      <c r="I1025" s="74">
        <v>8187032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 hidden="1">
      <c r="A1026" s="72">
        <f t="shared" si="37"/>
        <v>2015</v>
      </c>
      <c r="B1026" s="72">
        <f t="shared" si="38"/>
        <v>11</v>
      </c>
      <c r="C1026" s="73">
        <v>42338</v>
      </c>
      <c r="D1026" s="73" t="s">
        <v>17</v>
      </c>
      <c r="E1026" s="73">
        <v>42338</v>
      </c>
      <c r="F1026" s="76" t="s">
        <v>842</v>
      </c>
      <c r="G1026" s="265"/>
      <c r="H1026" s="122" t="s">
        <v>649</v>
      </c>
      <c r="I1026" s="74">
        <v>38659940</v>
      </c>
      <c r="J1026" s="75" t="s">
        <v>18</v>
      </c>
      <c r="K1026" s="75" t="s">
        <v>54</v>
      </c>
      <c r="L1026" s="134" t="str">
        <f>IF(AND('331-CT'!$E$7=TH!H1026,OR(J1026="331",K1026="331")),"x","")</f>
        <v/>
      </c>
    </row>
    <row r="1027" spans="1:12" hidden="1">
      <c r="A1027" s="72">
        <f t="shared" si="37"/>
        <v>2015</v>
      </c>
      <c r="B1027" s="72">
        <f t="shared" si="38"/>
        <v>11</v>
      </c>
      <c r="C1027" s="73">
        <v>42338</v>
      </c>
      <c r="D1027" s="73" t="s">
        <v>17</v>
      </c>
      <c r="E1027" s="73">
        <v>42338</v>
      </c>
      <c r="F1027" s="76" t="s">
        <v>34</v>
      </c>
      <c r="G1027" s="265"/>
      <c r="H1027" s="122"/>
      <c r="I1027" s="74">
        <v>45000</v>
      </c>
      <c r="J1027" s="75" t="s">
        <v>242</v>
      </c>
      <c r="K1027" s="75" t="s">
        <v>54</v>
      </c>
      <c r="L1027" s="134" t="str">
        <f>IF(AND('331-CT'!$E$7=TH!H1027,OR(J1027="331",K1027="331")),"x","")</f>
        <v/>
      </c>
    </row>
    <row r="1028" spans="1:12" hidden="1">
      <c r="A1028" s="72">
        <f t="shared" si="37"/>
        <v>2015</v>
      </c>
      <c r="B1028" s="72">
        <f t="shared" si="38"/>
        <v>11</v>
      </c>
      <c r="C1028" s="73">
        <v>42338</v>
      </c>
      <c r="D1028" s="73" t="s">
        <v>17</v>
      </c>
      <c r="E1028" s="73">
        <v>42338</v>
      </c>
      <c r="F1028" s="76" t="s">
        <v>35</v>
      </c>
      <c r="G1028" s="265"/>
      <c r="H1028" s="122"/>
      <c r="I1028" s="74">
        <v>4500</v>
      </c>
      <c r="J1028" s="75" t="s">
        <v>19</v>
      </c>
      <c r="K1028" s="75" t="s">
        <v>54</v>
      </c>
      <c r="L1028" s="134" t="str">
        <f>IF(AND('331-CT'!$E$7=TH!H1028,OR(J1028="331",K1028="331")),"x","")</f>
        <v/>
      </c>
    </row>
    <row r="1029" spans="1:12" hidden="1">
      <c r="A1029" s="72">
        <f t="shared" si="37"/>
        <v>2015</v>
      </c>
      <c r="B1029" s="72">
        <f t="shared" si="38"/>
        <v>11</v>
      </c>
      <c r="C1029" s="73">
        <v>42338</v>
      </c>
      <c r="D1029" s="73" t="s">
        <v>17</v>
      </c>
      <c r="E1029" s="73">
        <v>42338</v>
      </c>
      <c r="F1029" s="76" t="s">
        <v>843</v>
      </c>
      <c r="G1029" s="265"/>
      <c r="H1029" s="122" t="s">
        <v>267</v>
      </c>
      <c r="I1029" s="74">
        <v>10000000</v>
      </c>
      <c r="J1029" s="75" t="s">
        <v>212</v>
      </c>
      <c r="K1029" s="75" t="s">
        <v>54</v>
      </c>
      <c r="L1029" s="134" t="str">
        <f>IF(AND('331-CT'!$E$7=TH!H1029,OR(J1029="331",K1029="331")),"x","")</f>
        <v/>
      </c>
    </row>
    <row r="1030" spans="1:12" hidden="1">
      <c r="A1030" s="72">
        <f t="shared" si="37"/>
        <v>2015</v>
      </c>
      <c r="B1030" s="72">
        <f t="shared" si="38"/>
        <v>11</v>
      </c>
      <c r="C1030" s="73">
        <v>42338</v>
      </c>
      <c r="D1030" s="73" t="s">
        <v>22</v>
      </c>
      <c r="E1030" s="73">
        <v>42338</v>
      </c>
      <c r="F1030" s="76" t="s">
        <v>844</v>
      </c>
      <c r="G1030" s="265"/>
      <c r="H1030" s="122" t="s">
        <v>267</v>
      </c>
      <c r="I1030" s="74">
        <v>10000000</v>
      </c>
      <c r="J1030" s="75" t="s">
        <v>203</v>
      </c>
      <c r="K1030" s="75" t="s">
        <v>212</v>
      </c>
      <c r="L1030" s="134" t="str">
        <f>IF(AND('331-CT'!$E$7=TH!H1030,OR(J1030="331",K1030="331")),"x","")</f>
        <v/>
      </c>
    </row>
    <row r="1031" spans="1:12" hidden="1">
      <c r="A1031" s="72">
        <f t="shared" si="37"/>
        <v>2015</v>
      </c>
      <c r="B1031" s="72">
        <f t="shared" si="38"/>
        <v>10</v>
      </c>
      <c r="C1031" s="73">
        <v>42307</v>
      </c>
      <c r="D1031" s="73" t="s">
        <v>78</v>
      </c>
      <c r="E1031" s="73">
        <v>42307</v>
      </c>
      <c r="F1031" s="76" t="s">
        <v>845</v>
      </c>
      <c r="G1031" s="265"/>
      <c r="H1031" s="122" t="s">
        <v>520</v>
      </c>
      <c r="I1031" s="74">
        <v>1678844208</v>
      </c>
      <c r="J1031" s="75" t="s">
        <v>212</v>
      </c>
      <c r="K1031" s="75" t="s">
        <v>19</v>
      </c>
      <c r="L1031" s="134" t="str">
        <f>IF(AND('331-CT'!$E$7=TH!H1031,OR(J1031="331",K1031="331")),"x","")</f>
        <v/>
      </c>
    </row>
    <row r="1032" spans="1:12" hidden="1">
      <c r="A1032" s="72">
        <f t="shared" si="37"/>
        <v>2015</v>
      </c>
      <c r="B1032" s="72">
        <f t="shared" si="38"/>
        <v>12</v>
      </c>
      <c r="C1032" s="73">
        <v>42339</v>
      </c>
      <c r="D1032" s="73" t="s">
        <v>846</v>
      </c>
      <c r="E1032" s="73">
        <v>42339</v>
      </c>
      <c r="F1032" s="76" t="s">
        <v>847</v>
      </c>
      <c r="G1032" s="265" t="s">
        <v>848</v>
      </c>
      <c r="H1032" s="122" t="s">
        <v>849</v>
      </c>
      <c r="I1032" s="74">
        <v>1520000</v>
      </c>
      <c r="J1032" s="75" t="s">
        <v>655</v>
      </c>
      <c r="K1032" s="75" t="s">
        <v>203</v>
      </c>
      <c r="L1032" s="134" t="str">
        <f>IF(AND('331-CT'!$E$7=TH!H1032,OR(J1032="331",K1032="331")),"x","")</f>
        <v/>
      </c>
    </row>
    <row r="1033" spans="1:12" hidden="1">
      <c r="A1033" s="72">
        <f t="shared" si="37"/>
        <v>2015</v>
      </c>
      <c r="B1033" s="72">
        <f t="shared" si="38"/>
        <v>12</v>
      </c>
      <c r="C1033" s="73">
        <v>42340</v>
      </c>
      <c r="D1033" s="73" t="s">
        <v>850</v>
      </c>
      <c r="E1033" s="73">
        <v>42340</v>
      </c>
      <c r="F1033" s="76" t="s">
        <v>851</v>
      </c>
      <c r="G1033" s="265" t="s">
        <v>852</v>
      </c>
      <c r="H1033" s="122" t="s">
        <v>829</v>
      </c>
      <c r="I1033" s="74">
        <v>3778000</v>
      </c>
      <c r="J1033" s="75" t="s">
        <v>655</v>
      </c>
      <c r="K1033" s="75" t="s">
        <v>203</v>
      </c>
      <c r="L1033" s="134" t="str">
        <f>IF(AND('331-CT'!$E$7=TH!H1033,OR(J1033="331",K1033="331")),"x","")</f>
        <v/>
      </c>
    </row>
    <row r="1034" spans="1:12" hidden="1">
      <c r="A1034" s="72">
        <f t="shared" ref="A1034" si="39">IF(C1034&lt;&gt;"",YEAR(C1034),"")</f>
        <v>2015</v>
      </c>
      <c r="B1034" s="72">
        <f t="shared" ref="B1034" si="40">IF(C1034&lt;&gt;"",MONTH(C1034),"")</f>
        <v>12</v>
      </c>
      <c r="C1034" s="73">
        <v>42342</v>
      </c>
      <c r="D1034" s="73" t="s">
        <v>857</v>
      </c>
      <c r="E1034" s="73">
        <v>42342</v>
      </c>
      <c r="F1034" s="76" t="s">
        <v>854</v>
      </c>
      <c r="G1034" s="265" t="s">
        <v>855</v>
      </c>
      <c r="H1034" s="122" t="s">
        <v>856</v>
      </c>
      <c r="I1034" s="74">
        <v>1990000</v>
      </c>
      <c r="J1034" s="75" t="s">
        <v>655</v>
      </c>
      <c r="K1034" s="75" t="s">
        <v>203</v>
      </c>
      <c r="L1034" s="134" t="str">
        <f>IF(AND('331-CT'!$E$7=TH!H1034,OR(J1034="331",K1034="331")),"x","")</f>
        <v/>
      </c>
    </row>
    <row r="1035" spans="1:12" hidden="1">
      <c r="A1035" s="72">
        <f t="shared" ref="A1035:A1151" si="41">IF(C1035&lt;&gt;"",YEAR(C1035),"")</f>
        <v>2015</v>
      </c>
      <c r="B1035" s="72">
        <f t="shared" ref="B1035:B1151" si="42">IF(C1035&lt;&gt;"",MONTH(C1035),"")</f>
        <v>12</v>
      </c>
      <c r="C1035" s="73">
        <v>42343</v>
      </c>
      <c r="D1035" s="73" t="s">
        <v>860</v>
      </c>
      <c r="E1035" s="73">
        <v>42343</v>
      </c>
      <c r="F1035" s="76" t="s">
        <v>827</v>
      </c>
      <c r="G1035" s="265" t="s">
        <v>858</v>
      </c>
      <c r="H1035" s="122" t="s">
        <v>859</v>
      </c>
      <c r="I1035" s="74">
        <v>692000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 hidden="1">
      <c r="A1036" s="72">
        <f t="shared" si="41"/>
        <v>2015</v>
      </c>
      <c r="B1036" s="72">
        <f t="shared" si="42"/>
        <v>12</v>
      </c>
      <c r="C1036" s="73">
        <v>42345</v>
      </c>
      <c r="D1036" s="73" t="s">
        <v>862</v>
      </c>
      <c r="E1036" s="73">
        <v>42345</v>
      </c>
      <c r="F1036" s="76" t="s">
        <v>827</v>
      </c>
      <c r="G1036" s="265" t="s">
        <v>861</v>
      </c>
      <c r="H1036" s="122" t="s">
        <v>859</v>
      </c>
      <c r="I1036" s="74">
        <v>3739000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 hidden="1">
      <c r="A1037" s="72">
        <f t="shared" si="41"/>
        <v>2015</v>
      </c>
      <c r="B1037" s="72">
        <f t="shared" si="42"/>
        <v>12</v>
      </c>
      <c r="C1037" s="73">
        <v>42347</v>
      </c>
      <c r="D1037" s="73" t="s">
        <v>1055</v>
      </c>
      <c r="E1037" s="73">
        <v>42347</v>
      </c>
      <c r="F1037" s="76" t="s">
        <v>863</v>
      </c>
      <c r="G1037" s="265" t="s">
        <v>864</v>
      </c>
      <c r="H1037" s="122" t="s">
        <v>280</v>
      </c>
      <c r="I1037" s="74">
        <v>472127</v>
      </c>
      <c r="J1037" s="75" t="s">
        <v>242</v>
      </c>
      <c r="K1037" s="75" t="s">
        <v>203</v>
      </c>
      <c r="L1037" s="134" t="str">
        <f>IF(AND('331-CT'!$E$7=TH!H1037,OR(J1037="331",K1037="331")),"x","")</f>
        <v/>
      </c>
    </row>
    <row r="1038" spans="1:12" hidden="1">
      <c r="A1038" s="72">
        <f t="shared" si="41"/>
        <v>2015</v>
      </c>
      <c r="B1038" s="72">
        <f t="shared" si="42"/>
        <v>12</v>
      </c>
      <c r="C1038" s="73">
        <v>42347</v>
      </c>
      <c r="D1038" s="73" t="s">
        <v>1055</v>
      </c>
      <c r="E1038" s="73">
        <v>42347</v>
      </c>
      <c r="F1038" s="76" t="s">
        <v>863</v>
      </c>
      <c r="G1038" s="265" t="s">
        <v>864</v>
      </c>
      <c r="H1038" s="122" t="s">
        <v>280</v>
      </c>
      <c r="I1038" s="74">
        <v>47213</v>
      </c>
      <c r="J1038" s="75" t="s">
        <v>242</v>
      </c>
      <c r="K1038" s="75" t="s">
        <v>203</v>
      </c>
      <c r="L1038" s="134" t="str">
        <f>IF(AND('331-CT'!$E$7=TH!H1038,OR(J1038="331",K1038="331")),"x","")</f>
        <v/>
      </c>
    </row>
    <row r="1039" spans="1:12" hidden="1">
      <c r="A1039" s="72">
        <f t="shared" si="41"/>
        <v>2015</v>
      </c>
      <c r="B1039" s="72">
        <f t="shared" si="42"/>
        <v>12</v>
      </c>
      <c r="C1039" s="73">
        <v>42348</v>
      </c>
      <c r="D1039" s="73" t="s">
        <v>1056</v>
      </c>
      <c r="E1039" s="73">
        <v>42348</v>
      </c>
      <c r="F1039" s="76" t="s">
        <v>865</v>
      </c>
      <c r="G1039" s="265" t="s">
        <v>866</v>
      </c>
      <c r="H1039" s="122" t="s">
        <v>783</v>
      </c>
      <c r="I1039" s="74">
        <v>6818182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 hidden="1">
      <c r="A1040" s="72">
        <f t="shared" si="41"/>
        <v>2015</v>
      </c>
      <c r="B1040" s="72">
        <f t="shared" si="42"/>
        <v>12</v>
      </c>
      <c r="C1040" s="73">
        <v>42348</v>
      </c>
      <c r="D1040" s="73" t="s">
        <v>1056</v>
      </c>
      <c r="E1040" s="73">
        <v>42348</v>
      </c>
      <c r="F1040" s="76" t="s">
        <v>863</v>
      </c>
      <c r="G1040" s="265" t="s">
        <v>864</v>
      </c>
      <c r="H1040" s="122" t="s">
        <v>280</v>
      </c>
      <c r="I1040" s="74">
        <v>681818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 hidden="1">
      <c r="A1041" s="72">
        <f t="shared" si="41"/>
        <v>2015</v>
      </c>
      <c r="B1041" s="72">
        <f t="shared" si="42"/>
        <v>11</v>
      </c>
      <c r="C1041" s="73">
        <v>42319</v>
      </c>
      <c r="D1041" s="73" t="s">
        <v>78</v>
      </c>
      <c r="E1041" s="73">
        <v>42319</v>
      </c>
      <c r="F1041" s="76" t="s">
        <v>867</v>
      </c>
      <c r="G1041" s="265" t="s">
        <v>868</v>
      </c>
      <c r="H1041" s="122" t="s">
        <v>649</v>
      </c>
      <c r="I1041" s="74">
        <v>35145400</v>
      </c>
      <c r="J1041" s="75" t="s">
        <v>242</v>
      </c>
      <c r="K1041" s="75" t="s">
        <v>18</v>
      </c>
      <c r="L1041" s="134" t="str">
        <f>IF(AND('331-CT'!$E$7=TH!H1041,OR(J1041="331",K1041="331")),"x","")</f>
        <v/>
      </c>
    </row>
    <row r="1042" spans="1:12" hidden="1">
      <c r="A1042" s="72">
        <f t="shared" si="41"/>
        <v>2015</v>
      </c>
      <c r="B1042" s="72">
        <f t="shared" si="42"/>
        <v>11</v>
      </c>
      <c r="C1042" s="73">
        <v>42319</v>
      </c>
      <c r="D1042" s="73" t="s">
        <v>78</v>
      </c>
      <c r="E1042" s="73">
        <v>42319</v>
      </c>
      <c r="F1042" s="76" t="s">
        <v>869</v>
      </c>
      <c r="G1042" s="265" t="s">
        <v>868</v>
      </c>
      <c r="H1042" s="122" t="s">
        <v>649</v>
      </c>
      <c r="I1042" s="74">
        <v>3514540</v>
      </c>
      <c r="J1042" s="75" t="s">
        <v>19</v>
      </c>
      <c r="K1042" s="75" t="s">
        <v>18</v>
      </c>
      <c r="L1042" s="134" t="str">
        <f>IF(AND('331-CT'!$E$7=TH!H1042,OR(J1042="331",K1042="331")),"x","")</f>
        <v/>
      </c>
    </row>
    <row r="1043" spans="1:12" hidden="1">
      <c r="A1043" s="72" t="str">
        <f t="shared" si="41"/>
        <v/>
      </c>
      <c r="B1043" s="72" t="str">
        <f t="shared" si="42"/>
        <v/>
      </c>
      <c r="C1043" s="73"/>
      <c r="D1043" s="73" t="s">
        <v>78</v>
      </c>
      <c r="E1043" s="73">
        <v>0</v>
      </c>
      <c r="F1043" s="76" t="s">
        <v>870</v>
      </c>
      <c r="G1043" s="265"/>
      <c r="H1043" s="122" t="s">
        <v>649</v>
      </c>
      <c r="I1043" s="74">
        <v>36579400</v>
      </c>
      <c r="J1043" s="75" t="s">
        <v>242</v>
      </c>
      <c r="K1043" s="75" t="s">
        <v>18</v>
      </c>
      <c r="L1043" s="134" t="str">
        <f>IF(AND('331-CT'!$E$7=TH!H1043,OR(J1043="331",K1043="331")),"x","")</f>
        <v/>
      </c>
    </row>
    <row r="1044" spans="1:12" hidden="1">
      <c r="A1044" s="72" t="str">
        <f t="shared" si="41"/>
        <v/>
      </c>
      <c r="B1044" s="72" t="str">
        <f t="shared" si="42"/>
        <v/>
      </c>
      <c r="C1044" s="73"/>
      <c r="D1044" s="73" t="s">
        <v>78</v>
      </c>
      <c r="E1044" s="73">
        <v>0</v>
      </c>
      <c r="F1044" s="76" t="s">
        <v>871</v>
      </c>
      <c r="G1044" s="265"/>
      <c r="H1044" s="122" t="s">
        <v>649</v>
      </c>
      <c r="I1044" s="74">
        <v>3657940</v>
      </c>
      <c r="J1044" s="75" t="s">
        <v>19</v>
      </c>
      <c r="K1044" s="75" t="s">
        <v>18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78</v>
      </c>
      <c r="E1045" s="73">
        <v>42338</v>
      </c>
      <c r="F1045" s="76" t="s">
        <v>872</v>
      </c>
      <c r="G1045" s="265" t="s">
        <v>873</v>
      </c>
      <c r="H1045" s="122" t="s">
        <v>150</v>
      </c>
      <c r="I1045" s="74">
        <v>1689997900</v>
      </c>
      <c r="J1045" s="75" t="s">
        <v>655</v>
      </c>
      <c r="K1045" s="75" t="s">
        <v>18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78</v>
      </c>
      <c r="E1046" s="73">
        <v>42338</v>
      </c>
      <c r="F1046" s="76" t="s">
        <v>874</v>
      </c>
      <c r="G1046" s="265" t="s">
        <v>873</v>
      </c>
      <c r="H1046" s="122" t="s">
        <v>150</v>
      </c>
      <c r="I1046" s="74">
        <v>168999790</v>
      </c>
      <c r="J1046" s="75" t="s">
        <v>19</v>
      </c>
      <c r="K1046" s="75" t="s">
        <v>18</v>
      </c>
      <c r="L1046" s="134" t="str">
        <f>IF(AND('331-CT'!$E$7=TH!H1046,OR(J1046="331",K1046="331")),"x","")</f>
        <v/>
      </c>
    </row>
    <row r="1047" spans="1:12" hidden="1">
      <c r="A1047" s="72">
        <f t="shared" si="43"/>
        <v>2015</v>
      </c>
      <c r="B1047" s="72">
        <f t="shared" si="44"/>
        <v>12</v>
      </c>
      <c r="C1047" s="73">
        <v>42340</v>
      </c>
      <c r="D1047" s="73" t="s">
        <v>1057</v>
      </c>
      <c r="E1047" s="73">
        <v>42340</v>
      </c>
      <c r="F1047" s="76" t="s">
        <v>579</v>
      </c>
      <c r="G1047" s="265"/>
      <c r="H1047" s="122" t="s">
        <v>431</v>
      </c>
      <c r="I1047" s="74">
        <v>1000000000</v>
      </c>
      <c r="J1047" s="75" t="s">
        <v>203</v>
      </c>
      <c r="K1047" s="75" t="s">
        <v>39</v>
      </c>
      <c r="L1047" s="134" t="str">
        <f>IF(AND('331-CT'!$E$7=TH!H1047,OR(J1047="331",K1047="331")),"x","")</f>
        <v/>
      </c>
    </row>
    <row r="1048" spans="1:12" hidden="1">
      <c r="A1048" s="72">
        <f t="shared" si="43"/>
        <v>2015</v>
      </c>
      <c r="B1048" s="72">
        <f t="shared" si="44"/>
        <v>12</v>
      </c>
      <c r="C1048" s="73">
        <v>42340</v>
      </c>
      <c r="D1048" s="73" t="s">
        <v>853</v>
      </c>
      <c r="E1048" s="73">
        <v>42340</v>
      </c>
      <c r="F1048" s="76" t="s">
        <v>576</v>
      </c>
      <c r="G1048" s="265"/>
      <c r="H1048" s="122" t="s">
        <v>272</v>
      </c>
      <c r="I1048" s="74">
        <v>250000000</v>
      </c>
      <c r="J1048" s="75" t="s">
        <v>54</v>
      </c>
      <c r="K1048" s="75" t="s">
        <v>203</v>
      </c>
      <c r="L1048" s="134" t="str">
        <f>IF(AND('331-CT'!$E$7=TH!H1048,OR(J1048="331",K1048="331")),"x","")</f>
        <v/>
      </c>
    </row>
    <row r="1049" spans="1:12" hidden="1">
      <c r="A1049" s="72">
        <f t="shared" si="43"/>
        <v>2015</v>
      </c>
      <c r="B1049" s="72">
        <f t="shared" si="44"/>
        <v>12</v>
      </c>
      <c r="C1049" s="73">
        <v>42342</v>
      </c>
      <c r="D1049" s="73" t="s">
        <v>17</v>
      </c>
      <c r="E1049" s="73">
        <v>42342</v>
      </c>
      <c r="F1049" s="76" t="s">
        <v>301</v>
      </c>
      <c r="G1049" s="265"/>
      <c r="H1049" s="122" t="s">
        <v>407</v>
      </c>
      <c r="I1049" s="74">
        <v>30000000</v>
      </c>
      <c r="J1049" s="75" t="s">
        <v>18</v>
      </c>
      <c r="K1049" s="75" t="s">
        <v>54</v>
      </c>
      <c r="L1049" s="134" t="str">
        <f>IF(AND('331-CT'!$E$7=TH!H1049,OR(J1049="331",K1049="331")),"x","")</f>
        <v/>
      </c>
    </row>
    <row r="1050" spans="1:12" hidden="1">
      <c r="A1050" s="72">
        <f t="shared" si="43"/>
        <v>2015</v>
      </c>
      <c r="B1050" s="72">
        <f t="shared" si="44"/>
        <v>12</v>
      </c>
      <c r="C1050" s="73">
        <v>42342</v>
      </c>
      <c r="D1050" s="73" t="s">
        <v>17</v>
      </c>
      <c r="E1050" s="73">
        <v>42342</v>
      </c>
      <c r="F1050" s="76" t="s">
        <v>34</v>
      </c>
      <c r="G1050" s="265"/>
      <c r="H1050" s="122"/>
      <c r="I1050" s="74">
        <v>25000</v>
      </c>
      <c r="J1050" s="75" t="s">
        <v>242</v>
      </c>
      <c r="K1050" s="75" t="s">
        <v>54</v>
      </c>
      <c r="L1050" s="134" t="str">
        <f>IF(AND('331-CT'!$E$7=TH!H1050,OR(J1050="331",K1050="331")),"x","")</f>
        <v/>
      </c>
    </row>
    <row r="1051" spans="1:12" hidden="1">
      <c r="A1051" s="72">
        <f t="shared" si="43"/>
        <v>2015</v>
      </c>
      <c r="B1051" s="72">
        <f t="shared" si="44"/>
        <v>12</v>
      </c>
      <c r="C1051" s="73">
        <v>42342</v>
      </c>
      <c r="D1051" s="73" t="s">
        <v>17</v>
      </c>
      <c r="E1051" s="73">
        <v>42342</v>
      </c>
      <c r="F1051" s="76" t="s">
        <v>35</v>
      </c>
      <c r="G1051" s="265"/>
      <c r="H1051" s="122"/>
      <c r="I1051" s="74">
        <v>2500</v>
      </c>
      <c r="J1051" s="75" t="s">
        <v>19</v>
      </c>
      <c r="K1051" s="75" t="s">
        <v>54</v>
      </c>
      <c r="L1051" s="134" t="str">
        <f>IF(AND('331-CT'!$E$7=TH!H1051,OR(J1051="331",K1051="331")),"x","")</f>
        <v/>
      </c>
    </row>
    <row r="1052" spans="1:12" hidden="1">
      <c r="A1052" s="72">
        <f t="shared" si="43"/>
        <v>2015</v>
      </c>
      <c r="B1052" s="72">
        <f t="shared" si="44"/>
        <v>12</v>
      </c>
      <c r="C1052" s="73">
        <v>42342</v>
      </c>
      <c r="D1052" s="73" t="s">
        <v>17</v>
      </c>
      <c r="E1052" s="73">
        <v>42342</v>
      </c>
      <c r="F1052" s="76" t="s">
        <v>301</v>
      </c>
      <c r="G1052" s="265"/>
      <c r="H1052" s="122" t="s">
        <v>85</v>
      </c>
      <c r="I1052" s="74">
        <v>200000000</v>
      </c>
      <c r="J1052" s="75" t="s">
        <v>18</v>
      </c>
      <c r="K1052" s="75" t="s">
        <v>54</v>
      </c>
      <c r="L1052" s="134" t="str">
        <f>IF(AND('331-CT'!$E$7=TH!H1052,OR(J1052="331",K1052="331")),"x","")</f>
        <v/>
      </c>
    </row>
    <row r="1053" spans="1:12" hidden="1">
      <c r="A1053" s="72">
        <f t="shared" si="43"/>
        <v>2015</v>
      </c>
      <c r="B1053" s="72">
        <f t="shared" si="44"/>
        <v>12</v>
      </c>
      <c r="C1053" s="73">
        <v>42342</v>
      </c>
      <c r="D1053" s="73" t="s">
        <v>17</v>
      </c>
      <c r="E1053" s="73">
        <v>42342</v>
      </c>
      <c r="F1053" s="76" t="s">
        <v>34</v>
      </c>
      <c r="G1053" s="265"/>
      <c r="H1053" s="122"/>
      <c r="I1053" s="74">
        <v>100000</v>
      </c>
      <c r="J1053" s="75" t="s">
        <v>242</v>
      </c>
      <c r="K1053" s="75" t="s">
        <v>54</v>
      </c>
      <c r="L1053" s="134" t="str">
        <f>IF(AND('331-CT'!$E$7=TH!H1053,OR(J1053="331",K1053="331")),"x","")</f>
        <v/>
      </c>
    </row>
    <row r="1054" spans="1:12" hidden="1">
      <c r="A1054" s="72">
        <f t="shared" si="43"/>
        <v>2015</v>
      </c>
      <c r="B1054" s="72">
        <f t="shared" si="44"/>
        <v>12</v>
      </c>
      <c r="C1054" s="73">
        <v>42342</v>
      </c>
      <c r="D1054" s="73" t="s">
        <v>17</v>
      </c>
      <c r="E1054" s="73">
        <v>42342</v>
      </c>
      <c r="F1054" s="76" t="s">
        <v>35</v>
      </c>
      <c r="G1054" s="265"/>
      <c r="H1054" s="122"/>
      <c r="I1054" s="74">
        <v>10000</v>
      </c>
      <c r="J1054" s="75" t="s">
        <v>19</v>
      </c>
      <c r="K1054" s="75" t="s">
        <v>54</v>
      </c>
      <c r="L1054" s="134" t="str">
        <f>IF(AND('331-CT'!$E$7=TH!H1054,OR(J1054="331",K1054="331")),"x","")</f>
        <v/>
      </c>
    </row>
    <row r="1055" spans="1:12" hidden="1">
      <c r="A1055" s="72">
        <f t="shared" si="43"/>
        <v>2015</v>
      </c>
      <c r="B1055" s="72">
        <f t="shared" si="44"/>
        <v>12</v>
      </c>
      <c r="C1055" s="73">
        <v>42349</v>
      </c>
      <c r="D1055" s="73" t="s">
        <v>887</v>
      </c>
      <c r="E1055" s="73">
        <v>42349</v>
      </c>
      <c r="F1055" s="76" t="s">
        <v>576</v>
      </c>
      <c r="G1055" s="265"/>
      <c r="H1055" s="122" t="s">
        <v>272</v>
      </c>
      <c r="I1055" s="74">
        <v>450000000</v>
      </c>
      <c r="J1055" s="75" t="s">
        <v>54</v>
      </c>
      <c r="K1055" s="75" t="s">
        <v>203</v>
      </c>
      <c r="L1055" s="134" t="str">
        <f>IF(AND('331-CT'!$E$7=TH!H1055,OR(J1055="331",K1055="331")),"x","")</f>
        <v/>
      </c>
    </row>
    <row r="1056" spans="1:12" hidden="1">
      <c r="A1056" s="72">
        <f t="shared" si="43"/>
        <v>2015</v>
      </c>
      <c r="B1056" s="72">
        <f t="shared" si="44"/>
        <v>12</v>
      </c>
      <c r="C1056" s="73">
        <v>42349</v>
      </c>
      <c r="D1056" s="73" t="s">
        <v>17</v>
      </c>
      <c r="E1056" s="73">
        <v>42349</v>
      </c>
      <c r="F1056" s="76" t="s">
        <v>870</v>
      </c>
      <c r="G1056" s="265"/>
      <c r="H1056" s="122" t="s">
        <v>649</v>
      </c>
      <c r="I1056" s="74">
        <v>40237340</v>
      </c>
      <c r="J1056" s="75" t="s">
        <v>18</v>
      </c>
      <c r="K1056" s="75" t="s">
        <v>54</v>
      </c>
      <c r="L1056" s="134" t="str">
        <f>IF(AND('331-CT'!$E$7=TH!H1056,OR(J1056="331",K1056="331")),"x","")</f>
        <v/>
      </c>
    </row>
    <row r="1057" spans="1:12" hidden="1">
      <c r="A1057" s="72">
        <f t="shared" si="43"/>
        <v>2015</v>
      </c>
      <c r="B1057" s="72">
        <f t="shared" si="44"/>
        <v>12</v>
      </c>
      <c r="C1057" s="73">
        <v>42349</v>
      </c>
      <c r="D1057" s="73" t="s">
        <v>17</v>
      </c>
      <c r="E1057" s="73">
        <v>42349</v>
      </c>
      <c r="F1057" s="76" t="s">
        <v>34</v>
      </c>
      <c r="G1057" s="265"/>
      <c r="H1057" s="122"/>
      <c r="I1057" s="74">
        <v>45000</v>
      </c>
      <c r="J1057" s="75" t="s">
        <v>242</v>
      </c>
      <c r="K1057" s="75" t="s">
        <v>54</v>
      </c>
      <c r="L1057" s="134" t="str">
        <f>IF(AND('331-CT'!$E$7=TH!H1057,OR(J1057="331",K1057="331")),"x","")</f>
        <v/>
      </c>
    </row>
    <row r="1058" spans="1:12" hidden="1">
      <c r="A1058" s="72">
        <f t="shared" si="43"/>
        <v>2015</v>
      </c>
      <c r="B1058" s="72">
        <f t="shared" si="44"/>
        <v>12</v>
      </c>
      <c r="C1058" s="73">
        <v>42349</v>
      </c>
      <c r="D1058" s="73" t="s">
        <v>17</v>
      </c>
      <c r="E1058" s="73">
        <v>42349</v>
      </c>
      <c r="F1058" s="76" t="s">
        <v>35</v>
      </c>
      <c r="G1058" s="265"/>
      <c r="H1058" s="122"/>
      <c r="I1058" s="74">
        <v>4500</v>
      </c>
      <c r="J1058" s="75" t="s">
        <v>19</v>
      </c>
      <c r="K1058" s="75" t="s">
        <v>54</v>
      </c>
      <c r="L1058" s="134" t="str">
        <f>IF(AND('331-CT'!$E$7=TH!H1058,OR(J1058="331",K1058="331")),"x","")</f>
        <v/>
      </c>
    </row>
    <row r="1059" spans="1:12" hidden="1">
      <c r="A1059" s="72">
        <f t="shared" si="43"/>
        <v>2015</v>
      </c>
      <c r="B1059" s="72">
        <f t="shared" si="44"/>
        <v>12</v>
      </c>
      <c r="C1059" s="73">
        <v>42349</v>
      </c>
      <c r="D1059" s="73" t="s">
        <v>17</v>
      </c>
      <c r="E1059" s="73">
        <v>42349</v>
      </c>
      <c r="F1059" s="76" t="s">
        <v>888</v>
      </c>
      <c r="G1059" s="265"/>
      <c r="H1059" s="122" t="s">
        <v>481</v>
      </c>
      <c r="I1059" s="74">
        <v>200000000</v>
      </c>
      <c r="J1059" s="75" t="s">
        <v>18</v>
      </c>
      <c r="K1059" s="75" t="s">
        <v>54</v>
      </c>
      <c r="L1059" s="134" t="str">
        <f>IF(AND('331-CT'!$E$7=TH!H1059,OR(J1059="331",K1059="331")),"x","")</f>
        <v/>
      </c>
    </row>
    <row r="1060" spans="1:12" hidden="1">
      <c r="A1060" s="72">
        <f t="shared" si="43"/>
        <v>2015</v>
      </c>
      <c r="B1060" s="72">
        <f t="shared" si="44"/>
        <v>12</v>
      </c>
      <c r="C1060" s="73">
        <v>42349</v>
      </c>
      <c r="D1060" s="73" t="s">
        <v>17</v>
      </c>
      <c r="E1060" s="73">
        <v>42349</v>
      </c>
      <c r="F1060" s="76" t="s">
        <v>34</v>
      </c>
      <c r="G1060" s="265"/>
      <c r="H1060" s="122"/>
      <c r="I1060" s="74">
        <v>120000</v>
      </c>
      <c r="J1060" s="75" t="s">
        <v>242</v>
      </c>
      <c r="K1060" s="75" t="s">
        <v>54</v>
      </c>
      <c r="L1060" s="134" t="str">
        <f>IF(AND('331-CT'!$E$7=TH!H1060,OR(J1060="331",K1060="331")),"x","")</f>
        <v/>
      </c>
    </row>
    <row r="1061" spans="1:12" hidden="1">
      <c r="A1061" s="72">
        <f t="shared" si="43"/>
        <v>2015</v>
      </c>
      <c r="B1061" s="72">
        <f t="shared" si="44"/>
        <v>12</v>
      </c>
      <c r="C1061" s="73">
        <v>42349</v>
      </c>
      <c r="D1061" s="73" t="s">
        <v>17</v>
      </c>
      <c r="E1061" s="73">
        <v>42349</v>
      </c>
      <c r="F1061" s="76" t="s">
        <v>35</v>
      </c>
      <c r="G1061" s="265"/>
      <c r="H1061" s="122"/>
      <c r="I1061" s="74">
        <v>12000</v>
      </c>
      <c r="J1061" s="75" t="s">
        <v>19</v>
      </c>
      <c r="K1061" s="75" t="s">
        <v>54</v>
      </c>
      <c r="L1061" s="134" t="str">
        <f>IF(AND('331-CT'!$E$7=TH!H1061,OR(J1061="331",K1061="331")),"x","")</f>
        <v/>
      </c>
    </row>
    <row r="1062" spans="1:12" hidden="1">
      <c r="A1062" s="72">
        <f t="shared" si="43"/>
        <v>2015</v>
      </c>
      <c r="B1062" s="72">
        <f t="shared" si="44"/>
        <v>12</v>
      </c>
      <c r="C1062" s="73">
        <v>42349</v>
      </c>
      <c r="D1062" s="73" t="s">
        <v>17</v>
      </c>
      <c r="E1062" s="73">
        <v>42349</v>
      </c>
      <c r="F1062" s="76" t="s">
        <v>889</v>
      </c>
      <c r="G1062" s="265"/>
      <c r="H1062" s="122" t="s">
        <v>791</v>
      </c>
      <c r="I1062" s="74">
        <v>16743100</v>
      </c>
      <c r="J1062" s="75" t="s">
        <v>18</v>
      </c>
      <c r="K1062" s="75" t="s">
        <v>54</v>
      </c>
      <c r="L1062" s="134" t="str">
        <f>IF(AND('331-CT'!$E$7=TH!H1062,OR(J1062="331",K1062="331")),"x","")</f>
        <v/>
      </c>
    </row>
    <row r="1063" spans="1:12" hidden="1">
      <c r="A1063" s="72">
        <f t="shared" si="43"/>
        <v>2015</v>
      </c>
      <c r="B1063" s="72">
        <f t="shared" si="44"/>
        <v>12</v>
      </c>
      <c r="C1063" s="73">
        <v>42349</v>
      </c>
      <c r="D1063" s="73" t="s">
        <v>17</v>
      </c>
      <c r="E1063" s="73">
        <v>42349</v>
      </c>
      <c r="F1063" s="76" t="s">
        <v>34</v>
      </c>
      <c r="G1063" s="265"/>
      <c r="H1063" s="122"/>
      <c r="I1063" s="74">
        <v>40000</v>
      </c>
      <c r="J1063" s="75" t="s">
        <v>242</v>
      </c>
      <c r="K1063" s="75" t="s">
        <v>54</v>
      </c>
      <c r="L1063" s="134" t="str">
        <f>IF(AND('331-CT'!$E$7=TH!H1063,OR(J1063="331",K1063="331")),"x","")</f>
        <v/>
      </c>
    </row>
    <row r="1064" spans="1:12" hidden="1">
      <c r="A1064" s="72">
        <f t="shared" si="43"/>
        <v>2015</v>
      </c>
      <c r="B1064" s="72">
        <f t="shared" si="44"/>
        <v>12</v>
      </c>
      <c r="C1064" s="73">
        <v>42349</v>
      </c>
      <c r="D1064" s="73" t="s">
        <v>17</v>
      </c>
      <c r="E1064" s="73">
        <v>42349</v>
      </c>
      <c r="F1064" s="76" t="s">
        <v>35</v>
      </c>
      <c r="G1064" s="265"/>
      <c r="H1064" s="122"/>
      <c r="I1064" s="74">
        <v>4000</v>
      </c>
      <c r="J1064" s="75" t="s">
        <v>19</v>
      </c>
      <c r="K1064" s="75" t="s">
        <v>54</v>
      </c>
      <c r="L1064" s="134" t="str">
        <f>IF(AND('331-CT'!$E$7=TH!H1064,OR(J1064="331",K1064="331")),"x","")</f>
        <v/>
      </c>
    </row>
    <row r="1065" spans="1:12" hidden="1">
      <c r="A1065" s="72">
        <f t="shared" si="43"/>
        <v>2015</v>
      </c>
      <c r="B1065" s="72">
        <f t="shared" si="44"/>
        <v>12</v>
      </c>
      <c r="C1065" s="73">
        <v>42349</v>
      </c>
      <c r="D1065" s="73" t="s">
        <v>17</v>
      </c>
      <c r="E1065" s="73">
        <v>42349</v>
      </c>
      <c r="F1065" s="76" t="s">
        <v>890</v>
      </c>
      <c r="G1065" s="265"/>
      <c r="H1065" s="122" t="s">
        <v>300</v>
      </c>
      <c r="I1065" s="74">
        <v>114906620</v>
      </c>
      <c r="J1065" s="75" t="s">
        <v>18</v>
      </c>
      <c r="K1065" s="75" t="s">
        <v>54</v>
      </c>
      <c r="L1065" s="134" t="str">
        <f>IF(AND('331-CT'!$E$7=TH!H1065,OR(J1065="331",K1065="331")),"x","")</f>
        <v/>
      </c>
    </row>
    <row r="1066" spans="1:12" hidden="1">
      <c r="A1066" s="72">
        <f t="shared" si="43"/>
        <v>2015</v>
      </c>
      <c r="B1066" s="72">
        <f t="shared" si="44"/>
        <v>12</v>
      </c>
      <c r="C1066" s="73">
        <v>42349</v>
      </c>
      <c r="D1066" s="73" t="s">
        <v>17</v>
      </c>
      <c r="E1066" s="73">
        <v>42349</v>
      </c>
      <c r="F1066" s="76" t="s">
        <v>34</v>
      </c>
      <c r="G1066" s="265"/>
      <c r="H1066" s="122"/>
      <c r="I1066" s="74">
        <v>91925</v>
      </c>
      <c r="J1066" s="75" t="s">
        <v>242</v>
      </c>
      <c r="K1066" s="75" t="s">
        <v>54</v>
      </c>
      <c r="L1066" s="134" t="str">
        <f>IF(AND('331-CT'!$E$7=TH!H1066,OR(J1066="331",K1066="331")),"x","")</f>
        <v/>
      </c>
    </row>
    <row r="1067" spans="1:12" hidden="1">
      <c r="A1067" s="72">
        <f t="shared" si="43"/>
        <v>2015</v>
      </c>
      <c r="B1067" s="72">
        <f t="shared" si="44"/>
        <v>12</v>
      </c>
      <c r="C1067" s="73">
        <v>42349</v>
      </c>
      <c r="D1067" s="73" t="s">
        <v>17</v>
      </c>
      <c r="E1067" s="73">
        <v>42349</v>
      </c>
      <c r="F1067" s="76" t="s">
        <v>35</v>
      </c>
      <c r="G1067" s="265"/>
      <c r="H1067" s="122"/>
      <c r="I1067" s="74">
        <v>9192</v>
      </c>
      <c r="J1067" s="75" t="s">
        <v>19</v>
      </c>
      <c r="K1067" s="75" t="s">
        <v>54</v>
      </c>
      <c r="L1067" s="134" t="str">
        <f>IF(AND('331-CT'!$E$7=TH!H1067,OR(J1067="331",K1067="331")),"x","")</f>
        <v/>
      </c>
    </row>
    <row r="1068" spans="1:12" hidden="1">
      <c r="A1068" s="72">
        <f t="shared" si="43"/>
        <v>2015</v>
      </c>
      <c r="B1068" s="72">
        <f t="shared" si="44"/>
        <v>12</v>
      </c>
      <c r="C1068" s="73">
        <v>42349</v>
      </c>
      <c r="D1068" s="73" t="s">
        <v>17</v>
      </c>
      <c r="E1068" s="73">
        <v>42349</v>
      </c>
      <c r="F1068" s="76" t="s">
        <v>891</v>
      </c>
      <c r="G1068" s="265"/>
      <c r="H1068" s="122" t="s">
        <v>602</v>
      </c>
      <c r="I1068" s="74">
        <v>75000000</v>
      </c>
      <c r="J1068" s="75" t="s">
        <v>18</v>
      </c>
      <c r="K1068" s="75" t="s">
        <v>54</v>
      </c>
      <c r="L1068" s="134" t="str">
        <f>IF(AND('331-CT'!$E$7=TH!H1068,OR(J1068="331",K1068="331")),"x","")</f>
        <v/>
      </c>
    </row>
    <row r="1069" spans="1:12" hidden="1">
      <c r="A1069" s="72">
        <f t="shared" si="43"/>
        <v>2015</v>
      </c>
      <c r="B1069" s="72">
        <f t="shared" si="44"/>
        <v>12</v>
      </c>
      <c r="C1069" s="73">
        <v>42349</v>
      </c>
      <c r="D1069" s="73" t="s">
        <v>17</v>
      </c>
      <c r="E1069" s="73">
        <v>42349</v>
      </c>
      <c r="F1069" s="76" t="s">
        <v>34</v>
      </c>
      <c r="G1069" s="265"/>
      <c r="H1069" s="122"/>
      <c r="I1069" s="74">
        <v>45000</v>
      </c>
      <c r="J1069" s="75" t="s">
        <v>242</v>
      </c>
      <c r="K1069" s="75" t="s">
        <v>54</v>
      </c>
      <c r="L1069" s="134" t="str">
        <f>IF(AND('331-CT'!$E$7=TH!H1069,OR(J1069="331",K1069="331")),"x","")</f>
        <v/>
      </c>
    </row>
    <row r="1070" spans="1:12" hidden="1">
      <c r="A1070" s="72">
        <f t="shared" si="43"/>
        <v>2015</v>
      </c>
      <c r="B1070" s="72">
        <f t="shared" si="44"/>
        <v>12</v>
      </c>
      <c r="C1070" s="73">
        <v>42349</v>
      </c>
      <c r="D1070" s="73" t="s">
        <v>17</v>
      </c>
      <c r="E1070" s="73">
        <v>42349</v>
      </c>
      <c r="F1070" s="76" t="s">
        <v>35</v>
      </c>
      <c r="G1070" s="265"/>
      <c r="H1070" s="122"/>
      <c r="I1070" s="74">
        <v>4500</v>
      </c>
      <c r="J1070" s="75" t="s">
        <v>19</v>
      </c>
      <c r="K1070" s="75" t="s">
        <v>54</v>
      </c>
      <c r="L1070" s="134" t="str">
        <f>IF(AND('331-CT'!$E$7=TH!H1070,OR(J1070="331",K1070="331")),"x","")</f>
        <v/>
      </c>
    </row>
    <row r="1071" spans="1:12" hidden="1">
      <c r="A1071" s="72">
        <f t="shared" si="43"/>
        <v>2015</v>
      </c>
      <c r="B1071" s="72">
        <f t="shared" si="44"/>
        <v>12</v>
      </c>
      <c r="C1071" s="73">
        <v>42357</v>
      </c>
      <c r="D1071" s="73" t="s">
        <v>17</v>
      </c>
      <c r="E1071" s="73">
        <f>C1071</f>
        <v>42357</v>
      </c>
      <c r="F1071" s="76" t="s">
        <v>119</v>
      </c>
      <c r="G1071" s="265"/>
      <c r="H1071" s="122" t="s">
        <v>314</v>
      </c>
      <c r="I1071" s="74">
        <v>7916667</v>
      </c>
      <c r="J1071" s="75" t="s">
        <v>240</v>
      </c>
      <c r="K1071" s="75" t="s">
        <v>54</v>
      </c>
      <c r="L1071" s="134" t="str">
        <f>IF(AND('331-CT'!$E$7=TH!H1071,OR(J1071="331",K1071="331")),"x","")</f>
        <v/>
      </c>
    </row>
    <row r="1072" spans="1:12" hidden="1">
      <c r="A1072" s="72">
        <f t="shared" si="43"/>
        <v>2015</v>
      </c>
      <c r="B1072" s="72">
        <f t="shared" si="44"/>
        <v>12</v>
      </c>
      <c r="C1072" s="73">
        <v>42357</v>
      </c>
      <c r="D1072" s="73" t="s">
        <v>17</v>
      </c>
      <c r="E1072" s="73">
        <f t="shared" ref="E1072:E1098" si="45">C1072</f>
        <v>42357</v>
      </c>
      <c r="F1072" s="76" t="s">
        <v>145</v>
      </c>
      <c r="G1072" s="265"/>
      <c r="H1072" s="122" t="s">
        <v>318</v>
      </c>
      <c r="I1072" s="74">
        <v>7916667</v>
      </c>
      <c r="J1072" s="75" t="s">
        <v>240</v>
      </c>
      <c r="K1072" s="75" t="s">
        <v>54</v>
      </c>
      <c r="L1072" s="134" t="str">
        <f>IF(AND('331-CT'!$E$7=TH!H1072,OR(J1072="331",K1072="331")),"x","")</f>
        <v/>
      </c>
    </row>
    <row r="1073" spans="1:12" hidden="1">
      <c r="A1073" s="72">
        <f t="shared" si="43"/>
        <v>2015</v>
      </c>
      <c r="B1073" s="72">
        <f t="shared" si="44"/>
        <v>12</v>
      </c>
      <c r="C1073" s="73">
        <v>42357</v>
      </c>
      <c r="D1073" s="73" t="s">
        <v>17</v>
      </c>
      <c r="E1073" s="73">
        <f t="shared" si="45"/>
        <v>42357</v>
      </c>
      <c r="F1073" s="76" t="s">
        <v>141</v>
      </c>
      <c r="G1073" s="265"/>
      <c r="H1073" s="122" t="s">
        <v>315</v>
      </c>
      <c r="I1073" s="74">
        <v>15833333</v>
      </c>
      <c r="J1073" s="75" t="s">
        <v>240</v>
      </c>
      <c r="K1073" s="75" t="s">
        <v>54</v>
      </c>
      <c r="L1073" s="134" t="str">
        <f>IF(AND('331-CT'!$E$7=TH!H1073,OR(J1073="331",K1073="331")),"x","")</f>
        <v/>
      </c>
    </row>
    <row r="1074" spans="1:12" hidden="1">
      <c r="A1074" s="72">
        <f t="shared" si="43"/>
        <v>2015</v>
      </c>
      <c r="B1074" s="72">
        <f t="shared" si="44"/>
        <v>12</v>
      </c>
      <c r="C1074" s="73">
        <v>42360</v>
      </c>
      <c r="D1074" s="73" t="s">
        <v>21</v>
      </c>
      <c r="E1074" s="73">
        <f t="shared" si="45"/>
        <v>42360</v>
      </c>
      <c r="F1074" s="76" t="s">
        <v>576</v>
      </c>
      <c r="G1074" s="265"/>
      <c r="H1074" s="122" t="s">
        <v>272</v>
      </c>
      <c r="I1074" s="74">
        <v>170000000</v>
      </c>
      <c r="J1074" s="75" t="s">
        <v>54</v>
      </c>
      <c r="K1074" s="75" t="s">
        <v>203</v>
      </c>
      <c r="L1074" s="134" t="str">
        <f>IF(AND('331-CT'!$E$7=TH!H1074,OR(J1074="331",K1074="331")),"x","")</f>
        <v/>
      </c>
    </row>
    <row r="1075" spans="1:12" hidden="1">
      <c r="A1075" s="72">
        <f t="shared" si="43"/>
        <v>2015</v>
      </c>
      <c r="B1075" s="72">
        <f t="shared" si="44"/>
        <v>12</v>
      </c>
      <c r="C1075" s="73">
        <v>42360</v>
      </c>
      <c r="D1075" s="73" t="s">
        <v>17</v>
      </c>
      <c r="E1075" s="73">
        <f t="shared" si="45"/>
        <v>42360</v>
      </c>
      <c r="F1075" s="76" t="s">
        <v>143</v>
      </c>
      <c r="G1075" s="265"/>
      <c r="H1075" s="122" t="s">
        <v>317</v>
      </c>
      <c r="I1075" s="74">
        <v>12681709</v>
      </c>
      <c r="J1075" s="75" t="s">
        <v>240</v>
      </c>
      <c r="K1075" s="75" t="s">
        <v>54</v>
      </c>
      <c r="L1075" s="134" t="str">
        <f>IF(AND('331-CT'!$E$7=TH!H1075,OR(J1075="331",K1075="331")),"x","")</f>
        <v/>
      </c>
    </row>
    <row r="1076" spans="1:12" hidden="1">
      <c r="A1076" s="72">
        <f t="shared" si="43"/>
        <v>2015</v>
      </c>
      <c r="B1076" s="72">
        <f t="shared" si="44"/>
        <v>12</v>
      </c>
      <c r="C1076" s="73">
        <v>42360</v>
      </c>
      <c r="D1076" s="73" t="s">
        <v>17</v>
      </c>
      <c r="E1076" s="73">
        <f t="shared" si="45"/>
        <v>42360</v>
      </c>
      <c r="F1076" s="76" t="s">
        <v>144</v>
      </c>
      <c r="G1076" s="265"/>
      <c r="H1076" s="122" t="s">
        <v>316</v>
      </c>
      <c r="I1076" s="74">
        <v>11889102</v>
      </c>
      <c r="J1076" s="75" t="s">
        <v>240</v>
      </c>
      <c r="K1076" s="75" t="s">
        <v>54</v>
      </c>
      <c r="L1076" s="134" t="str">
        <f>IF(AND('331-CT'!$E$7=TH!H1076,OR(J1076="331",K1076="331")),"x","")</f>
        <v/>
      </c>
    </row>
    <row r="1077" spans="1:12" hidden="1">
      <c r="A1077" s="72">
        <f t="shared" si="43"/>
        <v>2015</v>
      </c>
      <c r="B1077" s="72">
        <f t="shared" si="44"/>
        <v>12</v>
      </c>
      <c r="C1077" s="73">
        <v>42360</v>
      </c>
      <c r="D1077" s="73" t="s">
        <v>17</v>
      </c>
      <c r="E1077" s="73">
        <f t="shared" si="45"/>
        <v>42360</v>
      </c>
      <c r="F1077" s="76" t="s">
        <v>147</v>
      </c>
      <c r="G1077" s="265"/>
      <c r="H1077" s="122" t="s">
        <v>319</v>
      </c>
      <c r="I1077" s="74">
        <v>11889102</v>
      </c>
      <c r="J1077" s="75" t="s">
        <v>240</v>
      </c>
      <c r="K1077" s="75" t="s">
        <v>54</v>
      </c>
      <c r="L1077" s="134" t="str">
        <f>IF(AND('331-CT'!$E$7=TH!H1077,OR(J1077="331",K1077="331")),"x","")</f>
        <v/>
      </c>
    </row>
    <row r="1078" spans="1:12" hidden="1">
      <c r="A1078" s="72">
        <f t="shared" si="43"/>
        <v>2015</v>
      </c>
      <c r="B1078" s="72">
        <f t="shared" si="44"/>
        <v>12</v>
      </c>
      <c r="C1078" s="73">
        <v>42360</v>
      </c>
      <c r="D1078" s="73" t="s">
        <v>17</v>
      </c>
      <c r="E1078" s="73">
        <f t="shared" si="45"/>
        <v>42360</v>
      </c>
      <c r="F1078" s="76" t="s">
        <v>273</v>
      </c>
      <c r="G1078" s="265"/>
      <c r="H1078" s="122" t="s">
        <v>320</v>
      </c>
      <c r="I1078" s="74">
        <v>15852135</v>
      </c>
      <c r="J1078" s="75" t="s">
        <v>240</v>
      </c>
      <c r="K1078" s="75" t="s">
        <v>54</v>
      </c>
      <c r="L1078" s="134" t="str">
        <f>IF(AND('331-CT'!$E$7=TH!H1078,OR(J1078="331",K1078="331")),"x","")</f>
        <v/>
      </c>
    </row>
    <row r="1079" spans="1:12" hidden="1">
      <c r="A1079" s="72">
        <f t="shared" si="43"/>
        <v>2015</v>
      </c>
      <c r="B1079" s="72">
        <f t="shared" si="44"/>
        <v>12</v>
      </c>
      <c r="C1079" s="73">
        <v>42360</v>
      </c>
      <c r="D1079" s="73" t="s">
        <v>17</v>
      </c>
      <c r="E1079" s="73">
        <f t="shared" si="45"/>
        <v>42360</v>
      </c>
      <c r="F1079" s="76" t="s">
        <v>303</v>
      </c>
      <c r="G1079" s="265"/>
      <c r="H1079" s="122" t="s">
        <v>321</v>
      </c>
      <c r="I1079" s="74">
        <v>11096494</v>
      </c>
      <c r="J1079" s="75" t="s">
        <v>240</v>
      </c>
      <c r="K1079" s="75" t="s">
        <v>54</v>
      </c>
      <c r="L1079" s="134" t="str">
        <f>IF(AND('331-CT'!$E$7=TH!H1079,OR(J1079="331",K1079="331")),"x","")</f>
        <v/>
      </c>
    </row>
    <row r="1080" spans="1:12" hidden="1">
      <c r="A1080" s="72">
        <f t="shared" si="43"/>
        <v>2015</v>
      </c>
      <c r="B1080" s="72">
        <f t="shared" si="44"/>
        <v>12</v>
      </c>
      <c r="C1080" s="73">
        <v>42360</v>
      </c>
      <c r="D1080" s="73" t="s">
        <v>17</v>
      </c>
      <c r="E1080" s="73">
        <f t="shared" si="45"/>
        <v>42360</v>
      </c>
      <c r="F1080" s="76" t="s">
        <v>304</v>
      </c>
      <c r="G1080" s="265"/>
      <c r="H1080" s="122" t="s">
        <v>322</v>
      </c>
      <c r="I1080" s="74">
        <v>11889102</v>
      </c>
      <c r="J1080" s="75" t="s">
        <v>240</v>
      </c>
      <c r="K1080" s="75" t="s">
        <v>54</v>
      </c>
      <c r="L1080" s="134" t="str">
        <f>IF(AND('331-CT'!$E$7=TH!H1080,OR(J1080="331",K1080="331")),"x","")</f>
        <v/>
      </c>
    </row>
    <row r="1081" spans="1:12" hidden="1">
      <c r="A1081" s="72">
        <f t="shared" si="43"/>
        <v>2015</v>
      </c>
      <c r="B1081" s="72">
        <f t="shared" si="44"/>
        <v>12</v>
      </c>
      <c r="C1081" s="73">
        <v>42360</v>
      </c>
      <c r="D1081" s="73" t="s">
        <v>17</v>
      </c>
      <c r="E1081" s="73">
        <f t="shared" si="45"/>
        <v>42360</v>
      </c>
      <c r="F1081" s="76" t="s">
        <v>465</v>
      </c>
      <c r="G1081" s="265"/>
      <c r="H1081" s="122" t="s">
        <v>326</v>
      </c>
      <c r="I1081" s="74">
        <v>11889102</v>
      </c>
      <c r="J1081" s="75" t="s">
        <v>240</v>
      </c>
      <c r="K1081" s="75" t="s">
        <v>54</v>
      </c>
      <c r="L1081" s="134" t="str">
        <f>IF(AND('331-CT'!$E$7=TH!H1081,OR(J1081="331",K1081="331")),"x","")</f>
        <v/>
      </c>
    </row>
    <row r="1082" spans="1:12" hidden="1">
      <c r="A1082" s="72">
        <f t="shared" si="43"/>
        <v>2015</v>
      </c>
      <c r="B1082" s="72">
        <f t="shared" si="44"/>
        <v>12</v>
      </c>
      <c r="C1082" s="73">
        <v>42360</v>
      </c>
      <c r="D1082" s="73" t="s">
        <v>17</v>
      </c>
      <c r="E1082" s="73">
        <f t="shared" si="45"/>
        <v>42360</v>
      </c>
      <c r="F1082" s="76" t="s">
        <v>466</v>
      </c>
      <c r="G1082" s="265"/>
      <c r="H1082" s="122" t="s">
        <v>417</v>
      </c>
      <c r="I1082" s="74">
        <v>11889102</v>
      </c>
      <c r="J1082" s="75" t="s">
        <v>240</v>
      </c>
      <c r="K1082" s="75" t="s">
        <v>54</v>
      </c>
      <c r="L1082" s="134" t="str">
        <f>IF(AND('331-CT'!$E$7=TH!H1082,OR(J1082="331",K1082="331")),"x","")</f>
        <v/>
      </c>
    </row>
    <row r="1083" spans="1:12" hidden="1">
      <c r="A1083" s="72">
        <f t="shared" si="43"/>
        <v>2015</v>
      </c>
      <c r="B1083" s="72">
        <f t="shared" si="44"/>
        <v>12</v>
      </c>
      <c r="C1083" s="73">
        <v>42360</v>
      </c>
      <c r="D1083" s="73" t="s">
        <v>17</v>
      </c>
      <c r="E1083" s="73">
        <f t="shared" si="45"/>
        <v>42360</v>
      </c>
      <c r="F1083" s="76" t="s">
        <v>580</v>
      </c>
      <c r="G1083" s="265"/>
      <c r="H1083" s="122" t="s">
        <v>422</v>
      </c>
      <c r="I1083" s="74">
        <v>7926068</v>
      </c>
      <c r="J1083" s="75" t="s">
        <v>240</v>
      </c>
      <c r="K1083" s="75" t="s">
        <v>54</v>
      </c>
      <c r="L1083" s="134" t="str">
        <f>IF(AND('331-CT'!$E$7=TH!H1083,OR(J1083="331",K1083="331")),"x","")</f>
        <v/>
      </c>
    </row>
    <row r="1084" spans="1:12" hidden="1">
      <c r="A1084" s="72">
        <f t="shared" si="43"/>
        <v>2015</v>
      </c>
      <c r="B1084" s="72">
        <f t="shared" si="44"/>
        <v>12</v>
      </c>
      <c r="C1084" s="73">
        <v>42360</v>
      </c>
      <c r="D1084" s="73" t="s">
        <v>17</v>
      </c>
      <c r="E1084" s="73">
        <f t="shared" si="45"/>
        <v>42360</v>
      </c>
      <c r="F1084" s="76" t="s">
        <v>581</v>
      </c>
      <c r="G1084" s="265"/>
      <c r="H1084" s="122" t="s">
        <v>456</v>
      </c>
      <c r="I1084" s="74">
        <v>7926068</v>
      </c>
      <c r="J1084" s="75" t="s">
        <v>240</v>
      </c>
      <c r="K1084" s="75" t="s">
        <v>54</v>
      </c>
      <c r="L1084" s="134" t="str">
        <f>IF(AND('331-CT'!$E$7=TH!H1084,OR(J1084="331",K1084="331")),"x","")</f>
        <v/>
      </c>
    </row>
    <row r="1085" spans="1:12" hidden="1">
      <c r="A1085" s="72">
        <f t="shared" si="43"/>
        <v>2015</v>
      </c>
      <c r="B1085" s="72">
        <f t="shared" si="44"/>
        <v>12</v>
      </c>
      <c r="C1085" s="73">
        <v>42360</v>
      </c>
      <c r="D1085" s="73" t="s">
        <v>17</v>
      </c>
      <c r="E1085" s="73">
        <f t="shared" si="45"/>
        <v>42360</v>
      </c>
      <c r="F1085" s="76" t="s">
        <v>418</v>
      </c>
      <c r="G1085" s="265"/>
      <c r="H1085" s="122" t="s">
        <v>324</v>
      </c>
      <c r="I1085" s="74">
        <v>11889102</v>
      </c>
      <c r="J1085" s="75" t="s">
        <v>240</v>
      </c>
      <c r="K1085" s="75" t="s">
        <v>54</v>
      </c>
      <c r="L1085" s="134" t="str">
        <f>IF(AND('331-CT'!$E$7=TH!H1085,OR(J1085="331",K1085="331")),"x","")</f>
        <v/>
      </c>
    </row>
    <row r="1086" spans="1:12" hidden="1">
      <c r="A1086" s="72">
        <f t="shared" si="43"/>
        <v>2015</v>
      </c>
      <c r="B1086" s="72">
        <f t="shared" si="44"/>
        <v>12</v>
      </c>
      <c r="C1086" s="73">
        <v>42361</v>
      </c>
      <c r="D1086" s="73" t="s">
        <v>17</v>
      </c>
      <c r="E1086" s="73">
        <f t="shared" si="45"/>
        <v>42361</v>
      </c>
      <c r="F1086" s="76" t="s">
        <v>1059</v>
      </c>
      <c r="G1086" s="265"/>
      <c r="H1086" s="122" t="s">
        <v>649</v>
      </c>
      <c r="I1086" s="74">
        <v>37831860</v>
      </c>
      <c r="J1086" s="75" t="s">
        <v>18</v>
      </c>
      <c r="K1086" s="75" t="s">
        <v>54</v>
      </c>
      <c r="L1086" s="134" t="str">
        <f>IF(AND('331-CT'!$E$7=TH!H1086,OR(J1086="331",K1086="331")),"x","")</f>
        <v/>
      </c>
    </row>
    <row r="1087" spans="1:12" hidden="1">
      <c r="A1087" s="72">
        <f t="shared" si="43"/>
        <v>2015</v>
      </c>
      <c r="B1087" s="72">
        <f t="shared" si="44"/>
        <v>12</v>
      </c>
      <c r="C1087" s="73">
        <v>42361</v>
      </c>
      <c r="D1087" s="73" t="s">
        <v>17</v>
      </c>
      <c r="E1087" s="73">
        <f t="shared" si="45"/>
        <v>42361</v>
      </c>
      <c r="F1087" s="76" t="s">
        <v>34</v>
      </c>
      <c r="G1087" s="265"/>
      <c r="H1087" s="122"/>
      <c r="I1087" s="74">
        <v>45000</v>
      </c>
      <c r="J1087" s="75" t="s">
        <v>242</v>
      </c>
      <c r="K1087" s="75" t="s">
        <v>54</v>
      </c>
      <c r="L1087" s="134" t="str">
        <f>IF(AND('331-CT'!$E$7=TH!H1087,OR(J1087="331",K1087="331")),"x","")</f>
        <v/>
      </c>
    </row>
    <row r="1088" spans="1:12" hidden="1">
      <c r="A1088" s="72">
        <f t="shared" si="43"/>
        <v>2015</v>
      </c>
      <c r="B1088" s="72">
        <f t="shared" si="44"/>
        <v>12</v>
      </c>
      <c r="C1088" s="73">
        <v>42361</v>
      </c>
      <c r="D1088" s="73" t="s">
        <v>17</v>
      </c>
      <c r="E1088" s="73">
        <f t="shared" si="45"/>
        <v>42361</v>
      </c>
      <c r="F1088" s="76" t="s">
        <v>35</v>
      </c>
      <c r="G1088" s="265"/>
      <c r="H1088" s="122"/>
      <c r="I1088" s="74">
        <v>4500</v>
      </c>
      <c r="J1088" s="75" t="s">
        <v>19</v>
      </c>
      <c r="K1088" s="75" t="s">
        <v>54</v>
      </c>
      <c r="L1088" s="134" t="str">
        <f>IF(AND('331-CT'!$E$7=TH!H1088,OR(J1088="331",K1088="331")),"x","")</f>
        <v/>
      </c>
    </row>
    <row r="1089" spans="1:12" hidden="1">
      <c r="A1089" s="72">
        <f t="shared" si="43"/>
        <v>2015</v>
      </c>
      <c r="B1089" s="72">
        <f t="shared" si="44"/>
        <v>12</v>
      </c>
      <c r="C1089" s="73">
        <v>42362</v>
      </c>
      <c r="D1089" s="73" t="s">
        <v>21</v>
      </c>
      <c r="E1089" s="73">
        <f t="shared" si="45"/>
        <v>42362</v>
      </c>
      <c r="F1089" s="76" t="s">
        <v>1060</v>
      </c>
      <c r="G1089" s="265"/>
      <c r="H1089" s="122" t="s">
        <v>1061</v>
      </c>
      <c r="I1089" s="74">
        <v>1982640000</v>
      </c>
      <c r="J1089" s="75" t="s">
        <v>54</v>
      </c>
      <c r="K1089" s="75" t="s">
        <v>97</v>
      </c>
      <c r="L1089" s="134" t="str">
        <f>IF(AND('331-CT'!$E$7=TH!H1089,OR(J1089="331",K1089="331")),"x","")</f>
        <v/>
      </c>
    </row>
    <row r="1090" spans="1:12" hidden="1">
      <c r="A1090" s="72">
        <f t="shared" si="43"/>
        <v>2015</v>
      </c>
      <c r="B1090" s="72">
        <f t="shared" si="44"/>
        <v>12</v>
      </c>
      <c r="C1090" s="73">
        <v>42362</v>
      </c>
      <c r="D1090" s="73" t="s">
        <v>21</v>
      </c>
      <c r="E1090" s="73">
        <f t="shared" si="45"/>
        <v>42362</v>
      </c>
      <c r="F1090" s="76" t="s">
        <v>98</v>
      </c>
      <c r="G1090" s="265"/>
      <c r="H1090" s="122"/>
      <c r="I1090" s="74">
        <v>26816</v>
      </c>
      <c r="J1090" s="75" t="s">
        <v>54</v>
      </c>
      <c r="K1090" s="75" t="s">
        <v>99</v>
      </c>
      <c r="L1090" s="134" t="str">
        <f>IF(AND('331-CT'!$E$7=TH!H1090,OR(J1090="331",K1090="331")),"x","")</f>
        <v/>
      </c>
    </row>
    <row r="1091" spans="1:12" hidden="1">
      <c r="A1091" s="72">
        <f t="shared" si="43"/>
        <v>2015</v>
      </c>
      <c r="B1091" s="72">
        <f t="shared" si="44"/>
        <v>12</v>
      </c>
      <c r="C1091" s="73">
        <v>42363</v>
      </c>
      <c r="D1091" s="73" t="s">
        <v>21</v>
      </c>
      <c r="E1091" s="73">
        <f t="shared" si="45"/>
        <v>42363</v>
      </c>
      <c r="F1091" s="76" t="s">
        <v>576</v>
      </c>
      <c r="G1091" s="265"/>
      <c r="H1091" s="122" t="s">
        <v>272</v>
      </c>
      <c r="I1091" s="74">
        <v>13000000</v>
      </c>
      <c r="J1091" s="75" t="s">
        <v>54</v>
      </c>
      <c r="K1091" s="75" t="s">
        <v>203</v>
      </c>
      <c r="L1091" s="134" t="str">
        <f>IF(AND('331-CT'!$E$7=TH!H1091,OR(J1091="331",K1091="331")),"x","")</f>
        <v/>
      </c>
    </row>
    <row r="1092" spans="1:12" hidden="1">
      <c r="A1092" s="72">
        <f t="shared" si="43"/>
        <v>2015</v>
      </c>
      <c r="B1092" s="72">
        <f t="shared" si="44"/>
        <v>12</v>
      </c>
      <c r="C1092" s="73">
        <v>42363</v>
      </c>
      <c r="D1092" s="73" t="s">
        <v>17</v>
      </c>
      <c r="E1092" s="73">
        <f t="shared" si="45"/>
        <v>42363</v>
      </c>
      <c r="F1092" s="76" t="s">
        <v>1062</v>
      </c>
      <c r="G1092" s="265"/>
      <c r="H1092" s="122" t="s">
        <v>272</v>
      </c>
      <c r="I1092" s="74">
        <v>2000000000</v>
      </c>
      <c r="J1092" s="75" t="s">
        <v>203</v>
      </c>
      <c r="K1092" s="75" t="s">
        <v>54</v>
      </c>
      <c r="L1092" s="134" t="str">
        <f>IF(AND('331-CT'!$E$7=TH!H1092,OR(J1092="331",K1092="331")),"x","")</f>
        <v/>
      </c>
    </row>
    <row r="1093" spans="1:12" hidden="1">
      <c r="A1093" s="72">
        <f t="shared" si="43"/>
        <v>2015</v>
      </c>
      <c r="B1093" s="72">
        <f t="shared" si="44"/>
        <v>12</v>
      </c>
      <c r="C1093" s="73">
        <v>42363</v>
      </c>
      <c r="D1093" s="73" t="s">
        <v>17</v>
      </c>
      <c r="E1093" s="73">
        <f t="shared" si="45"/>
        <v>42363</v>
      </c>
      <c r="F1093" s="76" t="s">
        <v>34</v>
      </c>
      <c r="G1093" s="265"/>
      <c r="H1093" s="122"/>
      <c r="I1093" s="74">
        <v>20000</v>
      </c>
      <c r="J1093" s="75" t="s">
        <v>242</v>
      </c>
      <c r="K1093" s="75" t="s">
        <v>54</v>
      </c>
      <c r="L1093" s="134" t="str">
        <f>IF(AND('331-CT'!$E$7=TH!H1093,OR(J1093="331",K1093="331")),"x","")</f>
        <v/>
      </c>
    </row>
    <row r="1094" spans="1:12" hidden="1">
      <c r="A1094" s="72">
        <f t="shared" si="43"/>
        <v>2015</v>
      </c>
      <c r="B1094" s="72">
        <f t="shared" si="44"/>
        <v>12</v>
      </c>
      <c r="C1094" s="73">
        <v>42363</v>
      </c>
      <c r="D1094" s="73" t="s">
        <v>17</v>
      </c>
      <c r="E1094" s="73">
        <f t="shared" si="45"/>
        <v>42363</v>
      </c>
      <c r="F1094" s="76" t="s">
        <v>35</v>
      </c>
      <c r="G1094" s="265"/>
      <c r="H1094" s="122"/>
      <c r="I1094" s="74">
        <v>2000</v>
      </c>
      <c r="J1094" s="75" t="s">
        <v>19</v>
      </c>
      <c r="K1094" s="75" t="s">
        <v>54</v>
      </c>
      <c r="L1094" s="134" t="str">
        <f>IF(AND('331-CT'!$E$7=TH!H1094,OR(J1094="331",K1094="331")),"x","")</f>
        <v/>
      </c>
    </row>
    <row r="1095" spans="1:12" hidden="1">
      <c r="A1095" s="72">
        <f t="shared" si="43"/>
        <v>2015</v>
      </c>
      <c r="B1095" s="72">
        <f t="shared" si="44"/>
        <v>12</v>
      </c>
      <c r="C1095" s="73">
        <v>42363</v>
      </c>
      <c r="D1095" s="73" t="s">
        <v>21</v>
      </c>
      <c r="E1095" s="73">
        <f t="shared" si="45"/>
        <v>42363</v>
      </c>
      <c r="F1095" s="76" t="s">
        <v>576</v>
      </c>
      <c r="G1095" s="265"/>
      <c r="H1095" s="122" t="s">
        <v>272</v>
      </c>
      <c r="I1095" s="74">
        <v>600000000</v>
      </c>
      <c r="J1095" s="75" t="s">
        <v>54</v>
      </c>
      <c r="K1095" s="75" t="s">
        <v>203</v>
      </c>
      <c r="L1095" s="134" t="str">
        <f>IF(AND('331-CT'!$E$7=TH!H1095,OR(J1095="331",K1095="331")),"x","")</f>
        <v/>
      </c>
    </row>
    <row r="1096" spans="1:12" hidden="1">
      <c r="A1096" s="72">
        <f t="shared" si="43"/>
        <v>2015</v>
      </c>
      <c r="B1096" s="72">
        <f t="shared" si="44"/>
        <v>12</v>
      </c>
      <c r="C1096" s="73">
        <v>42363</v>
      </c>
      <c r="D1096" s="73" t="s">
        <v>17</v>
      </c>
      <c r="E1096" s="73">
        <f t="shared" si="45"/>
        <v>42363</v>
      </c>
      <c r="F1096" s="76" t="s">
        <v>613</v>
      </c>
      <c r="G1096" s="265"/>
      <c r="H1096" s="122"/>
      <c r="I1096" s="74">
        <v>50000</v>
      </c>
      <c r="J1096" s="75" t="s">
        <v>242</v>
      </c>
      <c r="K1096" s="75" t="s">
        <v>54</v>
      </c>
      <c r="L1096" s="134" t="str">
        <f>IF(AND('331-CT'!$E$7=TH!H1096,OR(J1096="331",K1096="331")),"x","")</f>
        <v/>
      </c>
    </row>
    <row r="1097" spans="1:12" hidden="1">
      <c r="A1097" s="72">
        <f t="shared" si="43"/>
        <v>2015</v>
      </c>
      <c r="B1097" s="72">
        <f t="shared" si="44"/>
        <v>12</v>
      </c>
      <c r="C1097" s="73">
        <v>42363</v>
      </c>
      <c r="D1097" s="73" t="s">
        <v>17</v>
      </c>
      <c r="E1097" s="73">
        <f t="shared" si="45"/>
        <v>42363</v>
      </c>
      <c r="F1097" s="76" t="s">
        <v>44</v>
      </c>
      <c r="G1097" s="265"/>
      <c r="H1097" s="122"/>
      <c r="I1097" s="74">
        <v>5000</v>
      </c>
      <c r="J1097" s="75" t="s">
        <v>19</v>
      </c>
      <c r="K1097" s="75" t="s">
        <v>54</v>
      </c>
      <c r="L1097" s="134" t="str">
        <f>IF(AND('331-CT'!$E$7=TH!H1097,OR(J1097="331",K1097="331")),"x","")</f>
        <v/>
      </c>
    </row>
    <row r="1098" spans="1:12" hidden="1">
      <c r="A1098" s="72">
        <f t="shared" si="43"/>
        <v>2015</v>
      </c>
      <c r="B1098" s="72">
        <f t="shared" si="44"/>
        <v>12</v>
      </c>
      <c r="C1098" s="73">
        <v>42363</v>
      </c>
      <c r="D1098" s="73" t="s">
        <v>17</v>
      </c>
      <c r="E1098" s="73">
        <f t="shared" si="45"/>
        <v>42363</v>
      </c>
      <c r="F1098" s="76" t="s">
        <v>614</v>
      </c>
      <c r="G1098" s="265"/>
      <c r="H1098" s="122"/>
      <c r="I1098" s="74">
        <v>50000</v>
      </c>
      <c r="J1098" s="75" t="s">
        <v>242</v>
      </c>
      <c r="K1098" s="75" t="s">
        <v>54</v>
      </c>
      <c r="L1098" s="134" t="str">
        <f>IF(AND('331-CT'!$E$7=TH!H1098,OR(J1098="331",K1098="331")),"x","")</f>
        <v/>
      </c>
    </row>
    <row r="1099" spans="1:12" hidden="1">
      <c r="A1099" s="72">
        <f t="shared" si="43"/>
        <v>2015</v>
      </c>
      <c r="B1099" s="72">
        <f t="shared" si="44"/>
        <v>12</v>
      </c>
      <c r="C1099" s="73">
        <v>42363</v>
      </c>
      <c r="D1099" s="73" t="s">
        <v>17</v>
      </c>
      <c r="E1099" s="73">
        <f t="shared" ref="E1099:E1105" si="46">C1099</f>
        <v>42363</v>
      </c>
      <c r="F1099" s="76" t="s">
        <v>44</v>
      </c>
      <c r="G1099" s="265"/>
      <c r="H1099" s="122"/>
      <c r="I1099" s="74">
        <v>5000</v>
      </c>
      <c r="J1099" s="75" t="s">
        <v>19</v>
      </c>
      <c r="K1099" s="75" t="s">
        <v>54</v>
      </c>
      <c r="L1099" s="134" t="str">
        <f>IF(AND('331-CT'!$E$7=TH!H1099,OR(J1099="331",K1099="331")),"x","")</f>
        <v/>
      </c>
    </row>
    <row r="1100" spans="1:12" hidden="1">
      <c r="A1100" s="72">
        <f t="shared" si="43"/>
        <v>2015</v>
      </c>
      <c r="B1100" s="72">
        <f t="shared" si="44"/>
        <v>12</v>
      </c>
      <c r="C1100" s="73">
        <v>42366</v>
      </c>
      <c r="D1100" s="73" t="s">
        <v>17</v>
      </c>
      <c r="E1100" s="73">
        <f t="shared" si="46"/>
        <v>42366</v>
      </c>
      <c r="F1100" s="76" t="s">
        <v>301</v>
      </c>
      <c r="G1100" s="265"/>
      <c r="H1100" s="122" t="s">
        <v>111</v>
      </c>
      <c r="I1100" s="74">
        <v>406490000</v>
      </c>
      <c r="J1100" s="75" t="s">
        <v>18</v>
      </c>
      <c r="K1100" s="75" t="s">
        <v>54</v>
      </c>
      <c r="L1100" s="134" t="str">
        <f>IF(AND('331-CT'!$E$7=TH!H1100,OR(J1100="331",K1100="331")),"x","")</f>
        <v/>
      </c>
    </row>
    <row r="1101" spans="1:12" hidden="1">
      <c r="A1101" s="72">
        <f t="shared" si="43"/>
        <v>2015</v>
      </c>
      <c r="B1101" s="72">
        <f t="shared" si="44"/>
        <v>12</v>
      </c>
      <c r="C1101" s="73">
        <v>42366</v>
      </c>
      <c r="D1101" s="73" t="s">
        <v>17</v>
      </c>
      <c r="E1101" s="73">
        <f t="shared" si="46"/>
        <v>42366</v>
      </c>
      <c r="F1101" s="76" t="s">
        <v>34</v>
      </c>
      <c r="G1101" s="265"/>
      <c r="H1101" s="122"/>
      <c r="I1101" s="74">
        <v>121947</v>
      </c>
      <c r="J1101" s="75" t="s">
        <v>242</v>
      </c>
      <c r="K1101" s="75" t="s">
        <v>54</v>
      </c>
      <c r="L1101" s="134" t="str">
        <f>IF(AND('331-CT'!$E$7=TH!H1101,OR(J1101="331",K1101="331")),"x","")</f>
        <v/>
      </c>
    </row>
    <row r="1102" spans="1:12" hidden="1">
      <c r="A1102" s="72">
        <f t="shared" si="43"/>
        <v>2015</v>
      </c>
      <c r="B1102" s="72">
        <f t="shared" si="44"/>
        <v>12</v>
      </c>
      <c r="C1102" s="73">
        <v>42366</v>
      </c>
      <c r="D1102" s="73" t="s">
        <v>17</v>
      </c>
      <c r="E1102" s="73">
        <f t="shared" si="46"/>
        <v>42366</v>
      </c>
      <c r="F1102" s="76" t="s">
        <v>35</v>
      </c>
      <c r="G1102" s="265"/>
      <c r="H1102" s="122"/>
      <c r="I1102" s="74">
        <v>12195</v>
      </c>
      <c r="J1102" s="75" t="s">
        <v>19</v>
      </c>
      <c r="K1102" s="75" t="s">
        <v>54</v>
      </c>
      <c r="L1102" s="134" t="str">
        <f>IF(AND('331-CT'!$E$7=TH!H1102,OR(J1102="331",K1102="331")),"x","")</f>
        <v/>
      </c>
    </row>
    <row r="1103" spans="1:12" hidden="1">
      <c r="A1103" s="72">
        <f t="shared" si="43"/>
        <v>2015</v>
      </c>
      <c r="B1103" s="72">
        <f t="shared" si="44"/>
        <v>12</v>
      </c>
      <c r="C1103" s="73">
        <v>42366</v>
      </c>
      <c r="D1103" s="73" t="s">
        <v>17</v>
      </c>
      <c r="E1103" s="73">
        <f t="shared" si="46"/>
        <v>42366</v>
      </c>
      <c r="F1103" s="76" t="s">
        <v>301</v>
      </c>
      <c r="G1103" s="265"/>
      <c r="H1103" s="122" t="s">
        <v>190</v>
      </c>
      <c r="I1103" s="74">
        <v>123128513</v>
      </c>
      <c r="J1103" s="75" t="s">
        <v>18</v>
      </c>
      <c r="K1103" s="75" t="s">
        <v>54</v>
      </c>
      <c r="L1103" s="134" t="str">
        <f>IF(AND('331-CT'!$E$7=TH!H1103,OR(J1103="331",K1103="331")),"x","")</f>
        <v>x</v>
      </c>
    </row>
    <row r="1104" spans="1:12" hidden="1">
      <c r="A1104" s="72">
        <f t="shared" si="43"/>
        <v>2015</v>
      </c>
      <c r="B1104" s="72">
        <f t="shared" si="44"/>
        <v>12</v>
      </c>
      <c r="C1104" s="73">
        <v>42366</v>
      </c>
      <c r="D1104" s="73" t="s">
        <v>17</v>
      </c>
      <c r="E1104" s="73">
        <f t="shared" si="46"/>
        <v>42366</v>
      </c>
      <c r="F1104" s="76" t="s">
        <v>34</v>
      </c>
      <c r="G1104" s="265"/>
      <c r="H1104" s="122"/>
      <c r="I1104" s="74">
        <v>61564</v>
      </c>
      <c r="J1104" s="75" t="s">
        <v>242</v>
      </c>
      <c r="K1104" s="75" t="s">
        <v>54</v>
      </c>
      <c r="L1104" s="134" t="str">
        <f>IF(AND('331-CT'!$E$7=TH!H1104,OR(J1104="331",K1104="331")),"x","")</f>
        <v/>
      </c>
    </row>
    <row r="1105" spans="1:13" hidden="1">
      <c r="A1105" s="72">
        <f t="shared" si="43"/>
        <v>2015</v>
      </c>
      <c r="B1105" s="72">
        <f t="shared" si="44"/>
        <v>12</v>
      </c>
      <c r="C1105" s="73">
        <v>42366</v>
      </c>
      <c r="D1105" s="73" t="s">
        <v>17</v>
      </c>
      <c r="E1105" s="73">
        <f t="shared" si="46"/>
        <v>42366</v>
      </c>
      <c r="F1105" s="76" t="s">
        <v>35</v>
      </c>
      <c r="G1105" s="265"/>
      <c r="H1105" s="122"/>
      <c r="I1105" s="74">
        <v>6156</v>
      </c>
      <c r="J1105" s="75" t="s">
        <v>19</v>
      </c>
      <c r="K1105" s="75" t="s">
        <v>54</v>
      </c>
      <c r="L1105" s="134" t="str">
        <f>IF(AND('331-CT'!$E$7=TH!H1105,OR(J1105="331",K1105="331")),"x","")</f>
        <v/>
      </c>
    </row>
    <row r="1106" spans="1:13" ht="15" hidden="1">
      <c r="A1106" s="72">
        <f t="shared" si="43"/>
        <v>2015</v>
      </c>
      <c r="B1106" s="72">
        <f t="shared" si="44"/>
        <v>12</v>
      </c>
      <c r="C1106" s="73">
        <v>42366</v>
      </c>
      <c r="D1106" s="73" t="s">
        <v>17</v>
      </c>
      <c r="E1106" s="73">
        <f t="shared" ref="E1106:E1115" si="47">C1106</f>
        <v>42366</v>
      </c>
      <c r="F1106" s="76" t="s">
        <v>1063</v>
      </c>
      <c r="G1106" s="265"/>
      <c r="H1106" s="122" t="s">
        <v>1072</v>
      </c>
      <c r="I1106" s="74">
        <v>28293504</v>
      </c>
      <c r="J1106" s="75" t="s">
        <v>18</v>
      </c>
      <c r="K1106" s="75" t="s">
        <v>54</v>
      </c>
      <c r="L1106" s="134" t="str">
        <f>IF(AND('331-CT'!$E$7=TH!H1106,OR(J1106="331",K1106="331")),"x","")</f>
        <v/>
      </c>
      <c r="M1106" s="391"/>
    </row>
    <row r="1107" spans="1:13" hidden="1">
      <c r="A1107" s="72">
        <f t="shared" si="43"/>
        <v>2015</v>
      </c>
      <c r="B1107" s="72">
        <f t="shared" si="44"/>
        <v>12</v>
      </c>
      <c r="C1107" s="73">
        <v>42366</v>
      </c>
      <c r="D1107" s="73" t="s">
        <v>17</v>
      </c>
      <c r="E1107" s="73">
        <f t="shared" si="47"/>
        <v>42366</v>
      </c>
      <c r="F1107" s="76" t="s">
        <v>34</v>
      </c>
      <c r="G1107" s="265"/>
      <c r="H1107" s="122"/>
      <c r="I1107" s="74">
        <v>20000</v>
      </c>
      <c r="J1107" s="75" t="s">
        <v>242</v>
      </c>
      <c r="K1107" s="75" t="s">
        <v>54</v>
      </c>
      <c r="L1107" s="134" t="str">
        <f>IF(AND('331-CT'!$E$7=TH!H1107,OR(J1107="331",K1107="331")),"x","")</f>
        <v/>
      </c>
    </row>
    <row r="1108" spans="1:13" hidden="1">
      <c r="A1108" s="72">
        <f t="shared" si="43"/>
        <v>2015</v>
      </c>
      <c r="B1108" s="72">
        <f t="shared" si="44"/>
        <v>12</v>
      </c>
      <c r="C1108" s="73">
        <v>42366</v>
      </c>
      <c r="D1108" s="73" t="s">
        <v>17</v>
      </c>
      <c r="E1108" s="73">
        <f t="shared" si="47"/>
        <v>42366</v>
      </c>
      <c r="F1108" s="76" t="s">
        <v>35</v>
      </c>
      <c r="G1108" s="265"/>
      <c r="H1108" s="122"/>
      <c r="I1108" s="74">
        <v>2000</v>
      </c>
      <c r="J1108" s="75" t="s">
        <v>19</v>
      </c>
      <c r="K1108" s="75" t="s">
        <v>54</v>
      </c>
      <c r="L1108" s="134" t="str">
        <f>IF(AND('331-CT'!$E$7=TH!H1108,OR(J1108="331",K1108="331")),"x","")</f>
        <v/>
      </c>
    </row>
    <row r="1109" spans="1:13" hidden="1">
      <c r="A1109" s="72">
        <f t="shared" si="43"/>
        <v>2015</v>
      </c>
      <c r="B1109" s="72">
        <f t="shared" si="44"/>
        <v>12</v>
      </c>
      <c r="C1109" s="313">
        <v>42366</v>
      </c>
      <c r="D1109" s="313" t="s">
        <v>1068</v>
      </c>
      <c r="E1109" s="313">
        <f t="shared" si="47"/>
        <v>42366</v>
      </c>
      <c r="F1109" s="314" t="s">
        <v>827</v>
      </c>
      <c r="G1109" s="409" t="s">
        <v>1069</v>
      </c>
      <c r="H1109" s="316" t="s">
        <v>859</v>
      </c>
      <c r="I1109" s="74">
        <v>910000</v>
      </c>
      <c r="J1109" s="317" t="s">
        <v>242</v>
      </c>
      <c r="K1109" s="317" t="s">
        <v>203</v>
      </c>
      <c r="L1109" s="134" t="str">
        <f>IF(AND('331-CT'!$E$7=TH!H1109,OR(J1109="331",K1109="331")),"x","")</f>
        <v/>
      </c>
    </row>
    <row r="1110" spans="1:13" hidden="1">
      <c r="A1110" s="72">
        <f t="shared" ref="A1110:A1150" si="48">IF(C1110&lt;&gt;"",YEAR(C1110),"")</f>
        <v>2015</v>
      </c>
      <c r="B1110" s="72">
        <f t="shared" ref="B1110:B1150" si="49">IF(C1110&lt;&gt;"",MONTH(C1110),"")</f>
        <v>12</v>
      </c>
      <c r="C1110" s="313">
        <v>42366</v>
      </c>
      <c r="D1110" s="313" t="s">
        <v>78</v>
      </c>
      <c r="E1110" s="313">
        <f t="shared" si="47"/>
        <v>42366</v>
      </c>
      <c r="F1110" s="314" t="s">
        <v>1070</v>
      </c>
      <c r="G1110" s="409" t="s">
        <v>1071</v>
      </c>
      <c r="H1110" s="316" t="s">
        <v>1072</v>
      </c>
      <c r="I1110" s="74">
        <v>25721367</v>
      </c>
      <c r="J1110" s="317" t="s">
        <v>242</v>
      </c>
      <c r="K1110" s="317" t="s">
        <v>18</v>
      </c>
      <c r="L1110" s="134" t="str">
        <f>IF(AND('331-CT'!$E$7=TH!H1110,OR(J1110="331",K1110="331")),"x","")</f>
        <v/>
      </c>
    </row>
    <row r="1111" spans="1:13" hidden="1">
      <c r="A1111" s="72">
        <f t="shared" si="48"/>
        <v>2015</v>
      </c>
      <c r="B1111" s="72">
        <f t="shared" si="49"/>
        <v>12</v>
      </c>
      <c r="C1111" s="313">
        <v>42366</v>
      </c>
      <c r="D1111" s="313" t="s">
        <v>78</v>
      </c>
      <c r="E1111" s="313">
        <f t="shared" si="47"/>
        <v>42366</v>
      </c>
      <c r="F1111" s="314" t="s">
        <v>1073</v>
      </c>
      <c r="G1111" s="409" t="s">
        <v>1071</v>
      </c>
      <c r="H1111" s="316" t="s">
        <v>1072</v>
      </c>
      <c r="I1111" s="74">
        <v>2572137</v>
      </c>
      <c r="J1111" s="317" t="s">
        <v>19</v>
      </c>
      <c r="K1111" s="317" t="s">
        <v>18</v>
      </c>
      <c r="L1111" s="134" t="str">
        <f>IF(AND('331-CT'!$E$7=TH!H1111,OR(J1111="331",K1111="331")),"x","")</f>
        <v/>
      </c>
    </row>
    <row r="1112" spans="1:13" hidden="1">
      <c r="A1112" s="72">
        <f t="shared" si="48"/>
        <v>2015</v>
      </c>
      <c r="B1112" s="72">
        <f t="shared" si="49"/>
        <v>12</v>
      </c>
      <c r="C1112" s="313">
        <v>42349</v>
      </c>
      <c r="D1112" s="313" t="s">
        <v>78</v>
      </c>
      <c r="E1112" s="313">
        <f t="shared" si="47"/>
        <v>42349</v>
      </c>
      <c r="F1112" s="314" t="s">
        <v>1074</v>
      </c>
      <c r="G1112" s="409" t="s">
        <v>1075</v>
      </c>
      <c r="H1112" s="316" t="s">
        <v>649</v>
      </c>
      <c r="I1112" s="74">
        <v>34392600</v>
      </c>
      <c r="J1112" s="317" t="s">
        <v>242</v>
      </c>
      <c r="K1112" s="317" t="s">
        <v>18</v>
      </c>
      <c r="L1112" s="134" t="str">
        <f>IF(AND('331-CT'!$E$7=TH!H1112,OR(J1112="331",K1112="331")),"x","")</f>
        <v/>
      </c>
    </row>
    <row r="1113" spans="1:13" hidden="1">
      <c r="A1113" s="72">
        <f t="shared" si="48"/>
        <v>2015</v>
      </c>
      <c r="B1113" s="72">
        <f t="shared" si="49"/>
        <v>12</v>
      </c>
      <c r="C1113" s="313">
        <v>42349</v>
      </c>
      <c r="D1113" s="313" t="s">
        <v>78</v>
      </c>
      <c r="E1113" s="313">
        <f t="shared" si="47"/>
        <v>42349</v>
      </c>
      <c r="F1113" s="314" t="s">
        <v>1076</v>
      </c>
      <c r="G1113" s="409" t="s">
        <v>1075</v>
      </c>
      <c r="H1113" s="316" t="s">
        <v>649</v>
      </c>
      <c r="I1113" s="74">
        <v>3439260</v>
      </c>
      <c r="J1113" s="317" t="s">
        <v>19</v>
      </c>
      <c r="K1113" s="317" t="s">
        <v>18</v>
      </c>
      <c r="L1113" s="134" t="str">
        <f>IF(AND('331-CT'!$E$7=TH!H1113,OR(J1113="331",K1113="331")),"x","")</f>
        <v/>
      </c>
    </row>
    <row r="1114" spans="1:13" hidden="1">
      <c r="A1114" s="72">
        <f t="shared" si="48"/>
        <v>2015</v>
      </c>
      <c r="B1114" s="72">
        <f t="shared" si="49"/>
        <v>12</v>
      </c>
      <c r="C1114" s="410">
        <v>42364</v>
      </c>
      <c r="D1114" s="410" t="s">
        <v>78</v>
      </c>
      <c r="E1114" s="410">
        <f t="shared" si="47"/>
        <v>42364</v>
      </c>
      <c r="F1114" s="411" t="s">
        <v>1074</v>
      </c>
      <c r="G1114" s="412"/>
      <c r="H1114" s="413" t="s">
        <v>649</v>
      </c>
      <c r="I1114" s="414">
        <v>33866400</v>
      </c>
      <c r="J1114" s="415" t="s">
        <v>242</v>
      </c>
      <c r="K1114" s="415" t="s">
        <v>18</v>
      </c>
      <c r="L1114" s="134" t="str">
        <f>IF(AND('331-CT'!$E$7=TH!H1114,OR(J1114="331",K1114="331")),"x","")</f>
        <v/>
      </c>
    </row>
    <row r="1115" spans="1:13" hidden="1">
      <c r="A1115" s="72">
        <f t="shared" si="48"/>
        <v>2015</v>
      </c>
      <c r="B1115" s="72">
        <f t="shared" si="49"/>
        <v>12</v>
      </c>
      <c r="C1115" s="410">
        <v>42364</v>
      </c>
      <c r="D1115" s="410" t="s">
        <v>78</v>
      </c>
      <c r="E1115" s="410">
        <f t="shared" si="47"/>
        <v>42364</v>
      </c>
      <c r="F1115" s="411" t="s">
        <v>1076</v>
      </c>
      <c r="G1115" s="412"/>
      <c r="H1115" s="413" t="s">
        <v>649</v>
      </c>
      <c r="I1115" s="414">
        <v>3386640</v>
      </c>
      <c r="J1115" s="415" t="s">
        <v>19</v>
      </c>
      <c r="K1115" s="415" t="s">
        <v>18</v>
      </c>
      <c r="L1115" s="134" t="str">
        <f>IF(AND('331-CT'!$E$7=TH!H1115,OR(J1115="331",K1115="331")),"x","")</f>
        <v/>
      </c>
    </row>
    <row r="1116" spans="1:13" hidden="1">
      <c r="A1116" s="72" t="str">
        <f t="shared" si="48"/>
        <v/>
      </c>
      <c r="B1116" s="72" t="str">
        <f t="shared" si="49"/>
        <v/>
      </c>
      <c r="C1116" s="73"/>
      <c r="D1116" s="73"/>
      <c r="E1116" s="73"/>
      <c r="F1116" s="76"/>
      <c r="G1116" s="265"/>
      <c r="H1116" s="122"/>
      <c r="I1116" s="74"/>
      <c r="J1116" s="75"/>
      <c r="K1116" s="75"/>
      <c r="L1116" s="134" t="str">
        <f>IF(AND('331-CT'!$E$7=TH!H1116,OR(J1116="331",K1116="331")),"x","")</f>
        <v/>
      </c>
    </row>
    <row r="1117" spans="1:13" hidden="1">
      <c r="A1117" s="72" t="str">
        <f t="shared" si="48"/>
        <v/>
      </c>
      <c r="B1117" s="72" t="str">
        <f t="shared" si="49"/>
        <v/>
      </c>
      <c r="C1117" s="73"/>
      <c r="D1117" s="73"/>
      <c r="E1117" s="73"/>
      <c r="F1117" s="76"/>
      <c r="G1117" s="265"/>
      <c r="H1117" s="122"/>
      <c r="I1117" s="74"/>
      <c r="J1117" s="75"/>
      <c r="K1117" s="75"/>
      <c r="L1117" s="134" t="str">
        <f>IF(AND('331-CT'!$E$7=TH!H1117,OR(J1117="331",K1117="331")),"x","")</f>
        <v/>
      </c>
    </row>
    <row r="1118" spans="1:13" hidden="1">
      <c r="A1118" s="72" t="str">
        <f t="shared" si="48"/>
        <v/>
      </c>
      <c r="B1118" s="72" t="str">
        <f t="shared" si="49"/>
        <v/>
      </c>
      <c r="C1118" s="73"/>
      <c r="D1118" s="73"/>
      <c r="E1118" s="73"/>
      <c r="F1118" s="76"/>
      <c r="G1118" s="265"/>
      <c r="H1118" s="122"/>
      <c r="I1118" s="74"/>
      <c r="J1118" s="75"/>
      <c r="K1118" s="75"/>
      <c r="L1118" s="134" t="str">
        <f>IF(AND('331-CT'!$E$7=TH!H1118,OR(J1118="331",K1118="331")),"x","")</f>
        <v/>
      </c>
    </row>
    <row r="1119" spans="1:13" hidden="1">
      <c r="A1119" s="72" t="str">
        <f t="shared" si="48"/>
        <v/>
      </c>
      <c r="B1119" s="72" t="str">
        <f t="shared" si="49"/>
        <v/>
      </c>
      <c r="C1119" s="73"/>
      <c r="D1119" s="73"/>
      <c r="E1119" s="73"/>
      <c r="F1119" s="76"/>
      <c r="G1119" s="265"/>
      <c r="H1119" s="122"/>
      <c r="I1119" s="74"/>
      <c r="J1119" s="75"/>
      <c r="K1119" s="75"/>
      <c r="L1119" s="134" t="str">
        <f>IF(AND('331-CT'!$E$7=TH!H1119,OR(J1119="331",K1119="331")),"x","")</f>
        <v/>
      </c>
    </row>
    <row r="1120" spans="1:13" hidden="1">
      <c r="A1120" s="72" t="str">
        <f t="shared" si="48"/>
        <v/>
      </c>
      <c r="B1120" s="72" t="str">
        <f t="shared" si="49"/>
        <v/>
      </c>
      <c r="C1120" s="73"/>
      <c r="D1120" s="73"/>
      <c r="E1120" s="73"/>
      <c r="F1120" s="76"/>
      <c r="G1120" s="265"/>
      <c r="H1120" s="122"/>
      <c r="I1120" s="74"/>
      <c r="J1120" s="75"/>
      <c r="K1120" s="75"/>
      <c r="L1120" s="134" t="str">
        <f>IF(AND('331-CT'!$E$7=TH!H1120,OR(J1120="331",K1120="331")),"x","")</f>
        <v/>
      </c>
    </row>
    <row r="1121" spans="1:12" hidden="1">
      <c r="A1121" s="72" t="str">
        <f t="shared" si="48"/>
        <v/>
      </c>
      <c r="B1121" s="72" t="str">
        <f t="shared" si="49"/>
        <v/>
      </c>
      <c r="C1121" s="73"/>
      <c r="D1121" s="73"/>
      <c r="E1121" s="73"/>
      <c r="F1121" s="76"/>
      <c r="G1121" s="265"/>
      <c r="H1121" s="122"/>
      <c r="I1121" s="74"/>
      <c r="J1121" s="75"/>
      <c r="K1121" s="75"/>
      <c r="L1121" s="134" t="str">
        <f>IF(AND('331-CT'!$E$7=TH!H1121,OR(J1121="331",K1121="331")),"x","")</f>
        <v/>
      </c>
    </row>
    <row r="1122" spans="1:12" hidden="1">
      <c r="A1122" s="72" t="str">
        <f t="shared" si="48"/>
        <v/>
      </c>
      <c r="B1122" s="72" t="str">
        <f t="shared" si="49"/>
        <v/>
      </c>
      <c r="C1122" s="73"/>
      <c r="D1122" s="73"/>
      <c r="E1122" s="73"/>
      <c r="F1122" s="76"/>
      <c r="G1122" s="265"/>
      <c r="H1122" s="122"/>
      <c r="I1122" s="74"/>
      <c r="J1122" s="75"/>
      <c r="K1122" s="75"/>
      <c r="L1122" s="134" t="str">
        <f>IF(AND('331-CT'!$E$7=TH!H1122,OR(J1122="331",K1122="331")),"x","")</f>
        <v/>
      </c>
    </row>
    <row r="1123" spans="1:12" hidden="1">
      <c r="A1123" s="72" t="str">
        <f t="shared" si="48"/>
        <v/>
      </c>
      <c r="B1123" s="72" t="str">
        <f t="shared" si="49"/>
        <v/>
      </c>
      <c r="C1123" s="73"/>
      <c r="D1123" s="73"/>
      <c r="E1123" s="73"/>
      <c r="F1123" s="76"/>
      <c r="G1123" s="265"/>
      <c r="H1123" s="122"/>
      <c r="I1123" s="74"/>
      <c r="J1123" s="75"/>
      <c r="K1123" s="75"/>
      <c r="L1123" s="134" t="str">
        <f>IF(AND('331-CT'!$E$7=TH!H1123,OR(J1123="331",K1123="331")),"x","")</f>
        <v/>
      </c>
    </row>
    <row r="1124" spans="1:12" hidden="1">
      <c r="A1124" s="72" t="str">
        <f t="shared" si="48"/>
        <v/>
      </c>
      <c r="B1124" s="72" t="str">
        <f t="shared" si="49"/>
        <v/>
      </c>
      <c r="C1124" s="73"/>
      <c r="D1124" s="73"/>
      <c r="E1124" s="73"/>
      <c r="F1124" s="76"/>
      <c r="G1124" s="265"/>
      <c r="H1124" s="122"/>
      <c r="I1124" s="74"/>
      <c r="J1124" s="75"/>
      <c r="K1124" s="75"/>
      <c r="L1124" s="134" t="str">
        <f>IF(AND('331-CT'!$E$7=TH!H1124,OR(J1124="331",K1124="331")),"x","")</f>
        <v/>
      </c>
    </row>
    <row r="1125" spans="1:12" hidden="1">
      <c r="A1125" s="72" t="str">
        <f t="shared" si="48"/>
        <v/>
      </c>
      <c r="B1125" s="72" t="str">
        <f t="shared" si="49"/>
        <v/>
      </c>
      <c r="C1125" s="73"/>
      <c r="D1125" s="73"/>
      <c r="E1125" s="73"/>
      <c r="F1125" s="76"/>
      <c r="G1125" s="265"/>
      <c r="H1125" s="122"/>
      <c r="I1125" s="74"/>
      <c r="J1125" s="75"/>
      <c r="K1125" s="75"/>
      <c r="L1125" s="134" t="str">
        <f>IF(AND('331-CT'!$E$7=TH!H1125,OR(J1125="331",K1125="331")),"x","")</f>
        <v/>
      </c>
    </row>
    <row r="1126" spans="1:12" hidden="1">
      <c r="A1126" s="72" t="str">
        <f t="shared" si="48"/>
        <v/>
      </c>
      <c r="B1126" s="72" t="str">
        <f t="shared" si="49"/>
        <v/>
      </c>
      <c r="C1126" s="73"/>
      <c r="D1126" s="73"/>
      <c r="E1126" s="73"/>
      <c r="F1126" s="76"/>
      <c r="G1126" s="265"/>
      <c r="H1126" s="122"/>
      <c r="I1126" s="74"/>
      <c r="J1126" s="75"/>
      <c r="K1126" s="75"/>
      <c r="L1126" s="134" t="str">
        <f>IF(AND('331-CT'!$E$7=TH!H1126,OR(J1126="331",K1126="331")),"x","")</f>
        <v/>
      </c>
    </row>
    <row r="1127" spans="1:12" hidden="1">
      <c r="A1127" s="72" t="str">
        <f t="shared" si="48"/>
        <v/>
      </c>
      <c r="B1127" s="72" t="str">
        <f t="shared" si="49"/>
        <v/>
      </c>
      <c r="C1127" s="73"/>
      <c r="D1127" s="73"/>
      <c r="E1127" s="73"/>
      <c r="F1127" s="76"/>
      <c r="G1127" s="265"/>
      <c r="H1127" s="122"/>
      <c r="I1127" s="74"/>
      <c r="J1127" s="75"/>
      <c r="K1127" s="75"/>
      <c r="L1127" s="134" t="str">
        <f>IF(AND('331-CT'!$E$7=TH!H1127,OR(J1127="331",K1127="331")),"x","")</f>
        <v/>
      </c>
    </row>
    <row r="1128" spans="1:12" hidden="1">
      <c r="A1128" s="72" t="str">
        <f t="shared" si="48"/>
        <v/>
      </c>
      <c r="B1128" s="72" t="str">
        <f t="shared" si="49"/>
        <v/>
      </c>
      <c r="C1128" s="73"/>
      <c r="D1128" s="73"/>
      <c r="E1128" s="73"/>
      <c r="F1128" s="76"/>
      <c r="G1128" s="265"/>
      <c r="H1128" s="122"/>
      <c r="I1128" s="74"/>
      <c r="J1128" s="75"/>
      <c r="K1128" s="75"/>
      <c r="L1128" s="134" t="str">
        <f>IF(AND('331-CT'!$E$7=TH!H1128,OR(J1128="331",K1128="331")),"x","")</f>
        <v/>
      </c>
    </row>
    <row r="1129" spans="1:12" hidden="1">
      <c r="A1129" s="72" t="str">
        <f t="shared" si="48"/>
        <v/>
      </c>
      <c r="B1129" s="72" t="str">
        <f t="shared" si="49"/>
        <v/>
      </c>
      <c r="C1129" s="73"/>
      <c r="D1129" s="73"/>
      <c r="E1129" s="73"/>
      <c r="F1129" s="76"/>
      <c r="G1129" s="265"/>
      <c r="H1129" s="122"/>
      <c r="I1129" s="74"/>
      <c r="J1129" s="75"/>
      <c r="K1129" s="75"/>
      <c r="L1129" s="134" t="str">
        <f>IF(AND('331-CT'!$E$7=TH!H1129,OR(J1129="331",K1129="331")),"x","")</f>
        <v/>
      </c>
    </row>
    <row r="1130" spans="1:12" hidden="1">
      <c r="A1130" s="72" t="str">
        <f t="shared" si="48"/>
        <v/>
      </c>
      <c r="B1130" s="72" t="str">
        <f t="shared" si="49"/>
        <v/>
      </c>
      <c r="C1130" s="73"/>
      <c r="D1130" s="73"/>
      <c r="E1130" s="73"/>
      <c r="F1130" s="76"/>
      <c r="G1130" s="265"/>
      <c r="H1130" s="122"/>
      <c r="I1130" s="74"/>
      <c r="J1130" s="75"/>
      <c r="K1130" s="75"/>
      <c r="L1130" s="134" t="str">
        <f>IF(AND('331-CT'!$E$7=TH!H1130,OR(J1130="331",K1130="331")),"x","")</f>
        <v/>
      </c>
    </row>
    <row r="1131" spans="1:12" hidden="1">
      <c r="A1131" s="72" t="str">
        <f t="shared" si="48"/>
        <v/>
      </c>
      <c r="B1131" s="72" t="str">
        <f t="shared" si="49"/>
        <v/>
      </c>
      <c r="C1131" s="73"/>
      <c r="D1131" s="73"/>
      <c r="E1131" s="73"/>
      <c r="F1131" s="76"/>
      <c r="G1131" s="265"/>
      <c r="H1131" s="122"/>
      <c r="I1131" s="74"/>
      <c r="J1131" s="75"/>
      <c r="K1131" s="75"/>
      <c r="L1131" s="134" t="str">
        <f>IF(AND('331-CT'!$E$7=TH!H1131,OR(J1131="331",K1131="331")),"x","")</f>
        <v/>
      </c>
    </row>
    <row r="1132" spans="1:12" hidden="1">
      <c r="A1132" s="72" t="str">
        <f t="shared" si="48"/>
        <v/>
      </c>
      <c r="B1132" s="72" t="str">
        <f t="shared" si="49"/>
        <v/>
      </c>
      <c r="C1132" s="73"/>
      <c r="D1132" s="73"/>
      <c r="E1132" s="73"/>
      <c r="F1132" s="76"/>
      <c r="G1132" s="265"/>
      <c r="H1132" s="122"/>
      <c r="I1132" s="74"/>
      <c r="J1132" s="75"/>
      <c r="K1132" s="75"/>
      <c r="L1132" s="134" t="str">
        <f>IF(AND('331-CT'!$E$7=TH!H1132,OR(J1132="331",K1132="331")),"x","")</f>
        <v/>
      </c>
    </row>
    <row r="1133" spans="1:12" hidden="1">
      <c r="A1133" s="72" t="str">
        <f t="shared" si="48"/>
        <v/>
      </c>
      <c r="B1133" s="72" t="str">
        <f t="shared" si="49"/>
        <v/>
      </c>
      <c r="C1133" s="73"/>
      <c r="D1133" s="73"/>
      <c r="E1133" s="73"/>
      <c r="F1133" s="76"/>
      <c r="G1133" s="265"/>
      <c r="H1133" s="122"/>
      <c r="I1133" s="74"/>
      <c r="J1133" s="75"/>
      <c r="K1133" s="75"/>
      <c r="L1133" s="134" t="str">
        <f>IF(AND('331-CT'!$E$7=TH!H1133,OR(J1133="331",K1133="331")),"x","")</f>
        <v/>
      </c>
    </row>
    <row r="1134" spans="1:12" hidden="1">
      <c r="A1134" s="72" t="str">
        <f t="shared" si="48"/>
        <v/>
      </c>
      <c r="B1134" s="72" t="str">
        <f t="shared" si="49"/>
        <v/>
      </c>
      <c r="C1134" s="73"/>
      <c r="D1134" s="73"/>
      <c r="E1134" s="73"/>
      <c r="F1134" s="76"/>
      <c r="G1134" s="265"/>
      <c r="H1134" s="122"/>
      <c r="I1134" s="74"/>
      <c r="J1134" s="75"/>
      <c r="K1134" s="75"/>
      <c r="L1134" s="134" t="str">
        <f>IF(AND('331-CT'!$E$7=TH!H1134,OR(J1134="331",K1134="331")),"x","")</f>
        <v/>
      </c>
    </row>
    <row r="1135" spans="1:12" hidden="1">
      <c r="A1135" s="72" t="str">
        <f t="shared" si="48"/>
        <v/>
      </c>
      <c r="B1135" s="72" t="str">
        <f t="shared" si="49"/>
        <v/>
      </c>
      <c r="C1135" s="73"/>
      <c r="D1135" s="73"/>
      <c r="E1135" s="73"/>
      <c r="F1135" s="76"/>
      <c r="G1135" s="265"/>
      <c r="H1135" s="122"/>
      <c r="I1135" s="74"/>
      <c r="J1135" s="75"/>
      <c r="K1135" s="75"/>
      <c r="L1135" s="134" t="str">
        <f>IF(AND('331-CT'!$E$7=TH!H1135,OR(J1135="331",K1135="331")),"x","")</f>
        <v/>
      </c>
    </row>
    <row r="1136" spans="1:12" hidden="1">
      <c r="A1136" s="72" t="str">
        <f t="shared" si="48"/>
        <v/>
      </c>
      <c r="B1136" s="72" t="str">
        <f t="shared" si="49"/>
        <v/>
      </c>
      <c r="C1136" s="73"/>
      <c r="D1136" s="73"/>
      <c r="E1136" s="73"/>
      <c r="F1136" s="76"/>
      <c r="G1136" s="265"/>
      <c r="H1136" s="122"/>
      <c r="I1136" s="74"/>
      <c r="J1136" s="75"/>
      <c r="K1136" s="75"/>
      <c r="L1136" s="134" t="str">
        <f>IF(AND('331-CT'!$E$7=TH!H1136,OR(J1136="331",K1136="331")),"x","")</f>
        <v/>
      </c>
    </row>
    <row r="1137" spans="1:12" hidden="1">
      <c r="A1137" s="72" t="str">
        <f t="shared" si="48"/>
        <v/>
      </c>
      <c r="B1137" s="72" t="str">
        <f t="shared" si="49"/>
        <v/>
      </c>
      <c r="C1137" s="73"/>
      <c r="D1137" s="73"/>
      <c r="E1137" s="73"/>
      <c r="F1137" s="76"/>
      <c r="G1137" s="265"/>
      <c r="H1137" s="122"/>
      <c r="I1137" s="74"/>
      <c r="J1137" s="75"/>
      <c r="K1137" s="75"/>
      <c r="L1137" s="134" t="str">
        <f>IF(AND('331-CT'!$E$7=TH!H1137,OR(J1137="331",K1137="331")),"x","")</f>
        <v/>
      </c>
    </row>
    <row r="1138" spans="1:12" hidden="1">
      <c r="A1138" s="72" t="str">
        <f t="shared" si="48"/>
        <v/>
      </c>
      <c r="B1138" s="72" t="str">
        <f t="shared" si="49"/>
        <v/>
      </c>
      <c r="C1138" s="73"/>
      <c r="D1138" s="73"/>
      <c r="E1138" s="73"/>
      <c r="F1138" s="76"/>
      <c r="G1138" s="265"/>
      <c r="H1138" s="122"/>
      <c r="I1138" s="74"/>
      <c r="J1138" s="75"/>
      <c r="K1138" s="75"/>
      <c r="L1138" s="134" t="str">
        <f>IF(AND('331-CT'!$E$7=TH!H1138,OR(J1138="331",K1138="331")),"x","")</f>
        <v/>
      </c>
    </row>
    <row r="1139" spans="1:12" hidden="1">
      <c r="A1139" s="72" t="str">
        <f t="shared" si="48"/>
        <v/>
      </c>
      <c r="B1139" s="72" t="str">
        <f t="shared" si="49"/>
        <v/>
      </c>
      <c r="C1139" s="73"/>
      <c r="D1139" s="73"/>
      <c r="E1139" s="73"/>
      <c r="F1139" s="76"/>
      <c r="G1139" s="265"/>
      <c r="H1139" s="122"/>
      <c r="I1139" s="74"/>
      <c r="J1139" s="75"/>
      <c r="K1139" s="75"/>
      <c r="L1139" s="134" t="str">
        <f>IF(AND('331-CT'!$E$7=TH!H1139,OR(J1139="331",K1139="331")),"x","")</f>
        <v/>
      </c>
    </row>
    <row r="1140" spans="1:12" hidden="1">
      <c r="A1140" s="72" t="str">
        <f t="shared" si="48"/>
        <v/>
      </c>
      <c r="B1140" s="72" t="str">
        <f t="shared" si="49"/>
        <v/>
      </c>
      <c r="C1140" s="73"/>
      <c r="D1140" s="73"/>
      <c r="E1140" s="73"/>
      <c r="F1140" s="76"/>
      <c r="G1140" s="265"/>
      <c r="H1140" s="122"/>
      <c r="I1140" s="74"/>
      <c r="J1140" s="75"/>
      <c r="K1140" s="75"/>
      <c r="L1140" s="134" t="str">
        <f>IF(AND('331-CT'!$E$7=TH!H1140,OR(J1140="331",K1140="331")),"x","")</f>
        <v/>
      </c>
    </row>
    <row r="1141" spans="1:12" hidden="1">
      <c r="A1141" s="72" t="str">
        <f t="shared" si="48"/>
        <v/>
      </c>
      <c r="B1141" s="72" t="str">
        <f t="shared" si="49"/>
        <v/>
      </c>
      <c r="C1141" s="73"/>
      <c r="D1141" s="73"/>
      <c r="E1141" s="73"/>
      <c r="F1141" s="76"/>
      <c r="G1141" s="265"/>
      <c r="H1141" s="122"/>
      <c r="I1141" s="74"/>
      <c r="J1141" s="75"/>
      <c r="K1141" s="75"/>
      <c r="L1141" s="134" t="str">
        <f>IF(AND('331-CT'!$E$7=TH!H1141,OR(J1141="331",K1141="331")),"x","")</f>
        <v/>
      </c>
    </row>
    <row r="1142" spans="1:12" hidden="1">
      <c r="A1142" s="72" t="str">
        <f t="shared" si="48"/>
        <v/>
      </c>
      <c r="B1142" s="72" t="str">
        <f t="shared" si="49"/>
        <v/>
      </c>
      <c r="C1142" s="73"/>
      <c r="D1142" s="73"/>
      <c r="E1142" s="73"/>
      <c r="F1142" s="76"/>
      <c r="G1142" s="265"/>
      <c r="H1142" s="122"/>
      <c r="I1142" s="74"/>
      <c r="J1142" s="75"/>
      <c r="K1142" s="75"/>
      <c r="L1142" s="134" t="str">
        <f>IF(AND('331-CT'!$E$7=TH!H1142,OR(J1142="331",K1142="331")),"x","")</f>
        <v/>
      </c>
    </row>
    <row r="1143" spans="1:12" hidden="1">
      <c r="A1143" s="72" t="str">
        <f t="shared" si="48"/>
        <v/>
      </c>
      <c r="B1143" s="72" t="str">
        <f t="shared" si="49"/>
        <v/>
      </c>
      <c r="C1143" s="73"/>
      <c r="D1143" s="73"/>
      <c r="E1143" s="73"/>
      <c r="F1143" s="76"/>
      <c r="G1143" s="265"/>
      <c r="H1143" s="122"/>
      <c r="I1143" s="74"/>
      <c r="J1143" s="75"/>
      <c r="K1143" s="75"/>
      <c r="L1143" s="134" t="str">
        <f>IF(AND('331-CT'!$E$7=TH!H1143,OR(J1143="331",K1143="331")),"x","")</f>
        <v/>
      </c>
    </row>
    <row r="1144" spans="1:12" hidden="1">
      <c r="A1144" s="72" t="str">
        <f t="shared" si="48"/>
        <v/>
      </c>
      <c r="B1144" s="72" t="str">
        <f t="shared" si="49"/>
        <v/>
      </c>
      <c r="C1144" s="73"/>
      <c r="D1144" s="73"/>
      <c r="E1144" s="73"/>
      <c r="F1144" s="76"/>
      <c r="G1144" s="265"/>
      <c r="H1144" s="122"/>
      <c r="I1144" s="74"/>
      <c r="J1144" s="75"/>
      <c r="K1144" s="75"/>
      <c r="L1144" s="134" t="str">
        <f>IF(AND('331-CT'!$E$7=TH!H1144,OR(J1144="331",K1144="331")),"x","")</f>
        <v/>
      </c>
    </row>
    <row r="1145" spans="1:12" ht="13.5" hidden="1" customHeight="1">
      <c r="A1145" s="72" t="str">
        <f t="shared" si="48"/>
        <v/>
      </c>
      <c r="B1145" s="72" t="str">
        <f t="shared" si="49"/>
        <v/>
      </c>
      <c r="C1145" s="73"/>
      <c r="D1145" s="73"/>
      <c r="E1145" s="73"/>
      <c r="F1145" s="76"/>
      <c r="G1145" s="265"/>
      <c r="H1145" s="122"/>
      <c r="I1145" s="74"/>
      <c r="J1145" s="75"/>
      <c r="K1145" s="75"/>
      <c r="L1145" s="134" t="str">
        <f>IF(AND('331-CT'!$E$7=TH!H1145,OR(J1145="331",K1145="331")),"x","")</f>
        <v/>
      </c>
    </row>
    <row r="1146" spans="1:12" hidden="1">
      <c r="A1146" s="72" t="str">
        <f t="shared" si="48"/>
        <v/>
      </c>
      <c r="B1146" s="72" t="str">
        <f t="shared" si="49"/>
        <v/>
      </c>
      <c r="C1146" s="73"/>
      <c r="D1146" s="73"/>
      <c r="E1146" s="73"/>
      <c r="F1146" s="76"/>
      <c r="G1146" s="265"/>
      <c r="H1146" s="122"/>
      <c r="I1146" s="74"/>
      <c r="J1146" s="75"/>
      <c r="K1146" s="75"/>
      <c r="L1146" s="134" t="str">
        <f>IF(AND('331-CT'!$E$7=TH!H1146,OR(J1146="331",K1146="331")),"x","")</f>
        <v/>
      </c>
    </row>
    <row r="1147" spans="1:12" hidden="1">
      <c r="A1147" s="72" t="str">
        <f t="shared" si="48"/>
        <v/>
      </c>
      <c r="B1147" s="72" t="str">
        <f t="shared" si="49"/>
        <v/>
      </c>
      <c r="C1147" s="73"/>
      <c r="D1147" s="73"/>
      <c r="E1147" s="73"/>
      <c r="F1147" s="76"/>
      <c r="G1147" s="265"/>
      <c r="H1147" s="122"/>
      <c r="I1147" s="74"/>
      <c r="J1147" s="75"/>
      <c r="K1147" s="75"/>
      <c r="L1147" s="134" t="str">
        <f>IF(AND('331-CT'!$E$7=TH!H1147,OR(J1147="331",K1147="331")),"x","")</f>
        <v/>
      </c>
    </row>
    <row r="1148" spans="1:12" hidden="1">
      <c r="A1148" s="72" t="str">
        <f t="shared" si="48"/>
        <v/>
      </c>
      <c r="B1148" s="72" t="str">
        <f t="shared" si="49"/>
        <v/>
      </c>
      <c r="C1148" s="73"/>
      <c r="D1148" s="73"/>
      <c r="E1148" s="73"/>
      <c r="F1148" s="76"/>
      <c r="G1148" s="265"/>
      <c r="H1148" s="122"/>
      <c r="I1148" s="74"/>
      <c r="J1148" s="75"/>
      <c r="K1148" s="75"/>
      <c r="L1148" s="134" t="str">
        <f>IF(AND('331-CT'!$E$7=TH!H1148,OR(J1148="331",K1148="331")),"x","")</f>
        <v/>
      </c>
    </row>
    <row r="1149" spans="1:12" hidden="1">
      <c r="A1149" s="72" t="str">
        <f t="shared" si="48"/>
        <v/>
      </c>
      <c r="B1149" s="72" t="str">
        <f t="shared" si="49"/>
        <v/>
      </c>
      <c r="C1149" s="73"/>
      <c r="D1149" s="73"/>
      <c r="E1149" s="73"/>
      <c r="F1149" s="76"/>
      <c r="G1149" s="265"/>
      <c r="H1149" s="122"/>
      <c r="I1149" s="74"/>
      <c r="J1149" s="75"/>
      <c r="K1149" s="75"/>
      <c r="L1149" s="134" t="str">
        <f>IF(AND('331-CT'!$E$7=TH!H1149,OR(J1149="331",K1149="331")),"x","")</f>
        <v/>
      </c>
    </row>
    <row r="1150" spans="1:12" hidden="1">
      <c r="A1150" s="72" t="str">
        <f t="shared" si="48"/>
        <v/>
      </c>
      <c r="B1150" s="72" t="str">
        <f t="shared" si="49"/>
        <v/>
      </c>
      <c r="C1150" s="73"/>
      <c r="D1150" s="73"/>
      <c r="E1150" s="73"/>
      <c r="F1150" s="76"/>
      <c r="G1150" s="265"/>
      <c r="H1150" s="122"/>
      <c r="I1150" s="74"/>
      <c r="J1150" s="75"/>
      <c r="K1150" s="75"/>
      <c r="L1150" s="134" t="str">
        <f>IF(AND('331-CT'!$E$7=TH!H1150,OR(J1150="331",K1150="331")),"x","")</f>
        <v/>
      </c>
    </row>
    <row r="1151" spans="1:12" hidden="1">
      <c r="A1151" s="72" t="str">
        <f t="shared" si="41"/>
        <v/>
      </c>
      <c r="B1151" s="72" t="str">
        <f t="shared" si="42"/>
        <v/>
      </c>
      <c r="C1151" s="73"/>
      <c r="D1151" s="73"/>
      <c r="E1151" s="73"/>
      <c r="F1151" s="76"/>
      <c r="G1151" s="265"/>
      <c r="H1151" s="122"/>
      <c r="I1151" s="74"/>
      <c r="J1151" s="75"/>
      <c r="K1151" s="75"/>
      <c r="L1151" s="134" t="str">
        <f>IF(AND('331-CT'!$E$7=TH!H1151,OR(J1151="331",K1151="331")),"x","")</f>
        <v/>
      </c>
    </row>
  </sheetData>
  <autoFilter ref="A9:M1151">
    <filterColumn colId="0"/>
    <filterColumn colId="1"/>
    <filterColumn colId="7">
      <filters>
        <filter val="Cty CP Kỹ Nghệ Cách Nhiệt Gia Nguyên"/>
      </filters>
    </filterColumn>
    <filterColumn colId="9"/>
    <filterColumn colId="10">
      <filters>
        <filter val="331"/>
      </filters>
    </filterColumn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pane ySplit="4" topLeftCell="A23" activePane="bottomLeft" state="frozen"/>
      <selection pane="bottomLeft" activeCell="A30" sqref="A30"/>
    </sheetView>
  </sheetViews>
  <sheetFormatPr defaultColWidth="9.140625" defaultRowHeight="30" customHeight="1"/>
  <cols>
    <col min="1" max="1" width="4.7109375" style="394" customWidth="1"/>
    <col min="2" max="2" width="13" style="393" customWidth="1"/>
    <col min="3" max="3" width="21.5703125" style="394" customWidth="1"/>
    <col min="4" max="4" width="21.85546875" style="394" customWidth="1"/>
    <col min="5" max="12" width="14" style="394" customWidth="1"/>
    <col min="13" max="13" width="11.5703125" style="394" customWidth="1"/>
    <col min="14" max="14" width="14" style="394" hidden="1" customWidth="1"/>
    <col min="15" max="15" width="12" style="394" customWidth="1"/>
    <col min="16" max="261" width="8.85546875" style="394"/>
    <col min="262" max="262" width="4.7109375" style="394" customWidth="1"/>
    <col min="263" max="263" width="28" style="394" customWidth="1"/>
    <col min="264" max="264" width="33.42578125" style="394" customWidth="1"/>
    <col min="265" max="265" width="19.7109375" style="394" customWidth="1"/>
    <col min="266" max="269" width="13.85546875" style="394" customWidth="1"/>
    <col min="270" max="270" width="12.28515625" style="394" customWidth="1"/>
    <col min="271" max="517" width="8.85546875" style="394"/>
    <col min="518" max="518" width="4.7109375" style="394" customWidth="1"/>
    <col min="519" max="519" width="28" style="394" customWidth="1"/>
    <col min="520" max="520" width="33.42578125" style="394" customWidth="1"/>
    <col min="521" max="521" width="19.7109375" style="394" customWidth="1"/>
    <col min="522" max="525" width="13.85546875" style="394" customWidth="1"/>
    <col min="526" max="526" width="12.28515625" style="394" customWidth="1"/>
    <col min="527" max="773" width="8.85546875" style="394"/>
    <col min="774" max="774" width="4.7109375" style="394" customWidth="1"/>
    <col min="775" max="775" width="28" style="394" customWidth="1"/>
    <col min="776" max="776" width="33.42578125" style="394" customWidth="1"/>
    <col min="777" max="777" width="19.7109375" style="394" customWidth="1"/>
    <col min="778" max="781" width="13.85546875" style="394" customWidth="1"/>
    <col min="782" max="782" width="12.28515625" style="394" customWidth="1"/>
    <col min="783" max="1029" width="8.85546875" style="394"/>
    <col min="1030" max="1030" width="4.7109375" style="394" customWidth="1"/>
    <col min="1031" max="1031" width="28" style="394" customWidth="1"/>
    <col min="1032" max="1032" width="33.42578125" style="394" customWidth="1"/>
    <col min="1033" max="1033" width="19.7109375" style="394" customWidth="1"/>
    <col min="1034" max="1037" width="13.85546875" style="394" customWidth="1"/>
    <col min="1038" max="1038" width="12.28515625" style="394" customWidth="1"/>
    <col min="1039" max="1285" width="8.85546875" style="394"/>
    <col min="1286" max="1286" width="4.7109375" style="394" customWidth="1"/>
    <col min="1287" max="1287" width="28" style="394" customWidth="1"/>
    <col min="1288" max="1288" width="33.42578125" style="394" customWidth="1"/>
    <col min="1289" max="1289" width="19.7109375" style="394" customWidth="1"/>
    <col min="1290" max="1293" width="13.85546875" style="394" customWidth="1"/>
    <col min="1294" max="1294" width="12.28515625" style="394" customWidth="1"/>
    <col min="1295" max="1541" width="8.85546875" style="394"/>
    <col min="1542" max="1542" width="4.7109375" style="394" customWidth="1"/>
    <col min="1543" max="1543" width="28" style="394" customWidth="1"/>
    <col min="1544" max="1544" width="33.42578125" style="394" customWidth="1"/>
    <col min="1545" max="1545" width="19.7109375" style="394" customWidth="1"/>
    <col min="1546" max="1549" width="13.85546875" style="394" customWidth="1"/>
    <col min="1550" max="1550" width="12.28515625" style="394" customWidth="1"/>
    <col min="1551" max="1797" width="8.85546875" style="394"/>
    <col min="1798" max="1798" width="4.7109375" style="394" customWidth="1"/>
    <col min="1799" max="1799" width="28" style="394" customWidth="1"/>
    <col min="1800" max="1800" width="33.42578125" style="394" customWidth="1"/>
    <col min="1801" max="1801" width="19.7109375" style="394" customWidth="1"/>
    <col min="1802" max="1805" width="13.85546875" style="394" customWidth="1"/>
    <col min="1806" max="1806" width="12.28515625" style="394" customWidth="1"/>
    <col min="1807" max="2053" width="8.85546875" style="394"/>
    <col min="2054" max="2054" width="4.7109375" style="394" customWidth="1"/>
    <col min="2055" max="2055" width="28" style="394" customWidth="1"/>
    <col min="2056" max="2056" width="33.42578125" style="394" customWidth="1"/>
    <col min="2057" max="2057" width="19.7109375" style="394" customWidth="1"/>
    <col min="2058" max="2061" width="13.85546875" style="394" customWidth="1"/>
    <col min="2062" max="2062" width="12.28515625" style="394" customWidth="1"/>
    <col min="2063" max="2309" width="8.85546875" style="394"/>
    <col min="2310" max="2310" width="4.7109375" style="394" customWidth="1"/>
    <col min="2311" max="2311" width="28" style="394" customWidth="1"/>
    <col min="2312" max="2312" width="33.42578125" style="394" customWidth="1"/>
    <col min="2313" max="2313" width="19.7109375" style="394" customWidth="1"/>
    <col min="2314" max="2317" width="13.85546875" style="394" customWidth="1"/>
    <col min="2318" max="2318" width="12.28515625" style="394" customWidth="1"/>
    <col min="2319" max="2565" width="8.85546875" style="394"/>
    <col min="2566" max="2566" width="4.7109375" style="394" customWidth="1"/>
    <col min="2567" max="2567" width="28" style="394" customWidth="1"/>
    <col min="2568" max="2568" width="33.42578125" style="394" customWidth="1"/>
    <col min="2569" max="2569" width="19.7109375" style="394" customWidth="1"/>
    <col min="2570" max="2573" width="13.85546875" style="394" customWidth="1"/>
    <col min="2574" max="2574" width="12.28515625" style="394" customWidth="1"/>
    <col min="2575" max="2821" width="8.85546875" style="394"/>
    <col min="2822" max="2822" width="4.7109375" style="394" customWidth="1"/>
    <col min="2823" max="2823" width="28" style="394" customWidth="1"/>
    <col min="2824" max="2824" width="33.42578125" style="394" customWidth="1"/>
    <col min="2825" max="2825" width="19.7109375" style="394" customWidth="1"/>
    <col min="2826" max="2829" width="13.85546875" style="394" customWidth="1"/>
    <col min="2830" max="2830" width="12.28515625" style="394" customWidth="1"/>
    <col min="2831" max="3077" width="8.85546875" style="394"/>
    <col min="3078" max="3078" width="4.7109375" style="394" customWidth="1"/>
    <col min="3079" max="3079" width="28" style="394" customWidth="1"/>
    <col min="3080" max="3080" width="33.42578125" style="394" customWidth="1"/>
    <col min="3081" max="3081" width="19.7109375" style="394" customWidth="1"/>
    <col min="3082" max="3085" width="13.85546875" style="394" customWidth="1"/>
    <col min="3086" max="3086" width="12.28515625" style="394" customWidth="1"/>
    <col min="3087" max="3333" width="8.85546875" style="394"/>
    <col min="3334" max="3334" width="4.7109375" style="394" customWidth="1"/>
    <col min="3335" max="3335" width="28" style="394" customWidth="1"/>
    <col min="3336" max="3336" width="33.42578125" style="394" customWidth="1"/>
    <col min="3337" max="3337" width="19.7109375" style="394" customWidth="1"/>
    <col min="3338" max="3341" width="13.85546875" style="394" customWidth="1"/>
    <col min="3342" max="3342" width="12.28515625" style="394" customWidth="1"/>
    <col min="3343" max="3589" width="8.85546875" style="394"/>
    <col min="3590" max="3590" width="4.7109375" style="394" customWidth="1"/>
    <col min="3591" max="3591" width="28" style="394" customWidth="1"/>
    <col min="3592" max="3592" width="33.42578125" style="394" customWidth="1"/>
    <col min="3593" max="3593" width="19.7109375" style="394" customWidth="1"/>
    <col min="3594" max="3597" width="13.85546875" style="394" customWidth="1"/>
    <col min="3598" max="3598" width="12.28515625" style="394" customWidth="1"/>
    <col min="3599" max="3845" width="8.85546875" style="394"/>
    <col min="3846" max="3846" width="4.7109375" style="394" customWidth="1"/>
    <col min="3847" max="3847" width="28" style="394" customWidth="1"/>
    <col min="3848" max="3848" width="33.42578125" style="394" customWidth="1"/>
    <col min="3849" max="3849" width="19.7109375" style="394" customWidth="1"/>
    <col min="3850" max="3853" width="13.85546875" style="394" customWidth="1"/>
    <col min="3854" max="3854" width="12.28515625" style="394" customWidth="1"/>
    <col min="3855" max="4101" width="8.85546875" style="394"/>
    <col min="4102" max="4102" width="4.7109375" style="394" customWidth="1"/>
    <col min="4103" max="4103" width="28" style="394" customWidth="1"/>
    <col min="4104" max="4104" width="33.42578125" style="394" customWidth="1"/>
    <col min="4105" max="4105" width="19.7109375" style="394" customWidth="1"/>
    <col min="4106" max="4109" width="13.85546875" style="394" customWidth="1"/>
    <col min="4110" max="4110" width="12.28515625" style="394" customWidth="1"/>
    <col min="4111" max="4357" width="8.85546875" style="394"/>
    <col min="4358" max="4358" width="4.7109375" style="394" customWidth="1"/>
    <col min="4359" max="4359" width="28" style="394" customWidth="1"/>
    <col min="4360" max="4360" width="33.42578125" style="394" customWidth="1"/>
    <col min="4361" max="4361" width="19.7109375" style="394" customWidth="1"/>
    <col min="4362" max="4365" width="13.85546875" style="394" customWidth="1"/>
    <col min="4366" max="4366" width="12.28515625" style="394" customWidth="1"/>
    <col min="4367" max="4613" width="8.85546875" style="394"/>
    <col min="4614" max="4614" width="4.7109375" style="394" customWidth="1"/>
    <col min="4615" max="4615" width="28" style="394" customWidth="1"/>
    <col min="4616" max="4616" width="33.42578125" style="394" customWidth="1"/>
    <col min="4617" max="4617" width="19.7109375" style="394" customWidth="1"/>
    <col min="4618" max="4621" width="13.85546875" style="394" customWidth="1"/>
    <col min="4622" max="4622" width="12.28515625" style="394" customWidth="1"/>
    <col min="4623" max="4869" width="8.85546875" style="394"/>
    <col min="4870" max="4870" width="4.7109375" style="394" customWidth="1"/>
    <col min="4871" max="4871" width="28" style="394" customWidth="1"/>
    <col min="4872" max="4872" width="33.42578125" style="394" customWidth="1"/>
    <col min="4873" max="4873" width="19.7109375" style="394" customWidth="1"/>
    <col min="4874" max="4877" width="13.85546875" style="394" customWidth="1"/>
    <col min="4878" max="4878" width="12.28515625" style="394" customWidth="1"/>
    <col min="4879" max="5125" width="8.85546875" style="394"/>
    <col min="5126" max="5126" width="4.7109375" style="394" customWidth="1"/>
    <col min="5127" max="5127" width="28" style="394" customWidth="1"/>
    <col min="5128" max="5128" width="33.42578125" style="394" customWidth="1"/>
    <col min="5129" max="5129" width="19.7109375" style="394" customWidth="1"/>
    <col min="5130" max="5133" width="13.85546875" style="394" customWidth="1"/>
    <col min="5134" max="5134" width="12.28515625" style="394" customWidth="1"/>
    <col min="5135" max="5381" width="8.85546875" style="394"/>
    <col min="5382" max="5382" width="4.7109375" style="394" customWidth="1"/>
    <col min="5383" max="5383" width="28" style="394" customWidth="1"/>
    <col min="5384" max="5384" width="33.42578125" style="394" customWidth="1"/>
    <col min="5385" max="5385" width="19.7109375" style="394" customWidth="1"/>
    <col min="5386" max="5389" width="13.85546875" style="394" customWidth="1"/>
    <col min="5390" max="5390" width="12.28515625" style="394" customWidth="1"/>
    <col min="5391" max="5637" width="8.85546875" style="394"/>
    <col min="5638" max="5638" width="4.7109375" style="394" customWidth="1"/>
    <col min="5639" max="5639" width="28" style="394" customWidth="1"/>
    <col min="5640" max="5640" width="33.42578125" style="394" customWidth="1"/>
    <col min="5641" max="5641" width="19.7109375" style="394" customWidth="1"/>
    <col min="5642" max="5645" width="13.85546875" style="394" customWidth="1"/>
    <col min="5646" max="5646" width="12.28515625" style="394" customWidth="1"/>
    <col min="5647" max="5893" width="8.85546875" style="394"/>
    <col min="5894" max="5894" width="4.7109375" style="394" customWidth="1"/>
    <col min="5895" max="5895" width="28" style="394" customWidth="1"/>
    <col min="5896" max="5896" width="33.42578125" style="394" customWidth="1"/>
    <col min="5897" max="5897" width="19.7109375" style="394" customWidth="1"/>
    <col min="5898" max="5901" width="13.85546875" style="394" customWidth="1"/>
    <col min="5902" max="5902" width="12.28515625" style="394" customWidth="1"/>
    <col min="5903" max="6149" width="8.85546875" style="394"/>
    <col min="6150" max="6150" width="4.7109375" style="394" customWidth="1"/>
    <col min="6151" max="6151" width="28" style="394" customWidth="1"/>
    <col min="6152" max="6152" width="33.42578125" style="394" customWidth="1"/>
    <col min="6153" max="6153" width="19.7109375" style="394" customWidth="1"/>
    <col min="6154" max="6157" width="13.85546875" style="394" customWidth="1"/>
    <col min="6158" max="6158" width="12.28515625" style="394" customWidth="1"/>
    <col min="6159" max="6405" width="8.85546875" style="394"/>
    <col min="6406" max="6406" width="4.7109375" style="394" customWidth="1"/>
    <col min="6407" max="6407" width="28" style="394" customWidth="1"/>
    <col min="6408" max="6408" width="33.42578125" style="394" customWidth="1"/>
    <col min="6409" max="6409" width="19.7109375" style="394" customWidth="1"/>
    <col min="6410" max="6413" width="13.85546875" style="394" customWidth="1"/>
    <col min="6414" max="6414" width="12.28515625" style="394" customWidth="1"/>
    <col min="6415" max="6661" width="8.85546875" style="394"/>
    <col min="6662" max="6662" width="4.7109375" style="394" customWidth="1"/>
    <col min="6663" max="6663" width="28" style="394" customWidth="1"/>
    <col min="6664" max="6664" width="33.42578125" style="394" customWidth="1"/>
    <col min="6665" max="6665" width="19.7109375" style="394" customWidth="1"/>
    <col min="6666" max="6669" width="13.85546875" style="394" customWidth="1"/>
    <col min="6670" max="6670" width="12.28515625" style="394" customWidth="1"/>
    <col min="6671" max="6917" width="8.85546875" style="394"/>
    <col min="6918" max="6918" width="4.7109375" style="394" customWidth="1"/>
    <col min="6919" max="6919" width="28" style="394" customWidth="1"/>
    <col min="6920" max="6920" width="33.42578125" style="394" customWidth="1"/>
    <col min="6921" max="6921" width="19.7109375" style="394" customWidth="1"/>
    <col min="6922" max="6925" width="13.85546875" style="394" customWidth="1"/>
    <col min="6926" max="6926" width="12.28515625" style="394" customWidth="1"/>
    <col min="6927" max="7173" width="8.85546875" style="394"/>
    <col min="7174" max="7174" width="4.7109375" style="394" customWidth="1"/>
    <col min="7175" max="7175" width="28" style="394" customWidth="1"/>
    <col min="7176" max="7176" width="33.42578125" style="394" customWidth="1"/>
    <col min="7177" max="7177" width="19.7109375" style="394" customWidth="1"/>
    <col min="7178" max="7181" width="13.85546875" style="394" customWidth="1"/>
    <col min="7182" max="7182" width="12.28515625" style="394" customWidth="1"/>
    <col min="7183" max="7429" width="8.85546875" style="394"/>
    <col min="7430" max="7430" width="4.7109375" style="394" customWidth="1"/>
    <col min="7431" max="7431" width="28" style="394" customWidth="1"/>
    <col min="7432" max="7432" width="33.42578125" style="394" customWidth="1"/>
    <col min="7433" max="7433" width="19.7109375" style="394" customWidth="1"/>
    <col min="7434" max="7437" width="13.85546875" style="394" customWidth="1"/>
    <col min="7438" max="7438" width="12.28515625" style="394" customWidth="1"/>
    <col min="7439" max="7685" width="8.85546875" style="394"/>
    <col min="7686" max="7686" width="4.7109375" style="394" customWidth="1"/>
    <col min="7687" max="7687" width="28" style="394" customWidth="1"/>
    <col min="7688" max="7688" width="33.42578125" style="394" customWidth="1"/>
    <col min="7689" max="7689" width="19.7109375" style="394" customWidth="1"/>
    <col min="7690" max="7693" width="13.85546875" style="394" customWidth="1"/>
    <col min="7694" max="7694" width="12.28515625" style="394" customWidth="1"/>
    <col min="7695" max="7941" width="8.85546875" style="394"/>
    <col min="7942" max="7942" width="4.7109375" style="394" customWidth="1"/>
    <col min="7943" max="7943" width="28" style="394" customWidth="1"/>
    <col min="7944" max="7944" width="33.42578125" style="394" customWidth="1"/>
    <col min="7945" max="7945" width="19.7109375" style="394" customWidth="1"/>
    <col min="7946" max="7949" width="13.85546875" style="394" customWidth="1"/>
    <col min="7950" max="7950" width="12.28515625" style="394" customWidth="1"/>
    <col min="7951" max="8197" width="8.85546875" style="394"/>
    <col min="8198" max="8198" width="4.7109375" style="394" customWidth="1"/>
    <col min="8199" max="8199" width="28" style="394" customWidth="1"/>
    <col min="8200" max="8200" width="33.42578125" style="394" customWidth="1"/>
    <col min="8201" max="8201" width="19.7109375" style="394" customWidth="1"/>
    <col min="8202" max="8205" width="13.85546875" style="394" customWidth="1"/>
    <col min="8206" max="8206" width="12.28515625" style="394" customWidth="1"/>
    <col min="8207" max="8453" width="8.85546875" style="394"/>
    <col min="8454" max="8454" width="4.7109375" style="394" customWidth="1"/>
    <col min="8455" max="8455" width="28" style="394" customWidth="1"/>
    <col min="8456" max="8456" width="33.42578125" style="394" customWidth="1"/>
    <col min="8457" max="8457" width="19.7109375" style="394" customWidth="1"/>
    <col min="8458" max="8461" width="13.85546875" style="394" customWidth="1"/>
    <col min="8462" max="8462" width="12.28515625" style="394" customWidth="1"/>
    <col min="8463" max="8709" width="8.85546875" style="394"/>
    <col min="8710" max="8710" width="4.7109375" style="394" customWidth="1"/>
    <col min="8711" max="8711" width="28" style="394" customWidth="1"/>
    <col min="8712" max="8712" width="33.42578125" style="394" customWidth="1"/>
    <col min="8713" max="8713" width="19.7109375" style="394" customWidth="1"/>
    <col min="8714" max="8717" width="13.85546875" style="394" customWidth="1"/>
    <col min="8718" max="8718" width="12.28515625" style="394" customWidth="1"/>
    <col min="8719" max="8965" width="8.85546875" style="394"/>
    <col min="8966" max="8966" width="4.7109375" style="394" customWidth="1"/>
    <col min="8967" max="8967" width="28" style="394" customWidth="1"/>
    <col min="8968" max="8968" width="33.42578125" style="394" customWidth="1"/>
    <col min="8969" max="8969" width="19.7109375" style="394" customWidth="1"/>
    <col min="8970" max="8973" width="13.85546875" style="394" customWidth="1"/>
    <col min="8974" max="8974" width="12.28515625" style="394" customWidth="1"/>
    <col min="8975" max="9221" width="8.85546875" style="394"/>
    <col min="9222" max="9222" width="4.7109375" style="394" customWidth="1"/>
    <col min="9223" max="9223" width="28" style="394" customWidth="1"/>
    <col min="9224" max="9224" width="33.42578125" style="394" customWidth="1"/>
    <col min="9225" max="9225" width="19.7109375" style="394" customWidth="1"/>
    <col min="9226" max="9229" width="13.85546875" style="394" customWidth="1"/>
    <col min="9230" max="9230" width="12.28515625" style="394" customWidth="1"/>
    <col min="9231" max="9477" width="8.85546875" style="394"/>
    <col min="9478" max="9478" width="4.7109375" style="394" customWidth="1"/>
    <col min="9479" max="9479" width="28" style="394" customWidth="1"/>
    <col min="9480" max="9480" width="33.42578125" style="394" customWidth="1"/>
    <col min="9481" max="9481" width="19.7109375" style="394" customWidth="1"/>
    <col min="9482" max="9485" width="13.85546875" style="394" customWidth="1"/>
    <col min="9486" max="9486" width="12.28515625" style="394" customWidth="1"/>
    <col min="9487" max="9733" width="8.85546875" style="394"/>
    <col min="9734" max="9734" width="4.7109375" style="394" customWidth="1"/>
    <col min="9735" max="9735" width="28" style="394" customWidth="1"/>
    <col min="9736" max="9736" width="33.42578125" style="394" customWidth="1"/>
    <col min="9737" max="9737" width="19.7109375" style="394" customWidth="1"/>
    <col min="9738" max="9741" width="13.85546875" style="394" customWidth="1"/>
    <col min="9742" max="9742" width="12.28515625" style="394" customWidth="1"/>
    <col min="9743" max="9989" width="8.85546875" style="394"/>
    <col min="9990" max="9990" width="4.7109375" style="394" customWidth="1"/>
    <col min="9991" max="9991" width="28" style="394" customWidth="1"/>
    <col min="9992" max="9992" width="33.42578125" style="394" customWidth="1"/>
    <col min="9993" max="9993" width="19.7109375" style="394" customWidth="1"/>
    <col min="9994" max="9997" width="13.85546875" style="394" customWidth="1"/>
    <col min="9998" max="9998" width="12.28515625" style="394" customWidth="1"/>
    <col min="9999" max="10245" width="8.85546875" style="394"/>
    <col min="10246" max="10246" width="4.7109375" style="394" customWidth="1"/>
    <col min="10247" max="10247" width="28" style="394" customWidth="1"/>
    <col min="10248" max="10248" width="33.42578125" style="394" customWidth="1"/>
    <col min="10249" max="10249" width="19.7109375" style="394" customWidth="1"/>
    <col min="10250" max="10253" width="13.85546875" style="394" customWidth="1"/>
    <col min="10254" max="10254" width="12.28515625" style="394" customWidth="1"/>
    <col min="10255" max="10501" width="8.85546875" style="394"/>
    <col min="10502" max="10502" width="4.7109375" style="394" customWidth="1"/>
    <col min="10503" max="10503" width="28" style="394" customWidth="1"/>
    <col min="10504" max="10504" width="33.42578125" style="394" customWidth="1"/>
    <col min="10505" max="10505" width="19.7109375" style="394" customWidth="1"/>
    <col min="10506" max="10509" width="13.85546875" style="394" customWidth="1"/>
    <col min="10510" max="10510" width="12.28515625" style="394" customWidth="1"/>
    <col min="10511" max="10757" width="8.85546875" style="394"/>
    <col min="10758" max="10758" width="4.7109375" style="394" customWidth="1"/>
    <col min="10759" max="10759" width="28" style="394" customWidth="1"/>
    <col min="10760" max="10760" width="33.42578125" style="394" customWidth="1"/>
    <col min="10761" max="10761" width="19.7109375" style="394" customWidth="1"/>
    <col min="10762" max="10765" width="13.85546875" style="394" customWidth="1"/>
    <col min="10766" max="10766" width="12.28515625" style="394" customWidth="1"/>
    <col min="10767" max="11013" width="8.85546875" style="394"/>
    <col min="11014" max="11014" width="4.7109375" style="394" customWidth="1"/>
    <col min="11015" max="11015" width="28" style="394" customWidth="1"/>
    <col min="11016" max="11016" width="33.42578125" style="394" customWidth="1"/>
    <col min="11017" max="11017" width="19.7109375" style="394" customWidth="1"/>
    <col min="11018" max="11021" width="13.85546875" style="394" customWidth="1"/>
    <col min="11022" max="11022" width="12.28515625" style="394" customWidth="1"/>
    <col min="11023" max="11269" width="8.85546875" style="394"/>
    <col min="11270" max="11270" width="4.7109375" style="394" customWidth="1"/>
    <col min="11271" max="11271" width="28" style="394" customWidth="1"/>
    <col min="11272" max="11272" width="33.42578125" style="394" customWidth="1"/>
    <col min="11273" max="11273" width="19.7109375" style="394" customWidth="1"/>
    <col min="11274" max="11277" width="13.85546875" style="394" customWidth="1"/>
    <col min="11278" max="11278" width="12.28515625" style="394" customWidth="1"/>
    <col min="11279" max="11525" width="8.85546875" style="394"/>
    <col min="11526" max="11526" width="4.7109375" style="394" customWidth="1"/>
    <col min="11527" max="11527" width="28" style="394" customWidth="1"/>
    <col min="11528" max="11528" width="33.42578125" style="394" customWidth="1"/>
    <col min="11529" max="11529" width="19.7109375" style="394" customWidth="1"/>
    <col min="11530" max="11533" width="13.85546875" style="394" customWidth="1"/>
    <col min="11534" max="11534" width="12.28515625" style="394" customWidth="1"/>
    <col min="11535" max="11781" width="8.85546875" style="394"/>
    <col min="11782" max="11782" width="4.7109375" style="394" customWidth="1"/>
    <col min="11783" max="11783" width="28" style="394" customWidth="1"/>
    <col min="11784" max="11784" width="33.42578125" style="394" customWidth="1"/>
    <col min="11785" max="11785" width="19.7109375" style="394" customWidth="1"/>
    <col min="11786" max="11789" width="13.85546875" style="394" customWidth="1"/>
    <col min="11790" max="11790" width="12.28515625" style="394" customWidth="1"/>
    <col min="11791" max="12037" width="8.85546875" style="394"/>
    <col min="12038" max="12038" width="4.7109375" style="394" customWidth="1"/>
    <col min="12039" max="12039" width="28" style="394" customWidth="1"/>
    <col min="12040" max="12040" width="33.42578125" style="394" customWidth="1"/>
    <col min="12041" max="12041" width="19.7109375" style="394" customWidth="1"/>
    <col min="12042" max="12045" width="13.85546875" style="394" customWidth="1"/>
    <col min="12046" max="12046" width="12.28515625" style="394" customWidth="1"/>
    <col min="12047" max="12293" width="8.85546875" style="394"/>
    <col min="12294" max="12294" width="4.7109375" style="394" customWidth="1"/>
    <col min="12295" max="12295" width="28" style="394" customWidth="1"/>
    <col min="12296" max="12296" width="33.42578125" style="394" customWidth="1"/>
    <col min="12297" max="12297" width="19.7109375" style="394" customWidth="1"/>
    <col min="12298" max="12301" width="13.85546875" style="394" customWidth="1"/>
    <col min="12302" max="12302" width="12.28515625" style="394" customWidth="1"/>
    <col min="12303" max="12549" width="8.85546875" style="394"/>
    <col min="12550" max="12550" width="4.7109375" style="394" customWidth="1"/>
    <col min="12551" max="12551" width="28" style="394" customWidth="1"/>
    <col min="12552" max="12552" width="33.42578125" style="394" customWidth="1"/>
    <col min="12553" max="12553" width="19.7109375" style="394" customWidth="1"/>
    <col min="12554" max="12557" width="13.85546875" style="394" customWidth="1"/>
    <col min="12558" max="12558" width="12.28515625" style="394" customWidth="1"/>
    <col min="12559" max="12805" width="8.85546875" style="394"/>
    <col min="12806" max="12806" width="4.7109375" style="394" customWidth="1"/>
    <col min="12807" max="12807" width="28" style="394" customWidth="1"/>
    <col min="12808" max="12808" width="33.42578125" style="394" customWidth="1"/>
    <col min="12809" max="12809" width="19.7109375" style="394" customWidth="1"/>
    <col min="12810" max="12813" width="13.85546875" style="394" customWidth="1"/>
    <col min="12814" max="12814" width="12.28515625" style="394" customWidth="1"/>
    <col min="12815" max="13061" width="8.85546875" style="394"/>
    <col min="13062" max="13062" width="4.7109375" style="394" customWidth="1"/>
    <col min="13063" max="13063" width="28" style="394" customWidth="1"/>
    <col min="13064" max="13064" width="33.42578125" style="394" customWidth="1"/>
    <col min="13065" max="13065" width="19.7109375" style="394" customWidth="1"/>
    <col min="13066" max="13069" width="13.85546875" style="394" customWidth="1"/>
    <col min="13070" max="13070" width="12.28515625" style="394" customWidth="1"/>
    <col min="13071" max="13317" width="8.85546875" style="394"/>
    <col min="13318" max="13318" width="4.7109375" style="394" customWidth="1"/>
    <col min="13319" max="13319" width="28" style="394" customWidth="1"/>
    <col min="13320" max="13320" width="33.42578125" style="394" customWidth="1"/>
    <col min="13321" max="13321" width="19.7109375" style="394" customWidth="1"/>
    <col min="13322" max="13325" width="13.85546875" style="394" customWidth="1"/>
    <col min="13326" max="13326" width="12.28515625" style="394" customWidth="1"/>
    <col min="13327" max="13573" width="8.85546875" style="394"/>
    <col min="13574" max="13574" width="4.7109375" style="394" customWidth="1"/>
    <col min="13575" max="13575" width="28" style="394" customWidth="1"/>
    <col min="13576" max="13576" width="33.42578125" style="394" customWidth="1"/>
    <col min="13577" max="13577" width="19.7109375" style="394" customWidth="1"/>
    <col min="13578" max="13581" width="13.85546875" style="394" customWidth="1"/>
    <col min="13582" max="13582" width="12.28515625" style="394" customWidth="1"/>
    <col min="13583" max="13829" width="8.85546875" style="394"/>
    <col min="13830" max="13830" width="4.7109375" style="394" customWidth="1"/>
    <col min="13831" max="13831" width="28" style="394" customWidth="1"/>
    <col min="13832" max="13832" width="33.42578125" style="394" customWidth="1"/>
    <col min="13833" max="13833" width="19.7109375" style="394" customWidth="1"/>
    <col min="13834" max="13837" width="13.85546875" style="394" customWidth="1"/>
    <col min="13838" max="13838" width="12.28515625" style="394" customWidth="1"/>
    <col min="13839" max="14085" width="8.85546875" style="394"/>
    <col min="14086" max="14086" width="4.7109375" style="394" customWidth="1"/>
    <col min="14087" max="14087" width="28" style="394" customWidth="1"/>
    <col min="14088" max="14088" width="33.42578125" style="394" customWidth="1"/>
    <col min="14089" max="14089" width="19.7109375" style="394" customWidth="1"/>
    <col min="14090" max="14093" width="13.85546875" style="394" customWidth="1"/>
    <col min="14094" max="14094" width="12.28515625" style="394" customWidth="1"/>
    <col min="14095" max="14341" width="8.85546875" style="394"/>
    <col min="14342" max="14342" width="4.7109375" style="394" customWidth="1"/>
    <col min="14343" max="14343" width="28" style="394" customWidth="1"/>
    <col min="14344" max="14344" width="33.42578125" style="394" customWidth="1"/>
    <col min="14345" max="14345" width="19.7109375" style="394" customWidth="1"/>
    <col min="14346" max="14349" width="13.85546875" style="394" customWidth="1"/>
    <col min="14350" max="14350" width="12.28515625" style="394" customWidth="1"/>
    <col min="14351" max="14597" width="8.85546875" style="394"/>
    <col min="14598" max="14598" width="4.7109375" style="394" customWidth="1"/>
    <col min="14599" max="14599" width="28" style="394" customWidth="1"/>
    <col min="14600" max="14600" width="33.42578125" style="394" customWidth="1"/>
    <col min="14601" max="14601" width="19.7109375" style="394" customWidth="1"/>
    <col min="14602" max="14605" width="13.85546875" style="394" customWidth="1"/>
    <col min="14606" max="14606" width="12.28515625" style="394" customWidth="1"/>
    <col min="14607" max="14853" width="8.85546875" style="394"/>
    <col min="14854" max="14854" width="4.7109375" style="394" customWidth="1"/>
    <col min="14855" max="14855" width="28" style="394" customWidth="1"/>
    <col min="14856" max="14856" width="33.42578125" style="394" customWidth="1"/>
    <col min="14857" max="14857" width="19.7109375" style="394" customWidth="1"/>
    <col min="14858" max="14861" width="13.85546875" style="394" customWidth="1"/>
    <col min="14862" max="14862" width="12.28515625" style="394" customWidth="1"/>
    <col min="14863" max="15109" width="8.85546875" style="394"/>
    <col min="15110" max="15110" width="4.7109375" style="394" customWidth="1"/>
    <col min="15111" max="15111" width="28" style="394" customWidth="1"/>
    <col min="15112" max="15112" width="33.42578125" style="394" customWidth="1"/>
    <col min="15113" max="15113" width="19.7109375" style="394" customWidth="1"/>
    <col min="15114" max="15117" width="13.85546875" style="394" customWidth="1"/>
    <col min="15118" max="15118" width="12.28515625" style="394" customWidth="1"/>
    <col min="15119" max="15365" width="8.85546875" style="394"/>
    <col min="15366" max="15366" width="4.7109375" style="394" customWidth="1"/>
    <col min="15367" max="15367" width="28" style="394" customWidth="1"/>
    <col min="15368" max="15368" width="33.42578125" style="394" customWidth="1"/>
    <col min="15369" max="15369" width="19.7109375" style="394" customWidth="1"/>
    <col min="15370" max="15373" width="13.85546875" style="394" customWidth="1"/>
    <col min="15374" max="15374" width="12.28515625" style="394" customWidth="1"/>
    <col min="15375" max="15621" width="8.85546875" style="394"/>
    <col min="15622" max="15622" width="4.7109375" style="394" customWidth="1"/>
    <col min="15623" max="15623" width="28" style="394" customWidth="1"/>
    <col min="15624" max="15624" width="33.42578125" style="394" customWidth="1"/>
    <col min="15625" max="15625" width="19.7109375" style="394" customWidth="1"/>
    <col min="15626" max="15629" width="13.85546875" style="394" customWidth="1"/>
    <col min="15630" max="15630" width="12.28515625" style="394" customWidth="1"/>
    <col min="15631" max="15877" width="8.85546875" style="394"/>
    <col min="15878" max="15878" width="4.7109375" style="394" customWidth="1"/>
    <col min="15879" max="15879" width="28" style="394" customWidth="1"/>
    <col min="15880" max="15880" width="33.42578125" style="394" customWidth="1"/>
    <col min="15881" max="15881" width="19.7109375" style="394" customWidth="1"/>
    <col min="15882" max="15885" width="13.85546875" style="394" customWidth="1"/>
    <col min="15886" max="15886" width="12.28515625" style="394" customWidth="1"/>
    <col min="15887" max="16133" width="8.85546875" style="394"/>
    <col min="16134" max="16134" width="4.7109375" style="394" customWidth="1"/>
    <col min="16135" max="16135" width="28" style="394" customWidth="1"/>
    <col min="16136" max="16136" width="33.42578125" style="394" customWidth="1"/>
    <col min="16137" max="16137" width="19.7109375" style="394" customWidth="1"/>
    <col min="16138" max="16141" width="13.85546875" style="394" customWidth="1"/>
    <col min="16142" max="16142" width="12.28515625" style="394" customWidth="1"/>
    <col min="16143" max="16143" width="8.85546875" style="394"/>
    <col min="16144" max="16384" width="9.140625" style="394"/>
  </cols>
  <sheetData>
    <row r="1" spans="1:15" ht="18.75" customHeight="1">
      <c r="A1" s="392"/>
    </row>
    <row r="2" spans="1:15" s="392" customFormat="1" ht="23.25" customHeight="1">
      <c r="A2" s="430" t="s">
        <v>79</v>
      </c>
      <c r="B2" s="427" t="s">
        <v>668</v>
      </c>
      <c r="C2" s="427" t="s">
        <v>669</v>
      </c>
      <c r="D2" s="427" t="s">
        <v>670</v>
      </c>
      <c r="E2" s="431" t="s">
        <v>878</v>
      </c>
      <c r="F2" s="433"/>
      <c r="G2" s="433"/>
      <c r="H2" s="433"/>
      <c r="I2" s="432"/>
      <c r="J2" s="430" t="s">
        <v>879</v>
      </c>
      <c r="K2" s="430"/>
      <c r="L2" s="430"/>
      <c r="M2" s="430"/>
      <c r="N2" s="427" t="s">
        <v>724</v>
      </c>
    </row>
    <row r="3" spans="1:15" ht="23.25" customHeight="1">
      <c r="A3" s="430"/>
      <c r="B3" s="428"/>
      <c r="C3" s="428"/>
      <c r="D3" s="428"/>
      <c r="E3" s="427" t="s">
        <v>671</v>
      </c>
      <c r="F3" s="431" t="s">
        <v>672</v>
      </c>
      <c r="G3" s="432"/>
      <c r="H3" s="427" t="s">
        <v>673</v>
      </c>
      <c r="I3" s="427" t="s">
        <v>1058</v>
      </c>
      <c r="J3" s="428" t="s">
        <v>671</v>
      </c>
      <c r="K3" s="428" t="s">
        <v>673</v>
      </c>
      <c r="L3" s="428" t="s">
        <v>1058</v>
      </c>
      <c r="M3" s="428" t="s">
        <v>1066</v>
      </c>
      <c r="N3" s="428"/>
    </row>
    <row r="4" spans="1:15" ht="32.25" customHeight="1">
      <c r="A4" s="430"/>
      <c r="B4" s="429"/>
      <c r="C4" s="429"/>
      <c r="D4" s="429"/>
      <c r="E4" s="429"/>
      <c r="F4" s="395" t="s">
        <v>884</v>
      </c>
      <c r="G4" s="395" t="s">
        <v>885</v>
      </c>
      <c r="H4" s="429"/>
      <c r="I4" s="429"/>
      <c r="J4" s="429"/>
      <c r="K4" s="429"/>
      <c r="L4" s="429"/>
      <c r="M4" s="429"/>
      <c r="N4" s="429"/>
    </row>
    <row r="5" spans="1:15" ht="40.5" customHeight="1">
      <c r="A5" s="408">
        <f>ROW()-4</f>
        <v>1</v>
      </c>
      <c r="B5" s="396"/>
      <c r="C5" s="397" t="s">
        <v>83</v>
      </c>
      <c r="D5" s="397"/>
      <c r="E5" s="398"/>
      <c r="F5" s="398">
        <f t="shared" ref="F5:F35" si="0">SUMIFS(TH,KHN,"2412",KHC,"331",KH,C5)</f>
        <v>0</v>
      </c>
      <c r="G5" s="398">
        <f t="array" ref="G5">SUM(IF("331"&amp;C5=KHC&amp;KH,TH))</f>
        <v>199400666</v>
      </c>
      <c r="H5" s="398">
        <f t="array" ref="H5">SUM(IF("331"&amp;C5=KHN&amp;KH,TH))</f>
        <v>199400666</v>
      </c>
      <c r="I5" s="398">
        <f>G5-H5</f>
        <v>0</v>
      </c>
      <c r="J5" s="398">
        <f>IF(E5&gt;G5,E5,G5)</f>
        <v>199400666</v>
      </c>
      <c r="K5" s="398">
        <f>H5</f>
        <v>199400666</v>
      </c>
      <c r="L5" s="398">
        <f>J5-K5</f>
        <v>0</v>
      </c>
      <c r="M5" s="398"/>
      <c r="N5" s="398">
        <f>IF(E5&gt;F5,E5,F5)</f>
        <v>0</v>
      </c>
      <c r="O5" s="399"/>
    </row>
    <row r="6" spans="1:15" ht="40.5" customHeight="1">
      <c r="A6" s="408">
        <f t="shared" ref="A6:A37" si="1">ROW()-4</f>
        <v>2</v>
      </c>
      <c r="B6" s="396" t="s">
        <v>382</v>
      </c>
      <c r="C6" s="397" t="s">
        <v>108</v>
      </c>
      <c r="D6" s="397" t="s">
        <v>674</v>
      </c>
      <c r="E6" s="398">
        <v>80000000</v>
      </c>
      <c r="F6" s="398">
        <f t="shared" si="0"/>
        <v>72727273</v>
      </c>
      <c r="G6" s="398">
        <f t="array" ref="G6">SUM(IF("331"&amp;C6=KHC&amp;KH,TH))</f>
        <v>80000000</v>
      </c>
      <c r="H6" s="398">
        <f t="array" ref="H6">SUM(IF("331"&amp;C6=KHN&amp;KH,TH))</f>
        <v>80000000</v>
      </c>
      <c r="I6" s="398">
        <f t="shared" ref="I6:I35" si="2">G6-H6</f>
        <v>0</v>
      </c>
      <c r="J6" s="398">
        <f t="shared" ref="J6:J21" si="3">IF(E6&gt;G6,E6,G6)</f>
        <v>80000000</v>
      </c>
      <c r="K6" s="398">
        <f t="shared" ref="K6:K21" si="4">H6</f>
        <v>80000000</v>
      </c>
      <c r="L6" s="398">
        <f t="shared" ref="L6:L35" si="5">J6-K6</f>
        <v>0</v>
      </c>
      <c r="M6" s="398"/>
      <c r="N6" s="398">
        <f t="shared" ref="N6:N37" si="6">IF(E6&gt;F6,E6,F6)</f>
        <v>80000000</v>
      </c>
      <c r="O6" s="399"/>
    </row>
    <row r="7" spans="1:15" ht="40.5" customHeight="1">
      <c r="A7" s="408">
        <f t="shared" si="1"/>
        <v>3</v>
      </c>
      <c r="B7" s="400" t="s">
        <v>675</v>
      </c>
      <c r="C7" s="401" t="s">
        <v>132</v>
      </c>
      <c r="D7" s="401" t="s">
        <v>676</v>
      </c>
      <c r="E7" s="402"/>
      <c r="F7" s="398">
        <f t="shared" si="0"/>
        <v>28000005</v>
      </c>
      <c r="G7" s="398">
        <f t="array" ref="G7">SUM(IF("331"&amp;C7=KHC&amp;KH,TH))</f>
        <v>30800005</v>
      </c>
      <c r="H7" s="398">
        <f t="array" ref="H7">SUM(IF("331"&amp;C7=KHN&amp;KH,TH))</f>
        <v>30800005</v>
      </c>
      <c r="I7" s="398">
        <f t="shared" si="2"/>
        <v>0</v>
      </c>
      <c r="J7" s="398">
        <f t="shared" si="3"/>
        <v>30800005</v>
      </c>
      <c r="K7" s="398">
        <f t="shared" si="4"/>
        <v>30800005</v>
      </c>
      <c r="L7" s="398">
        <f t="shared" si="5"/>
        <v>0</v>
      </c>
      <c r="M7" s="398"/>
      <c r="N7" s="398">
        <f t="shared" si="6"/>
        <v>28000005</v>
      </c>
      <c r="O7" s="399"/>
    </row>
    <row r="8" spans="1:15" ht="40.5" customHeight="1">
      <c r="A8" s="408">
        <f t="shared" si="1"/>
        <v>4</v>
      </c>
      <c r="B8" s="400" t="s">
        <v>702</v>
      </c>
      <c r="C8" s="401" t="s">
        <v>285</v>
      </c>
      <c r="D8" s="401" t="s">
        <v>703</v>
      </c>
      <c r="E8" s="402"/>
      <c r="F8" s="398">
        <f t="shared" si="0"/>
        <v>30440000</v>
      </c>
      <c r="G8" s="398">
        <f t="array" ref="G8">SUM(IF("331"&amp;C8=KHC&amp;KH,TH))</f>
        <v>30440000</v>
      </c>
      <c r="H8" s="398">
        <f t="array" ref="H8">SUM(IF("331"&amp;C8=KHN&amp;KH,TH))</f>
        <v>30440000</v>
      </c>
      <c r="I8" s="398">
        <f t="shared" si="2"/>
        <v>0</v>
      </c>
      <c r="J8" s="398">
        <f t="shared" si="3"/>
        <v>30440000</v>
      </c>
      <c r="K8" s="398">
        <f t="shared" si="4"/>
        <v>30440000</v>
      </c>
      <c r="L8" s="398">
        <f t="shared" si="5"/>
        <v>0</v>
      </c>
      <c r="M8" s="398"/>
      <c r="N8" s="398">
        <f t="shared" si="6"/>
        <v>30440000</v>
      </c>
      <c r="O8" s="399"/>
    </row>
    <row r="9" spans="1:15" ht="40.5" customHeight="1">
      <c r="A9" s="408">
        <f t="shared" si="1"/>
        <v>5</v>
      </c>
      <c r="B9" s="400"/>
      <c r="C9" s="401" t="s">
        <v>312</v>
      </c>
      <c r="D9" s="401" t="s">
        <v>886</v>
      </c>
      <c r="E9" s="402"/>
      <c r="F9" s="398">
        <f t="shared" si="0"/>
        <v>19645867</v>
      </c>
      <c r="G9" s="398">
        <f t="array" ref="G9">SUM(IF("331"&amp;C9=KHC&amp;KH,TH))</f>
        <v>21610454</v>
      </c>
      <c r="H9" s="398">
        <f t="array" ref="H9">SUM(IF("331"&amp;C9=KHN&amp;KH,TH))</f>
        <v>21610454</v>
      </c>
      <c r="I9" s="398">
        <f t="shared" si="2"/>
        <v>0</v>
      </c>
      <c r="J9" s="398">
        <f t="shared" si="3"/>
        <v>21610454</v>
      </c>
      <c r="K9" s="398">
        <f t="shared" si="4"/>
        <v>21610454</v>
      </c>
      <c r="L9" s="398">
        <f t="shared" si="5"/>
        <v>0</v>
      </c>
      <c r="M9" s="398"/>
      <c r="N9" s="398">
        <f t="shared" si="6"/>
        <v>19645867</v>
      </c>
      <c r="O9" s="399"/>
    </row>
    <row r="10" spans="1:15" ht="40.5" customHeight="1">
      <c r="A10" s="408">
        <f t="shared" si="1"/>
        <v>6</v>
      </c>
      <c r="B10" s="400"/>
      <c r="C10" s="401" t="s">
        <v>441</v>
      </c>
      <c r="D10" s="401" t="s">
        <v>439</v>
      </c>
      <c r="E10" s="402"/>
      <c r="F10" s="398">
        <f t="shared" si="0"/>
        <v>30000000</v>
      </c>
      <c r="G10" s="398">
        <f t="array" ref="G10">SUM(IF("331"&amp;C10=KHC&amp;KH,TH))</f>
        <v>33000000</v>
      </c>
      <c r="H10" s="398">
        <f t="array" ref="H10">SUM(IF("331"&amp;C10=KHN&amp;KH,TH))</f>
        <v>33000000</v>
      </c>
      <c r="I10" s="398">
        <f t="shared" si="2"/>
        <v>0</v>
      </c>
      <c r="J10" s="398">
        <f t="shared" si="3"/>
        <v>33000000</v>
      </c>
      <c r="K10" s="398">
        <f t="shared" si="4"/>
        <v>33000000</v>
      </c>
      <c r="L10" s="398">
        <f t="shared" si="5"/>
        <v>0</v>
      </c>
      <c r="M10" s="398"/>
      <c r="N10" s="398">
        <f t="shared" si="6"/>
        <v>30000000</v>
      </c>
      <c r="O10" s="399"/>
    </row>
    <row r="11" spans="1:15" ht="40.5" customHeight="1">
      <c r="A11" s="408">
        <f t="shared" si="1"/>
        <v>7</v>
      </c>
      <c r="B11" s="400" t="s">
        <v>385</v>
      </c>
      <c r="C11" s="401" t="s">
        <v>129</v>
      </c>
      <c r="D11" s="401" t="s">
        <v>677</v>
      </c>
      <c r="E11" s="402">
        <v>16327199</v>
      </c>
      <c r="F11" s="398">
        <f t="shared" si="0"/>
        <v>14842908</v>
      </c>
      <c r="G11" s="398">
        <f t="array" ref="G11">SUM(IF("331"&amp;C11=KHC&amp;KH,TH))</f>
        <v>16327199</v>
      </c>
      <c r="H11" s="398">
        <f t="array" ref="H11">SUM(IF("331"&amp;C11=KHN&amp;KH,TH))</f>
        <v>16327199</v>
      </c>
      <c r="I11" s="398">
        <f t="shared" si="2"/>
        <v>0</v>
      </c>
      <c r="J11" s="398">
        <f t="shared" si="3"/>
        <v>16327199</v>
      </c>
      <c r="K11" s="398">
        <f t="shared" si="4"/>
        <v>16327199</v>
      </c>
      <c r="L11" s="398">
        <f t="shared" si="5"/>
        <v>0</v>
      </c>
      <c r="M11" s="398"/>
      <c r="N11" s="398">
        <f t="shared" si="6"/>
        <v>16327199</v>
      </c>
      <c r="O11" s="399"/>
    </row>
    <row r="12" spans="1:15" ht="40.5" customHeight="1">
      <c r="A12" s="408">
        <f t="shared" si="1"/>
        <v>8</v>
      </c>
      <c r="B12" s="400" t="s">
        <v>678</v>
      </c>
      <c r="C12" s="401" t="s">
        <v>89</v>
      </c>
      <c r="D12" s="401" t="s">
        <v>679</v>
      </c>
      <c r="E12" s="402">
        <f>1262599800+324737600</f>
        <v>1587337400</v>
      </c>
      <c r="F12" s="398">
        <f t="shared" si="0"/>
        <v>1443034000</v>
      </c>
      <c r="G12" s="398">
        <f t="array" ref="G12">SUM(IF("331"&amp;C12=KHC&amp;KH,TH))</f>
        <v>1587337400</v>
      </c>
      <c r="H12" s="398">
        <f t="array" ref="H12">SUM(IF("331"&amp;C12=KHN&amp;KH,TH))</f>
        <v>1587337400</v>
      </c>
      <c r="I12" s="398">
        <f t="shared" si="2"/>
        <v>0</v>
      </c>
      <c r="J12" s="398">
        <f t="shared" si="3"/>
        <v>1587337400</v>
      </c>
      <c r="K12" s="398">
        <f t="shared" si="4"/>
        <v>1587337400</v>
      </c>
      <c r="L12" s="398">
        <f t="shared" si="5"/>
        <v>0</v>
      </c>
      <c r="M12" s="398"/>
      <c r="N12" s="398">
        <f t="shared" si="6"/>
        <v>1587337400</v>
      </c>
      <c r="O12" s="399"/>
    </row>
    <row r="13" spans="1:15" ht="40.5" customHeight="1">
      <c r="A13" s="408">
        <f t="shared" si="1"/>
        <v>9</v>
      </c>
      <c r="B13" s="400" t="s">
        <v>388</v>
      </c>
      <c r="C13" s="401" t="s">
        <v>91</v>
      </c>
      <c r="D13" s="401" t="s">
        <v>680</v>
      </c>
      <c r="E13" s="402">
        <v>230800000</v>
      </c>
      <c r="F13" s="398">
        <f t="shared" si="0"/>
        <v>262727273</v>
      </c>
      <c r="G13" s="398">
        <f t="array" ref="G13">SUM(IF("331"&amp;C13=KHC&amp;KH,TH))</f>
        <v>289000000</v>
      </c>
      <c r="H13" s="398">
        <f t="array" ref="H13">SUM(IF("331"&amp;C13=KHN&amp;KH,TH))</f>
        <v>289000000</v>
      </c>
      <c r="I13" s="398">
        <f t="shared" si="2"/>
        <v>0</v>
      </c>
      <c r="J13" s="398">
        <f t="shared" si="3"/>
        <v>289000000</v>
      </c>
      <c r="K13" s="398">
        <f t="shared" si="4"/>
        <v>289000000</v>
      </c>
      <c r="L13" s="398">
        <f t="shared" si="5"/>
        <v>0</v>
      </c>
      <c r="M13" s="398"/>
      <c r="N13" s="398">
        <f t="shared" si="6"/>
        <v>262727273</v>
      </c>
      <c r="O13" s="399"/>
    </row>
    <row r="14" spans="1:15" ht="40.5" customHeight="1">
      <c r="A14" s="408">
        <f>ROW()-4</f>
        <v>10</v>
      </c>
      <c r="B14" s="400" t="s">
        <v>708</v>
      </c>
      <c r="C14" s="401" t="s">
        <v>305</v>
      </c>
      <c r="D14" s="401" t="s">
        <v>709</v>
      </c>
      <c r="E14" s="402">
        <v>150126466</v>
      </c>
      <c r="F14" s="398">
        <f t="shared" si="0"/>
        <v>136478605</v>
      </c>
      <c r="G14" s="398">
        <f t="array" ref="G14">SUM(IF("331"&amp;C14=KHC&amp;KH,TH))</f>
        <v>150454066</v>
      </c>
      <c r="H14" s="398">
        <f t="array" ref="H14">SUM(IF("331"&amp;C14=KHN&amp;KH,TH))</f>
        <v>150454066</v>
      </c>
      <c r="I14" s="398">
        <f t="shared" si="2"/>
        <v>0</v>
      </c>
      <c r="J14" s="398">
        <f t="shared" si="3"/>
        <v>150454066</v>
      </c>
      <c r="K14" s="398">
        <f t="shared" si="4"/>
        <v>150454066</v>
      </c>
      <c r="L14" s="398">
        <f t="shared" si="5"/>
        <v>0</v>
      </c>
      <c r="M14" s="398"/>
      <c r="N14" s="398">
        <f t="shared" si="6"/>
        <v>150126466</v>
      </c>
      <c r="O14" s="399"/>
    </row>
    <row r="15" spans="1:15" ht="40.5" customHeight="1">
      <c r="A15" s="408">
        <f t="shared" si="1"/>
        <v>11</v>
      </c>
      <c r="B15" s="400" t="s">
        <v>704</v>
      </c>
      <c r="C15" s="401" t="s">
        <v>357</v>
      </c>
      <c r="D15" s="401" t="s">
        <v>705</v>
      </c>
      <c r="E15" s="402"/>
      <c r="F15" s="398">
        <f t="shared" si="0"/>
        <v>48236364</v>
      </c>
      <c r="G15" s="398">
        <f t="array" ref="G15">SUM(IF("331"&amp;C15=KHC&amp;KH,TH))</f>
        <v>53060000</v>
      </c>
      <c r="H15" s="398">
        <f t="array" ref="H15">SUM(IF("331"&amp;C15=KHN&amp;KH,TH))</f>
        <v>53060000</v>
      </c>
      <c r="I15" s="398">
        <f t="shared" si="2"/>
        <v>0</v>
      </c>
      <c r="J15" s="398">
        <f t="shared" si="3"/>
        <v>53060000</v>
      </c>
      <c r="K15" s="398">
        <f t="shared" si="4"/>
        <v>53060000</v>
      </c>
      <c r="L15" s="398">
        <f t="shared" si="5"/>
        <v>0</v>
      </c>
      <c r="M15" s="398"/>
      <c r="N15" s="398">
        <f t="shared" si="6"/>
        <v>48236364</v>
      </c>
      <c r="O15" s="399"/>
    </row>
    <row r="16" spans="1:15" ht="40.5" customHeight="1">
      <c r="A16" s="408">
        <f t="shared" si="1"/>
        <v>12</v>
      </c>
      <c r="B16" s="400"/>
      <c r="C16" s="401" t="s">
        <v>90</v>
      </c>
      <c r="D16" s="401"/>
      <c r="E16" s="402"/>
      <c r="F16" s="398">
        <f t="shared" si="0"/>
        <v>0</v>
      </c>
      <c r="G16" s="398">
        <f t="array" ref="G16">SUM(IF("331"&amp;C16=KHC&amp;KH,TH))</f>
        <v>0</v>
      </c>
      <c r="H16" s="398">
        <f t="array" ref="H16">SUM(IF("331"&amp;C16=KHN&amp;KH,TH))</f>
        <v>60000000</v>
      </c>
      <c r="I16" s="398">
        <f t="shared" si="2"/>
        <v>-60000000</v>
      </c>
      <c r="J16" s="398">
        <f t="shared" si="3"/>
        <v>0</v>
      </c>
      <c r="K16" s="398">
        <f t="shared" si="4"/>
        <v>60000000</v>
      </c>
      <c r="L16" s="398">
        <f t="shared" si="5"/>
        <v>-60000000</v>
      </c>
      <c r="M16" s="398"/>
      <c r="N16" s="398">
        <f t="shared" si="6"/>
        <v>0</v>
      </c>
      <c r="O16" s="399"/>
    </row>
    <row r="17" spans="1:15" ht="40.5" customHeight="1">
      <c r="A17" s="408">
        <f t="shared" si="1"/>
        <v>13</v>
      </c>
      <c r="B17" s="400" t="s">
        <v>713</v>
      </c>
      <c r="C17" s="403" t="s">
        <v>86</v>
      </c>
      <c r="D17" s="401" t="s">
        <v>877</v>
      </c>
      <c r="E17" s="402">
        <f>60500000+428000000</f>
        <v>488500000</v>
      </c>
      <c r="F17" s="398">
        <f t="shared" si="0"/>
        <v>55000000</v>
      </c>
      <c r="G17" s="398">
        <f t="array" ref="G17">SUM(IF("331"&amp;C17=KHC&amp;KH,TH))</f>
        <v>60500000</v>
      </c>
      <c r="H17" s="398">
        <f t="array" ref="H17">SUM(IF("331"&amp;C17=KHN&amp;KH,TH))</f>
        <v>188900000</v>
      </c>
      <c r="I17" s="398">
        <f t="shared" si="2"/>
        <v>-128400000</v>
      </c>
      <c r="J17" s="398">
        <f t="shared" si="3"/>
        <v>488500000</v>
      </c>
      <c r="K17" s="398">
        <f t="shared" si="4"/>
        <v>188900000</v>
      </c>
      <c r="L17" s="398">
        <f t="shared" si="5"/>
        <v>299600000</v>
      </c>
      <c r="M17" s="398"/>
      <c r="N17" s="398">
        <f t="shared" si="6"/>
        <v>488500000</v>
      </c>
      <c r="O17" s="399"/>
    </row>
    <row r="18" spans="1:15" ht="40.5" customHeight="1">
      <c r="A18" s="408">
        <f t="shared" si="1"/>
        <v>14</v>
      </c>
      <c r="B18" s="400" t="s">
        <v>681</v>
      </c>
      <c r="C18" s="401" t="s">
        <v>109</v>
      </c>
      <c r="D18" s="401" t="s">
        <v>682</v>
      </c>
      <c r="E18" s="402">
        <v>200000000</v>
      </c>
      <c r="F18" s="398">
        <f t="shared" si="0"/>
        <v>0</v>
      </c>
      <c r="G18" s="398">
        <f t="array" ref="G18">SUM(IF("331"&amp;C18=KHC&amp;KH,TH))</f>
        <v>0</v>
      </c>
      <c r="H18" s="398">
        <f t="array" ref="H18">SUM(IF("331"&amp;C18=KHN&amp;KH,TH))</f>
        <v>150000000</v>
      </c>
      <c r="I18" s="398">
        <f t="shared" si="2"/>
        <v>-150000000</v>
      </c>
      <c r="J18" s="398">
        <f>IF(E18&gt;G18,E18,G18)</f>
        <v>200000000</v>
      </c>
      <c r="K18" s="398">
        <f t="shared" si="4"/>
        <v>150000000</v>
      </c>
      <c r="L18" s="398">
        <f t="shared" si="5"/>
        <v>50000000</v>
      </c>
      <c r="M18" s="398"/>
      <c r="N18" s="398">
        <f t="shared" si="6"/>
        <v>200000000</v>
      </c>
      <c r="O18" s="399"/>
    </row>
    <row r="19" spans="1:15" ht="40.5" customHeight="1">
      <c r="A19" s="408">
        <f t="shared" si="1"/>
        <v>15</v>
      </c>
      <c r="B19" s="400" t="s">
        <v>401</v>
      </c>
      <c r="C19" s="401" t="s">
        <v>300</v>
      </c>
      <c r="D19" s="401" t="s">
        <v>875</v>
      </c>
      <c r="E19" s="402">
        <f>226999800+866000000</f>
        <v>1092999800</v>
      </c>
      <c r="F19" s="398">
        <f t="shared" si="0"/>
        <v>875917018</v>
      </c>
      <c r="G19" s="398">
        <f t="array" ref="G19">SUM(IF("331"&amp;C19=KHC&amp;KH,TH))</f>
        <v>963508720</v>
      </c>
      <c r="H19" s="398">
        <f t="array" ref="H19">SUM(IF("331"&amp;C19=KHN&amp;KH,TH))</f>
        <v>871216820</v>
      </c>
      <c r="I19" s="398">
        <f t="shared" si="2"/>
        <v>92291900</v>
      </c>
      <c r="J19" s="398">
        <f>G19</f>
        <v>963508720</v>
      </c>
      <c r="K19" s="398">
        <f t="shared" si="4"/>
        <v>871216820</v>
      </c>
      <c r="L19" s="398">
        <f t="shared" si="5"/>
        <v>92291900</v>
      </c>
      <c r="M19" s="398"/>
      <c r="N19" s="398">
        <f t="shared" si="6"/>
        <v>1092999800</v>
      </c>
      <c r="O19" s="399"/>
    </row>
    <row r="20" spans="1:15" ht="40.5" customHeight="1">
      <c r="A20" s="408">
        <f t="shared" si="1"/>
        <v>16</v>
      </c>
      <c r="B20" s="400" t="s">
        <v>700</v>
      </c>
      <c r="C20" s="401" t="s">
        <v>302</v>
      </c>
      <c r="D20" s="401" t="s">
        <v>701</v>
      </c>
      <c r="E20" s="402">
        <v>570000000</v>
      </c>
      <c r="F20" s="398">
        <f t="shared" si="0"/>
        <v>362727273</v>
      </c>
      <c r="G20" s="398">
        <f t="array" ref="G20">SUM(IF("331"&amp;C20=KHC&amp;KH,TH))</f>
        <v>399000000</v>
      </c>
      <c r="H20" s="398">
        <f t="array" ref="H20">SUM(IF("331"&amp;C20=KHN&amp;KH,TH))</f>
        <v>399000000</v>
      </c>
      <c r="I20" s="398">
        <f t="shared" si="2"/>
        <v>0</v>
      </c>
      <c r="J20" s="398">
        <f t="shared" si="3"/>
        <v>570000000</v>
      </c>
      <c r="K20" s="398">
        <f t="shared" si="4"/>
        <v>399000000</v>
      </c>
      <c r="L20" s="398">
        <f t="shared" si="5"/>
        <v>171000000</v>
      </c>
      <c r="M20" s="398"/>
      <c r="N20" s="398">
        <f t="shared" si="6"/>
        <v>570000000</v>
      </c>
      <c r="O20" s="399"/>
    </row>
    <row r="21" spans="1:15" ht="40.5" customHeight="1">
      <c r="A21" s="408">
        <f t="shared" si="1"/>
        <v>17</v>
      </c>
      <c r="B21" s="400" t="s">
        <v>711</v>
      </c>
      <c r="C21" s="401" t="s">
        <v>481</v>
      </c>
      <c r="D21" s="401" t="s">
        <v>712</v>
      </c>
      <c r="E21" s="402">
        <v>599632000</v>
      </c>
      <c r="F21" s="398">
        <f t="shared" si="0"/>
        <v>545120000</v>
      </c>
      <c r="G21" s="398">
        <f t="array" ref="G21">SUM(IF("331"&amp;C21=KHC&amp;KH,TH))</f>
        <v>599632000</v>
      </c>
      <c r="H21" s="398">
        <f t="array" ref="H21">SUM(IF("331"&amp;C21=KHN&amp;KH,TH))</f>
        <v>400000000</v>
      </c>
      <c r="I21" s="398">
        <f t="shared" si="2"/>
        <v>199632000</v>
      </c>
      <c r="J21" s="398">
        <f t="shared" si="3"/>
        <v>599632000</v>
      </c>
      <c r="K21" s="398">
        <f t="shared" si="4"/>
        <v>400000000</v>
      </c>
      <c r="L21" s="398">
        <f t="shared" si="5"/>
        <v>199632000</v>
      </c>
      <c r="M21" s="398"/>
      <c r="N21" s="398">
        <f t="shared" si="6"/>
        <v>599632000</v>
      </c>
      <c r="O21" s="399"/>
    </row>
    <row r="22" spans="1:15" ht="40.5" customHeight="1">
      <c r="A22" s="408">
        <f t="shared" si="1"/>
        <v>18</v>
      </c>
      <c r="B22" s="400" t="s">
        <v>683</v>
      </c>
      <c r="C22" s="401" t="s">
        <v>85</v>
      </c>
      <c r="D22" s="401" t="s">
        <v>684</v>
      </c>
      <c r="E22" s="402">
        <v>11322555140</v>
      </c>
      <c r="F22" s="398">
        <f t="shared" si="0"/>
        <v>7727272727</v>
      </c>
      <c r="G22" s="398">
        <f t="array" ref="G22">SUM(IF("331"&amp;C22=KHC&amp;KH,TH))</f>
        <v>8500000000</v>
      </c>
      <c r="H22" s="398">
        <f t="array" ref="H22">SUM(IF("331"&amp;C22=KHN&amp;KH,TH))</f>
        <v>8850000000</v>
      </c>
      <c r="I22" s="398">
        <f t="shared" si="2"/>
        <v>-350000000</v>
      </c>
      <c r="J22" s="398">
        <v>11322555140</v>
      </c>
      <c r="K22" s="398">
        <f>'TH - TT'!$I$125</f>
        <v>9058500000</v>
      </c>
      <c r="L22" s="398">
        <f t="shared" si="5"/>
        <v>2264055140</v>
      </c>
      <c r="M22" s="398"/>
      <c r="N22" s="398">
        <f t="shared" si="6"/>
        <v>11322555140</v>
      </c>
      <c r="O22" s="399"/>
    </row>
    <row r="23" spans="1:15" ht="40.5" customHeight="1">
      <c r="A23" s="408">
        <f t="shared" si="1"/>
        <v>19</v>
      </c>
      <c r="B23" s="400" t="s">
        <v>685</v>
      </c>
      <c r="C23" s="401" t="s">
        <v>111</v>
      </c>
      <c r="D23" s="401" t="s">
        <v>876</v>
      </c>
      <c r="E23" s="402">
        <f>2508700000+501400000</f>
        <v>3010100000</v>
      </c>
      <c r="F23" s="398">
        <f t="shared" si="0"/>
        <v>2736454546</v>
      </c>
      <c r="G23" s="398">
        <f t="array" ref="G23">SUM(IF("331"&amp;C23=KHC&amp;KH,TH))</f>
        <v>3010100000</v>
      </c>
      <c r="H23" s="398">
        <f t="array" ref="H23">SUM(IF("331"&amp;C23=KHN&amp;KH,TH))</f>
        <v>3010100000</v>
      </c>
      <c r="I23" s="398">
        <f t="shared" si="2"/>
        <v>0</v>
      </c>
      <c r="J23" s="398">
        <f>2248700000+76140000</f>
        <v>2324840000</v>
      </c>
      <c r="K23" s="398">
        <f>'TH - TT'!$I$140</f>
        <v>2212405000</v>
      </c>
      <c r="L23" s="398">
        <f t="shared" si="5"/>
        <v>112435000</v>
      </c>
      <c r="M23" s="398" t="s">
        <v>1067</v>
      </c>
      <c r="N23" s="398">
        <f t="shared" si="6"/>
        <v>3010100000</v>
      </c>
      <c r="O23" s="399"/>
    </row>
    <row r="24" spans="1:15" ht="40.5" customHeight="1">
      <c r="A24" s="519">
        <f t="shared" si="1"/>
        <v>20</v>
      </c>
      <c r="B24" s="400" t="s">
        <v>686</v>
      </c>
      <c r="C24" s="401" t="s">
        <v>138</v>
      </c>
      <c r="D24" s="401" t="s">
        <v>687</v>
      </c>
      <c r="E24" s="402">
        <v>3500000000</v>
      </c>
      <c r="F24" s="398">
        <f t="shared" si="0"/>
        <v>2000000000</v>
      </c>
      <c r="G24" s="398">
        <f t="array" ref="G24">SUM(IF("331"&amp;C24=KHC&amp;KH,TH))</f>
        <v>2200000000</v>
      </c>
      <c r="H24" s="398">
        <f t="array" ref="H24">SUM(IF("331"&amp;C24=KHN&amp;KH,TH))</f>
        <v>3200000000</v>
      </c>
      <c r="I24" s="398">
        <f t="shared" si="2"/>
        <v>-1000000000</v>
      </c>
      <c r="J24" s="398">
        <v>2910000000</v>
      </c>
      <c r="K24" s="398">
        <f>'TH - TT'!$I$151</f>
        <v>2500000000</v>
      </c>
      <c r="L24" s="398">
        <f t="shared" si="5"/>
        <v>410000000</v>
      </c>
      <c r="M24" s="398"/>
      <c r="N24" s="398">
        <f t="shared" si="6"/>
        <v>3500000000</v>
      </c>
      <c r="O24" s="399"/>
    </row>
    <row r="25" spans="1:15" ht="40.5" customHeight="1">
      <c r="A25" s="520">
        <f t="shared" si="1"/>
        <v>21</v>
      </c>
      <c r="B25" s="400" t="s">
        <v>397</v>
      </c>
      <c r="C25" s="401" t="s">
        <v>150</v>
      </c>
      <c r="D25" s="401" t="s">
        <v>688</v>
      </c>
      <c r="E25" s="402">
        <v>1858997690</v>
      </c>
      <c r="F25" s="398">
        <f t="shared" si="0"/>
        <v>1689997900</v>
      </c>
      <c r="G25" s="398">
        <f t="array" ref="G25">SUM(IF("331"&amp;C25=KHC&amp;KH,TH))</f>
        <v>1858997690</v>
      </c>
      <c r="H25" s="398">
        <f t="array" ref="H25">SUM(IF("331"&amp;C25=KHN&amp;KH,TH))</f>
        <v>360000000</v>
      </c>
      <c r="I25" s="398">
        <f t="shared" si="2"/>
        <v>1498997690</v>
      </c>
      <c r="J25" s="398">
        <v>1300000000</v>
      </c>
      <c r="K25" s="398">
        <f>'TH - TT'!I155</f>
        <v>360000000</v>
      </c>
      <c r="L25" s="398">
        <f t="shared" si="5"/>
        <v>940000000</v>
      </c>
      <c r="M25" s="398"/>
      <c r="N25" s="398">
        <f t="shared" si="6"/>
        <v>1858997690</v>
      </c>
      <c r="O25" s="399"/>
    </row>
    <row r="26" spans="1:15" ht="40.5" customHeight="1">
      <c r="A26" s="520">
        <f t="shared" si="1"/>
        <v>22</v>
      </c>
      <c r="B26" s="400" t="s">
        <v>406</v>
      </c>
      <c r="C26" s="403" t="s">
        <v>306</v>
      </c>
      <c r="D26" s="401" t="s">
        <v>689</v>
      </c>
      <c r="E26" s="402">
        <v>3652000000</v>
      </c>
      <c r="F26" s="398">
        <f t="shared" si="0"/>
        <v>0</v>
      </c>
      <c r="G26" s="398">
        <f t="array" ref="G26">SUM(IF("331"&amp;C26=KHC&amp;KH,TH))</f>
        <v>0</v>
      </c>
      <c r="H26" s="398">
        <f t="array" ref="H26">SUM(IF("331"&amp;C26=KHN&amp;KH,TH))</f>
        <v>1750000000</v>
      </c>
      <c r="I26" s="398">
        <f t="shared" si="2"/>
        <v>-1750000000</v>
      </c>
      <c r="J26" s="398">
        <v>2255000000</v>
      </c>
      <c r="K26" s="398">
        <f>'TH - TT'!I169</f>
        <v>1250000000</v>
      </c>
      <c r="L26" s="398">
        <f t="shared" si="5"/>
        <v>1005000000</v>
      </c>
      <c r="M26" s="398"/>
      <c r="N26" s="398">
        <f t="shared" si="6"/>
        <v>3652000000</v>
      </c>
      <c r="O26" s="399"/>
    </row>
    <row r="27" spans="1:15" ht="40.5" customHeight="1">
      <c r="A27" s="520">
        <f t="shared" si="1"/>
        <v>23</v>
      </c>
      <c r="B27" s="400" t="s">
        <v>690</v>
      </c>
      <c r="C27" s="401" t="s">
        <v>151</v>
      </c>
      <c r="D27" s="401" t="s">
        <v>691</v>
      </c>
      <c r="E27" s="402">
        <v>700150000</v>
      </c>
      <c r="F27" s="398">
        <f t="shared" si="0"/>
        <v>0</v>
      </c>
      <c r="G27" s="398">
        <f t="array" ref="G27">SUM(IF("331"&amp;C27=KHC&amp;KH,TH))</f>
        <v>0</v>
      </c>
      <c r="H27" s="398">
        <f t="array" ref="H27">SUM(IF("331"&amp;C27=KHN&amp;KH,TH))</f>
        <v>385195000</v>
      </c>
      <c r="I27" s="398">
        <f t="shared" si="2"/>
        <v>-385195000</v>
      </c>
      <c r="J27" s="398">
        <v>535150000</v>
      </c>
      <c r="K27" s="398">
        <f>'TH - TT'!I176</f>
        <v>385195000</v>
      </c>
      <c r="L27" s="398">
        <f t="shared" si="5"/>
        <v>149955000</v>
      </c>
      <c r="M27" s="398"/>
      <c r="N27" s="398">
        <f t="shared" si="6"/>
        <v>700150000</v>
      </c>
      <c r="O27" s="399"/>
    </row>
    <row r="28" spans="1:15" ht="40.5" customHeight="1">
      <c r="A28" s="520">
        <f t="shared" si="1"/>
        <v>24</v>
      </c>
      <c r="B28" s="400" t="s">
        <v>692</v>
      </c>
      <c r="C28" s="401" t="s">
        <v>152</v>
      </c>
      <c r="D28" s="401" t="s">
        <v>693</v>
      </c>
      <c r="E28" s="402">
        <v>394100000</v>
      </c>
      <c r="F28" s="398">
        <f t="shared" si="0"/>
        <v>0</v>
      </c>
      <c r="G28" s="398">
        <f t="array" ref="G28">SUM(IF("331"&amp;C28=KHC&amp;KH,TH))</f>
        <v>0</v>
      </c>
      <c r="H28" s="398">
        <f t="array" ref="H28">SUM(IF("331"&amp;C28=KHN&amp;KH,TH))</f>
        <v>100000000</v>
      </c>
      <c r="I28" s="398">
        <f t="shared" si="2"/>
        <v>-100000000</v>
      </c>
      <c r="J28" s="398">
        <v>298500000</v>
      </c>
      <c r="K28" s="398">
        <f>'TH - TT'!I180</f>
        <v>100000000</v>
      </c>
      <c r="L28" s="398">
        <f t="shared" si="5"/>
        <v>198500000</v>
      </c>
      <c r="M28" s="398"/>
      <c r="N28" s="398">
        <f t="shared" si="6"/>
        <v>394100000</v>
      </c>
      <c r="O28" s="399"/>
    </row>
    <row r="29" spans="1:15" ht="40.5" customHeight="1">
      <c r="A29" s="520">
        <f t="shared" si="1"/>
        <v>25</v>
      </c>
      <c r="B29" s="400" t="s">
        <v>694</v>
      </c>
      <c r="C29" s="401" t="s">
        <v>172</v>
      </c>
      <c r="D29" s="401" t="s">
        <v>695</v>
      </c>
      <c r="E29" s="402">
        <f>898744036+627830692</f>
        <v>1526574728</v>
      </c>
      <c r="F29" s="398">
        <f t="shared" si="0"/>
        <v>0</v>
      </c>
      <c r="G29" s="398">
        <f t="array" ref="G29">SUM(IF("331"&amp;C29=KHC&amp;KH,TH))</f>
        <v>0</v>
      </c>
      <c r="H29" s="398">
        <f t="array" ref="H29">SUM(IF("331"&amp;C29=KHN&amp;KH,TH))</f>
        <v>1050000000</v>
      </c>
      <c r="I29" s="398">
        <f t="shared" si="2"/>
        <v>-1050000000</v>
      </c>
      <c r="J29" s="398">
        <v>1201326457</v>
      </c>
      <c r="K29" s="398">
        <f>'TH - TT'!I190</f>
        <v>850000000</v>
      </c>
      <c r="L29" s="398">
        <f t="shared" si="5"/>
        <v>351326457</v>
      </c>
      <c r="M29" s="398"/>
      <c r="N29" s="398">
        <f t="shared" si="6"/>
        <v>1526574728</v>
      </c>
      <c r="O29" s="399"/>
    </row>
    <row r="30" spans="1:15" ht="40.5" customHeight="1">
      <c r="A30" s="520">
        <f t="shared" si="1"/>
        <v>26</v>
      </c>
      <c r="B30" s="400" t="s">
        <v>696</v>
      </c>
      <c r="C30" s="401" t="s">
        <v>190</v>
      </c>
      <c r="D30" s="401" t="s">
        <v>697</v>
      </c>
      <c r="E30" s="402">
        <v>893000000</v>
      </c>
      <c r="F30" s="398">
        <f t="shared" si="0"/>
        <v>1066480469</v>
      </c>
      <c r="G30" s="398">
        <f t="array" ref="G30">SUM(IF("331"&amp;C30=KHC&amp;KH,TH))</f>
        <v>1173128513</v>
      </c>
      <c r="H30" s="398">
        <f t="array" ref="H30">SUM(IF("331"&amp;C30=KHN&amp;KH,TH))</f>
        <v>1173128513</v>
      </c>
      <c r="I30" s="398">
        <f t="shared" si="2"/>
        <v>0</v>
      </c>
      <c r="J30" s="398">
        <f>'TH - TT'!H202</f>
        <v>1095640000</v>
      </c>
      <c r="K30" s="398">
        <f>'TH - TT'!I202</f>
        <v>1073128513</v>
      </c>
      <c r="L30" s="398">
        <f t="shared" si="5"/>
        <v>22511487</v>
      </c>
      <c r="M30" s="398"/>
      <c r="N30" s="398">
        <f t="shared" si="6"/>
        <v>1066480469</v>
      </c>
      <c r="O30" s="399"/>
    </row>
    <row r="31" spans="1:15" ht="40.5" customHeight="1">
      <c r="A31" s="520">
        <f t="shared" si="1"/>
        <v>27</v>
      </c>
      <c r="B31" s="400" t="s">
        <v>698</v>
      </c>
      <c r="C31" s="401" t="s">
        <v>269</v>
      </c>
      <c r="D31" s="401" t="s">
        <v>699</v>
      </c>
      <c r="E31" s="402">
        <v>1489950000</v>
      </c>
      <c r="F31" s="398">
        <f t="shared" si="0"/>
        <v>0</v>
      </c>
      <c r="G31" s="398">
        <f t="array" ref="G31">SUM(IF("331"&amp;C31=KHC&amp;KH,TH))</f>
        <v>0</v>
      </c>
      <c r="H31" s="398">
        <f t="array" ref="H31">SUM(IF("331"&amp;C31=KHN&amp;KH,TH))</f>
        <v>1600000000</v>
      </c>
      <c r="I31" s="398">
        <f t="shared" si="2"/>
        <v>-1600000000</v>
      </c>
      <c r="J31" s="398">
        <v>868450000</v>
      </c>
      <c r="K31" s="398">
        <f>'TH - TT'!I212</f>
        <v>800000000</v>
      </c>
      <c r="L31" s="398">
        <f t="shared" si="5"/>
        <v>68450000</v>
      </c>
      <c r="M31" s="398"/>
      <c r="N31" s="398">
        <f t="shared" si="6"/>
        <v>1489950000</v>
      </c>
      <c r="O31" s="399"/>
    </row>
    <row r="32" spans="1:15" ht="40.5" customHeight="1">
      <c r="A32" s="520">
        <f t="shared" si="1"/>
        <v>28</v>
      </c>
      <c r="B32" s="400" t="s">
        <v>706</v>
      </c>
      <c r="C32" s="401" t="s">
        <v>407</v>
      </c>
      <c r="D32" s="401" t="s">
        <v>707</v>
      </c>
      <c r="E32" s="402">
        <v>282530000</v>
      </c>
      <c r="F32" s="398">
        <f t="shared" si="0"/>
        <v>0</v>
      </c>
      <c r="G32" s="398">
        <f t="array" ref="G32">SUM(IF("331"&amp;C32=KHC&amp;KH,TH))</f>
        <v>0</v>
      </c>
      <c r="H32" s="398">
        <f t="array" ref="H32">SUM(IF("331"&amp;C32=KHN&amp;KH,TH))</f>
        <v>300000000</v>
      </c>
      <c r="I32" s="398">
        <f t="shared" si="2"/>
        <v>-300000000</v>
      </c>
      <c r="J32" s="398">
        <f>IF(E32&gt;G32,E32,G32)</f>
        <v>282530000</v>
      </c>
      <c r="K32" s="398">
        <f>'TH - TT'!I223</f>
        <v>310000000</v>
      </c>
      <c r="L32" s="398">
        <f t="shared" si="5"/>
        <v>-27470000</v>
      </c>
      <c r="M32" s="398"/>
      <c r="N32" s="398">
        <f>IF(E32&gt;F32,E32,F32)</f>
        <v>282530000</v>
      </c>
      <c r="O32" s="399"/>
    </row>
    <row r="33" spans="1:15" ht="40.5" customHeight="1">
      <c r="A33" s="396">
        <f t="shared" si="1"/>
        <v>29</v>
      </c>
      <c r="B33" s="400"/>
      <c r="C33" s="401" t="s">
        <v>602</v>
      </c>
      <c r="D33" s="401" t="s">
        <v>599</v>
      </c>
      <c r="E33" s="402"/>
      <c r="F33" s="398">
        <f t="shared" si="0"/>
        <v>68181818</v>
      </c>
      <c r="G33" s="398">
        <f t="array" ref="G33">SUM(IF("331"&amp;C33=KHC&amp;KH,TH))</f>
        <v>75000000</v>
      </c>
      <c r="H33" s="398">
        <f t="array" ref="H33">SUM(IF("331"&amp;C33=KHN&amp;KH,TH))</f>
        <v>75000000</v>
      </c>
      <c r="I33" s="398">
        <f t="shared" si="2"/>
        <v>0</v>
      </c>
      <c r="J33" s="398">
        <f t="shared" ref="J33:J35" si="7">IF(E33&gt;G33,E33,G33)</f>
        <v>75000000</v>
      </c>
      <c r="K33" s="398">
        <f>H33</f>
        <v>75000000</v>
      </c>
      <c r="L33" s="398">
        <f t="shared" si="5"/>
        <v>0</v>
      </c>
      <c r="M33" s="398"/>
      <c r="N33" s="398">
        <f t="shared" si="6"/>
        <v>68181818</v>
      </c>
      <c r="O33" s="399"/>
    </row>
    <row r="34" spans="1:15" ht="40.5" customHeight="1">
      <c r="A34" s="396">
        <f t="shared" si="1"/>
        <v>30</v>
      </c>
      <c r="B34" s="400"/>
      <c r="C34" s="401" t="s">
        <v>632</v>
      </c>
      <c r="D34" s="401" t="s">
        <v>880</v>
      </c>
      <c r="E34" s="402"/>
      <c r="F34" s="398">
        <f t="shared" si="0"/>
        <v>20382000</v>
      </c>
      <c r="G34" s="398">
        <f t="array" ref="G34">SUM(IF("331"&amp;C34=KHC&amp;KH,TH))</f>
        <v>20382000</v>
      </c>
      <c r="H34" s="398">
        <f t="array" ref="H34">SUM(IF("331"&amp;C34=KHN&amp;KH,TH))</f>
        <v>20382000</v>
      </c>
      <c r="I34" s="398">
        <f t="shared" si="2"/>
        <v>0</v>
      </c>
      <c r="J34" s="398">
        <f t="shared" si="7"/>
        <v>20382000</v>
      </c>
      <c r="K34" s="398">
        <f t="shared" ref="K34:K35" si="8">H34</f>
        <v>20382000</v>
      </c>
      <c r="L34" s="398">
        <f t="shared" si="5"/>
        <v>0</v>
      </c>
      <c r="M34" s="398"/>
      <c r="N34" s="398">
        <f t="shared" si="6"/>
        <v>20382000</v>
      </c>
      <c r="O34" s="399"/>
    </row>
    <row r="35" spans="1:15" ht="40.5" customHeight="1">
      <c r="A35" s="396">
        <f t="shared" si="1"/>
        <v>31</v>
      </c>
      <c r="B35" s="400"/>
      <c r="C35" s="401" t="s">
        <v>791</v>
      </c>
      <c r="D35" s="401" t="s">
        <v>881</v>
      </c>
      <c r="E35" s="402"/>
      <c r="F35" s="398">
        <f t="shared" si="0"/>
        <v>15221000</v>
      </c>
      <c r="G35" s="398">
        <f t="array" ref="G35">SUM(IF("331"&amp;C35=KHC&amp;KH,TH))</f>
        <v>16743100</v>
      </c>
      <c r="H35" s="398">
        <f t="array" ref="H35">SUM(IF("331"&amp;C35=KHN&amp;KH,TH))</f>
        <v>16743100</v>
      </c>
      <c r="I35" s="398">
        <f t="shared" si="2"/>
        <v>0</v>
      </c>
      <c r="J35" s="398">
        <f t="shared" si="7"/>
        <v>16743100</v>
      </c>
      <c r="K35" s="398">
        <f t="shared" si="8"/>
        <v>16743100</v>
      </c>
      <c r="L35" s="398">
        <f t="shared" si="5"/>
        <v>0</v>
      </c>
      <c r="M35" s="398"/>
      <c r="N35" s="398">
        <f t="shared" si="6"/>
        <v>15221000</v>
      </c>
      <c r="O35" s="399"/>
    </row>
    <row r="36" spans="1:15" ht="40.5" customHeight="1">
      <c r="A36" s="396">
        <f t="shared" si="1"/>
        <v>32</v>
      </c>
      <c r="B36" s="404"/>
      <c r="C36" s="401" t="s">
        <v>883</v>
      </c>
      <c r="D36" s="401"/>
      <c r="E36" s="402"/>
      <c r="F36" s="398">
        <f>SUMIFS(TH,KHN,"2412",KHC,"1111")</f>
        <v>815348876</v>
      </c>
      <c r="G36" s="398">
        <f>SUMIFS(TH,KHN,"2412",KHC,"1111")</f>
        <v>815348876</v>
      </c>
      <c r="H36" s="398">
        <f>$G$36</f>
        <v>815348876</v>
      </c>
      <c r="I36" s="398"/>
      <c r="J36" s="398">
        <f t="shared" ref="J36:K36" si="9">$G$36</f>
        <v>815348876</v>
      </c>
      <c r="K36" s="398">
        <f t="shared" si="9"/>
        <v>815348876</v>
      </c>
      <c r="L36" s="398"/>
      <c r="M36" s="398"/>
      <c r="N36" s="398">
        <f t="shared" si="6"/>
        <v>815348876</v>
      </c>
      <c r="O36" s="399"/>
    </row>
    <row r="37" spans="1:15" ht="40.5" customHeight="1">
      <c r="A37" s="396">
        <f t="shared" si="1"/>
        <v>33</v>
      </c>
      <c r="B37" s="404" t="s">
        <v>240</v>
      </c>
      <c r="C37" s="401" t="s">
        <v>882</v>
      </c>
      <c r="D37" s="401"/>
      <c r="E37" s="402"/>
      <c r="F37" s="398">
        <f t="array" ref="F37">SUM(IF(B37=KHN,TH))</f>
        <v>1532829404</v>
      </c>
      <c r="G37" s="398">
        <f t="array" ref="G37">SUM(IF(B37=KHN,TH))</f>
        <v>1532829404</v>
      </c>
      <c r="H37" s="398">
        <f>$G$37</f>
        <v>1532829404</v>
      </c>
      <c r="I37" s="398"/>
      <c r="J37" s="398">
        <f t="shared" ref="J37:K37" si="10">$G$37</f>
        <v>1532829404</v>
      </c>
      <c r="K37" s="398">
        <f t="shared" si="10"/>
        <v>1532829404</v>
      </c>
      <c r="L37" s="398"/>
      <c r="M37" s="398"/>
      <c r="N37" s="398">
        <f t="shared" si="6"/>
        <v>1532829404</v>
      </c>
      <c r="O37" s="399"/>
    </row>
    <row r="38" spans="1:15" ht="30" customHeight="1">
      <c r="A38" s="405"/>
      <c r="B38" s="400"/>
      <c r="C38" s="401"/>
      <c r="D38" s="401"/>
      <c r="E38" s="402"/>
      <c r="F38" s="402"/>
      <c r="G38" s="402"/>
      <c r="H38" s="398"/>
      <c r="I38" s="398"/>
      <c r="J38" s="398"/>
      <c r="K38" s="398"/>
      <c r="L38" s="398"/>
      <c r="M38" s="398"/>
      <c r="N38" s="398"/>
    </row>
    <row r="39" spans="1:15" ht="30" customHeight="1">
      <c r="A39" s="430" t="s">
        <v>710</v>
      </c>
      <c r="B39" s="430"/>
      <c r="C39" s="430"/>
      <c r="D39" s="430"/>
      <c r="E39" s="406">
        <f t="shared" ref="E39:L39" si="11">SUM(E5:E38)</f>
        <v>33645680423</v>
      </c>
      <c r="F39" s="406">
        <f t="shared" si="11"/>
        <v>21597065326</v>
      </c>
      <c r="G39" s="406">
        <f t="shared" si="11"/>
        <v>23716600093</v>
      </c>
      <c r="H39" s="406">
        <f t="shared" si="11"/>
        <v>28799273503</v>
      </c>
      <c r="I39" s="406">
        <f t="shared" si="11"/>
        <v>-5082673410</v>
      </c>
      <c r="J39" s="406">
        <f t="shared" si="11"/>
        <v>32167365487</v>
      </c>
      <c r="K39" s="406">
        <f t="shared" si="11"/>
        <v>25920078503</v>
      </c>
      <c r="L39" s="406">
        <f t="shared" si="11"/>
        <v>6247286984</v>
      </c>
      <c r="M39" s="406"/>
      <c r="N39" s="406">
        <f>SUM(N5:N38)</f>
        <v>36459373499</v>
      </c>
    </row>
    <row r="40" spans="1:15" ht="30" customHeight="1">
      <c r="F40" s="407">
        <f>CDPS!$E$18</f>
        <v>21597065326</v>
      </c>
      <c r="G40" s="407"/>
    </row>
    <row r="41" spans="1:15" ht="30" customHeight="1">
      <c r="F41" s="399">
        <f>F39-F40</f>
        <v>0</v>
      </c>
      <c r="G41" s="399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55"/>
  </sheetPr>
  <dimension ref="A1:M240"/>
  <sheetViews>
    <sheetView workbookViewId="0">
      <pane xSplit="8" ySplit="4" topLeftCell="I186" activePane="bottomRight" state="frozen"/>
      <selection pane="topRight" activeCell="G1" sqref="G1"/>
      <selection pane="bottomLeft" activeCell="A5" sqref="A5"/>
      <selection pane="bottomRight" activeCell="H194" sqref="H193:H194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66" t="str">
        <f ca="1">"CHI PHÍ XÂY DỰNG TRÀ VINH   " &amp; TEXT(NOW(),"dd/MM/yyyy")</f>
        <v>CHI PHÍ XÂY DỰNG TRÀ VINH   29/12/2015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305"/>
    </row>
    <row r="3" spans="1:12" s="145" customFormat="1" ht="19.5" customHeight="1">
      <c r="A3" s="467" t="s">
        <v>79</v>
      </c>
      <c r="B3" s="467" t="s">
        <v>360</v>
      </c>
      <c r="C3" s="467" t="s">
        <v>361</v>
      </c>
      <c r="D3" s="467" t="s">
        <v>362</v>
      </c>
      <c r="E3" s="468" t="s">
        <v>363</v>
      </c>
      <c r="F3" s="469"/>
      <c r="G3" s="470"/>
      <c r="H3" s="468" t="s">
        <v>364</v>
      </c>
      <c r="I3" s="470"/>
      <c r="J3" s="471" t="s">
        <v>365</v>
      </c>
      <c r="K3" s="467" t="s">
        <v>366</v>
      </c>
      <c r="L3" s="199"/>
    </row>
    <row r="4" spans="1:12" s="148" customFormat="1" ht="19.5" customHeight="1">
      <c r="A4" s="467"/>
      <c r="B4" s="467"/>
      <c r="C4" s="467"/>
      <c r="D4" s="467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2"/>
      <c r="K4" s="467"/>
      <c r="L4" s="306"/>
    </row>
    <row r="5" spans="1:12" s="148" customFormat="1" ht="19.5" customHeight="1">
      <c r="A5" s="435">
        <v>1</v>
      </c>
      <c r="B5" s="463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6"/>
    </row>
    <row r="6" spans="1:12" s="148" customFormat="1" ht="19.5" customHeight="1">
      <c r="A6" s="435"/>
      <c r="B6" s="464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6"/>
    </row>
    <row r="7" spans="1:12" s="153" customFormat="1" ht="17.25" customHeight="1">
      <c r="A7" s="435"/>
      <c r="B7" s="464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7"/>
    </row>
    <row r="8" spans="1:12" s="153" customFormat="1" ht="17.25" customHeight="1">
      <c r="A8" s="435"/>
      <c r="B8" s="464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7"/>
    </row>
    <row r="9" spans="1:12" s="153" customFormat="1" ht="17.25" customHeight="1">
      <c r="A9" s="435"/>
      <c r="B9" s="464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7"/>
    </row>
    <row r="10" spans="1:12" s="153" customFormat="1" ht="17.25" customHeight="1">
      <c r="A10" s="435"/>
      <c r="B10" s="464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7"/>
    </row>
    <row r="11" spans="1:12" s="153" customFormat="1" ht="17.25" customHeight="1">
      <c r="A11" s="435"/>
      <c r="B11" s="464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7"/>
    </row>
    <row r="12" spans="1:12" s="153" customFormat="1" ht="17.25" customHeight="1">
      <c r="A12" s="435"/>
      <c r="B12" s="464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7"/>
    </row>
    <row r="13" spans="1:12" s="153" customFormat="1" ht="17.25" customHeight="1">
      <c r="A13" s="435"/>
      <c r="B13" s="464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7"/>
    </row>
    <row r="14" spans="1:12" s="153" customFormat="1" ht="17.25" customHeight="1">
      <c r="A14" s="435"/>
      <c r="B14" s="464"/>
      <c r="C14" s="154"/>
      <c r="D14" s="155"/>
      <c r="E14" s="156"/>
      <c r="F14" s="156"/>
      <c r="G14" s="151"/>
      <c r="H14" s="156"/>
      <c r="I14" s="156"/>
      <c r="J14" s="155"/>
      <c r="K14" s="227"/>
      <c r="L14" s="307"/>
    </row>
    <row r="15" spans="1:12" s="153" customFormat="1" ht="17.25" customHeight="1">
      <c r="A15" s="435"/>
      <c r="B15" s="464"/>
      <c r="C15" s="154"/>
      <c r="D15" s="155"/>
      <c r="E15" s="156"/>
      <c r="F15" s="156"/>
      <c r="G15" s="151"/>
      <c r="H15" s="156"/>
      <c r="I15" s="156"/>
      <c r="J15" s="155"/>
      <c r="K15" s="157"/>
      <c r="L15" s="307"/>
    </row>
    <row r="16" spans="1:12" s="161" customFormat="1" ht="17.25" customHeight="1">
      <c r="A16" s="435"/>
      <c r="B16" s="464"/>
      <c r="C16" s="442" t="s">
        <v>94</v>
      </c>
      <c r="D16" s="443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4"/>
    </row>
    <row r="17" spans="1:12" s="161" customFormat="1" ht="17.25" customHeight="1">
      <c r="A17" s="435"/>
      <c r="B17" s="465"/>
      <c r="C17" s="442" t="s">
        <v>380</v>
      </c>
      <c r="D17" s="443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4"/>
    </row>
    <row r="18" spans="1:12" s="153" customFormat="1" ht="17.25" customHeight="1">
      <c r="A18" s="435">
        <v>2</v>
      </c>
      <c r="B18" s="435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7"/>
    </row>
    <row r="19" spans="1:12" s="161" customFormat="1" ht="17.25" customHeight="1">
      <c r="A19" s="435"/>
      <c r="B19" s="435"/>
      <c r="C19" s="442" t="s">
        <v>94</v>
      </c>
      <c r="D19" s="443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4"/>
    </row>
    <row r="20" spans="1:12" s="161" customFormat="1" ht="17.25" customHeight="1">
      <c r="A20" s="435"/>
      <c r="B20" s="435"/>
      <c r="C20" s="442" t="s">
        <v>380</v>
      </c>
      <c r="D20" s="443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4"/>
    </row>
    <row r="21" spans="1:12" s="153" customFormat="1" ht="17.25" customHeight="1">
      <c r="A21" s="435">
        <v>3</v>
      </c>
      <c r="B21" s="435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7"/>
    </row>
    <row r="22" spans="1:12" s="161" customFormat="1" ht="17.25" customHeight="1">
      <c r="A22" s="435"/>
      <c r="B22" s="435"/>
      <c r="C22" s="442" t="s">
        <v>94</v>
      </c>
      <c r="D22" s="443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4"/>
    </row>
    <row r="23" spans="1:12" s="161" customFormat="1" ht="17.25" customHeight="1">
      <c r="A23" s="435"/>
      <c r="B23" s="435"/>
      <c r="C23" s="442" t="s">
        <v>380</v>
      </c>
      <c r="D23" s="443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4"/>
    </row>
    <row r="24" spans="1:12" s="153" customFormat="1" ht="17.25" customHeight="1">
      <c r="A24" s="435">
        <v>4</v>
      </c>
      <c r="B24" s="435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7"/>
    </row>
    <row r="25" spans="1:12" s="161" customFormat="1" ht="17.25" customHeight="1">
      <c r="A25" s="435"/>
      <c r="B25" s="435"/>
      <c r="C25" s="442" t="s">
        <v>94</v>
      </c>
      <c r="D25" s="443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4"/>
    </row>
    <row r="26" spans="1:12" s="161" customFormat="1" ht="17.25" customHeight="1">
      <c r="A26" s="435"/>
      <c r="B26" s="435"/>
      <c r="C26" s="442" t="s">
        <v>380</v>
      </c>
      <c r="D26" s="443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4"/>
    </row>
    <row r="27" spans="1:12" s="153" customFormat="1" ht="18" customHeight="1">
      <c r="A27" s="435">
        <v>5</v>
      </c>
      <c r="B27" s="435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7"/>
    </row>
    <row r="28" spans="1:12" s="161" customFormat="1" ht="18" customHeight="1">
      <c r="A28" s="435"/>
      <c r="B28" s="435"/>
      <c r="C28" s="442" t="s">
        <v>94</v>
      </c>
      <c r="D28" s="443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4"/>
    </row>
    <row r="29" spans="1:12" s="161" customFormat="1" ht="18" customHeight="1">
      <c r="A29" s="435"/>
      <c r="B29" s="435"/>
      <c r="C29" s="442" t="s">
        <v>380</v>
      </c>
      <c r="D29" s="443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4"/>
    </row>
    <row r="30" spans="1:12" s="153" customFormat="1" ht="18" customHeight="1">
      <c r="A30" s="435">
        <v>6</v>
      </c>
      <c r="B30" s="435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7"/>
    </row>
    <row r="31" spans="1:12" s="161" customFormat="1" ht="18" customHeight="1">
      <c r="A31" s="435"/>
      <c r="B31" s="435"/>
      <c r="C31" s="442" t="s">
        <v>94</v>
      </c>
      <c r="D31" s="443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4"/>
    </row>
    <row r="32" spans="1:12" s="161" customFormat="1" ht="18" customHeight="1">
      <c r="A32" s="435"/>
      <c r="B32" s="435"/>
      <c r="C32" s="442" t="s">
        <v>380</v>
      </c>
      <c r="D32" s="443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4"/>
    </row>
    <row r="33" spans="1:12" s="153" customFormat="1" ht="18" customHeight="1">
      <c r="A33" s="435">
        <v>7</v>
      </c>
      <c r="B33" s="435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7"/>
    </row>
    <row r="34" spans="1:12" s="161" customFormat="1" ht="18" customHeight="1">
      <c r="A34" s="435"/>
      <c r="B34" s="435"/>
      <c r="C34" s="442" t="s">
        <v>94</v>
      </c>
      <c r="D34" s="443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4"/>
    </row>
    <row r="35" spans="1:12" s="161" customFormat="1" ht="18" customHeight="1">
      <c r="A35" s="435"/>
      <c r="B35" s="435"/>
      <c r="C35" s="442" t="s">
        <v>380</v>
      </c>
      <c r="D35" s="443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4"/>
    </row>
    <row r="36" spans="1:12" s="153" customFormat="1" ht="17.25" customHeight="1">
      <c r="A36" s="435">
        <v>8</v>
      </c>
      <c r="B36" s="435" t="s">
        <v>89</v>
      </c>
      <c r="C36" s="436" t="s">
        <v>386</v>
      </c>
      <c r="D36" s="437">
        <v>41697</v>
      </c>
      <c r="E36" s="434">
        <f>324737600+1262599800</f>
        <v>1587337400</v>
      </c>
      <c r="F36" s="434">
        <f>324737600+1262599800</f>
        <v>1587337400</v>
      </c>
      <c r="G36" s="164">
        <v>43824000</v>
      </c>
      <c r="H36" s="434">
        <f>324737600+1262599800</f>
        <v>1587337400</v>
      </c>
      <c r="I36" s="164">
        <v>43824000</v>
      </c>
      <c r="J36" s="168">
        <v>41664</v>
      </c>
      <c r="K36" s="157" t="s">
        <v>373</v>
      </c>
      <c r="L36" s="307"/>
    </row>
    <row r="37" spans="1:12" s="153" customFormat="1" ht="17.25" customHeight="1">
      <c r="A37" s="435"/>
      <c r="B37" s="435"/>
      <c r="C37" s="436"/>
      <c r="D37" s="436"/>
      <c r="E37" s="434"/>
      <c r="F37" s="434"/>
      <c r="G37" s="151">
        <v>76462320</v>
      </c>
      <c r="H37" s="434"/>
      <c r="I37" s="151">
        <v>76462320</v>
      </c>
      <c r="J37" s="150">
        <v>41699</v>
      </c>
      <c r="K37" s="152" t="s">
        <v>373</v>
      </c>
      <c r="L37" s="307"/>
    </row>
    <row r="38" spans="1:12" s="153" customFormat="1" ht="17.25" customHeight="1">
      <c r="A38" s="435"/>
      <c r="B38" s="435"/>
      <c r="C38" s="436"/>
      <c r="D38" s="436"/>
      <c r="E38" s="434"/>
      <c r="F38" s="434"/>
      <c r="G38" s="151">
        <v>133147080</v>
      </c>
      <c r="H38" s="434"/>
      <c r="I38" s="151">
        <v>133147080</v>
      </c>
      <c r="J38" s="150">
        <v>41718</v>
      </c>
      <c r="K38" s="152" t="s">
        <v>373</v>
      </c>
      <c r="L38" s="307"/>
    </row>
    <row r="39" spans="1:12" s="153" customFormat="1" ht="17.25" customHeight="1">
      <c r="A39" s="435"/>
      <c r="B39" s="435"/>
      <c r="C39" s="436"/>
      <c r="D39" s="436"/>
      <c r="E39" s="434"/>
      <c r="F39" s="434"/>
      <c r="G39" s="151">
        <v>378779940</v>
      </c>
      <c r="H39" s="434"/>
      <c r="I39" s="151">
        <v>378779940</v>
      </c>
      <c r="J39" s="150">
        <v>41834</v>
      </c>
      <c r="K39" s="152" t="s">
        <v>373</v>
      </c>
      <c r="L39" s="307"/>
    </row>
    <row r="40" spans="1:12" s="153" customFormat="1" ht="17.25" customHeight="1">
      <c r="A40" s="435"/>
      <c r="B40" s="435"/>
      <c r="C40" s="436"/>
      <c r="D40" s="436"/>
      <c r="E40" s="434"/>
      <c r="F40" s="434"/>
      <c r="G40" s="156">
        <v>252519960</v>
      </c>
      <c r="H40" s="434"/>
      <c r="I40" s="156">
        <v>252519960</v>
      </c>
      <c r="J40" s="155">
        <v>41865</v>
      </c>
      <c r="K40" s="169" t="s">
        <v>373</v>
      </c>
      <c r="L40" s="307"/>
    </row>
    <row r="41" spans="1:12" s="153" customFormat="1" ht="17.25" customHeight="1">
      <c r="A41" s="435"/>
      <c r="B41" s="435"/>
      <c r="C41" s="436"/>
      <c r="D41" s="436"/>
      <c r="E41" s="434"/>
      <c r="F41" s="434"/>
      <c r="G41" s="151">
        <v>378779940</v>
      </c>
      <c r="H41" s="434"/>
      <c r="I41" s="151">
        <v>378779940</v>
      </c>
      <c r="J41" s="150">
        <v>41871</v>
      </c>
      <c r="K41" s="169" t="s">
        <v>373</v>
      </c>
      <c r="L41" s="307"/>
    </row>
    <row r="42" spans="1:12" s="153" customFormat="1" ht="17.25" customHeight="1">
      <c r="A42" s="435"/>
      <c r="B42" s="435"/>
      <c r="C42" s="436"/>
      <c r="D42" s="436"/>
      <c r="E42" s="434"/>
      <c r="F42" s="434"/>
      <c r="G42" s="170">
        <v>323824160</v>
      </c>
      <c r="H42" s="434"/>
      <c r="I42" s="170">
        <v>323824160</v>
      </c>
      <c r="J42" s="171">
        <v>41928</v>
      </c>
      <c r="K42" s="169" t="s">
        <v>373</v>
      </c>
      <c r="L42" s="307"/>
    </row>
    <row r="43" spans="1:12" s="161" customFormat="1" ht="18" customHeight="1">
      <c r="A43" s="435"/>
      <c r="B43" s="435"/>
      <c r="C43" s="442" t="s">
        <v>94</v>
      </c>
      <c r="D43" s="443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4"/>
    </row>
    <row r="44" spans="1:12" s="161" customFormat="1" ht="18" customHeight="1">
      <c r="A44" s="435"/>
      <c r="B44" s="435"/>
      <c r="C44" s="442" t="s">
        <v>380</v>
      </c>
      <c r="D44" s="443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4"/>
    </row>
    <row r="45" spans="1:12" s="153" customFormat="1" ht="17.25" customHeight="1">
      <c r="A45" s="435">
        <v>9</v>
      </c>
      <c r="B45" s="435" t="s">
        <v>91</v>
      </c>
      <c r="C45" s="436" t="s">
        <v>388</v>
      </c>
      <c r="D45" s="437">
        <v>41627</v>
      </c>
      <c r="E45" s="434">
        <v>289000000</v>
      </c>
      <c r="F45" s="434">
        <v>289000000</v>
      </c>
      <c r="G45" s="151">
        <v>20000000</v>
      </c>
      <c r="H45" s="434">
        <v>289000000</v>
      </c>
      <c r="I45" s="151">
        <v>20000000</v>
      </c>
      <c r="J45" s="168">
        <v>41664</v>
      </c>
      <c r="K45" s="157" t="s">
        <v>373</v>
      </c>
      <c r="L45" s="307"/>
    </row>
    <row r="46" spans="1:12" s="153" customFormat="1" ht="17.25" customHeight="1">
      <c r="A46" s="435"/>
      <c r="B46" s="435"/>
      <c r="C46" s="436"/>
      <c r="D46" s="436"/>
      <c r="E46" s="434"/>
      <c r="F46" s="434"/>
      <c r="G46" s="151">
        <v>20000000</v>
      </c>
      <c r="H46" s="434"/>
      <c r="I46" s="151">
        <v>20000000</v>
      </c>
      <c r="J46" s="168">
        <v>41843</v>
      </c>
      <c r="K46" s="157" t="s">
        <v>373</v>
      </c>
      <c r="L46" s="307"/>
    </row>
    <row r="47" spans="1:12" s="153" customFormat="1" ht="17.25" customHeight="1">
      <c r="A47" s="435"/>
      <c r="B47" s="435"/>
      <c r="C47" s="436"/>
      <c r="D47" s="436"/>
      <c r="E47" s="434"/>
      <c r="F47" s="434"/>
      <c r="G47" s="151">
        <v>50000000</v>
      </c>
      <c r="H47" s="434"/>
      <c r="I47" s="151">
        <v>50000000</v>
      </c>
      <c r="J47" s="168">
        <v>41851</v>
      </c>
      <c r="K47" s="157" t="s">
        <v>373</v>
      </c>
      <c r="L47" s="307"/>
    </row>
    <row r="48" spans="1:12" s="153" customFormat="1" ht="17.25" customHeight="1">
      <c r="A48" s="435"/>
      <c r="B48" s="435"/>
      <c r="C48" s="436"/>
      <c r="D48" s="436"/>
      <c r="E48" s="434"/>
      <c r="F48" s="434"/>
      <c r="G48" s="151">
        <v>50000000</v>
      </c>
      <c r="H48" s="434"/>
      <c r="I48" s="151">
        <v>50000000</v>
      </c>
      <c r="J48" s="150">
        <v>41858</v>
      </c>
      <c r="K48" s="152" t="s">
        <v>373</v>
      </c>
      <c r="L48" s="307"/>
    </row>
    <row r="49" spans="1:12" s="153" customFormat="1" ht="17.25" customHeight="1">
      <c r="A49" s="435"/>
      <c r="B49" s="435"/>
      <c r="C49" s="436"/>
      <c r="D49" s="436"/>
      <c r="E49" s="434"/>
      <c r="F49" s="434"/>
      <c r="G49" s="151">
        <v>50000000</v>
      </c>
      <c r="H49" s="434"/>
      <c r="I49" s="151">
        <v>50000000</v>
      </c>
      <c r="J49" s="150">
        <v>41871</v>
      </c>
      <c r="K49" s="152" t="s">
        <v>373</v>
      </c>
      <c r="L49" s="307"/>
    </row>
    <row r="50" spans="1:12" s="153" customFormat="1" ht="17.25" customHeight="1">
      <c r="A50" s="435"/>
      <c r="B50" s="435"/>
      <c r="C50" s="436"/>
      <c r="D50" s="436"/>
      <c r="E50" s="434"/>
      <c r="F50" s="434"/>
      <c r="G50" s="151">
        <v>50000000</v>
      </c>
      <c r="H50" s="434"/>
      <c r="I50" s="151">
        <v>50000000</v>
      </c>
      <c r="J50" s="155">
        <v>41894</v>
      </c>
      <c r="K50" s="152" t="s">
        <v>373</v>
      </c>
      <c r="L50" s="307"/>
    </row>
    <row r="51" spans="1:12" s="153" customFormat="1" ht="17.25" customHeight="1">
      <c r="A51" s="435"/>
      <c r="B51" s="435"/>
      <c r="C51" s="436"/>
      <c r="D51" s="436"/>
      <c r="E51" s="434"/>
      <c r="F51" s="434"/>
      <c r="G51" s="170">
        <v>49000000</v>
      </c>
      <c r="H51" s="434"/>
      <c r="I51" s="170">
        <v>49000000</v>
      </c>
      <c r="J51" s="171">
        <v>41942</v>
      </c>
      <c r="K51" s="152" t="s">
        <v>373</v>
      </c>
      <c r="L51" s="307"/>
    </row>
    <row r="52" spans="1:12" s="161" customFormat="1" ht="18" customHeight="1">
      <c r="A52" s="435"/>
      <c r="B52" s="435"/>
      <c r="C52" s="442" t="s">
        <v>94</v>
      </c>
      <c r="D52" s="443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4"/>
    </row>
    <row r="53" spans="1:12" s="161" customFormat="1" ht="18" customHeight="1">
      <c r="A53" s="435"/>
      <c r="B53" s="435"/>
      <c r="C53" s="442" t="s">
        <v>380</v>
      </c>
      <c r="D53" s="443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4"/>
    </row>
    <row r="54" spans="1:12" ht="16.5" customHeight="1">
      <c r="A54" s="438">
        <v>10</v>
      </c>
      <c r="B54" s="475" t="s">
        <v>305</v>
      </c>
      <c r="C54" s="452" t="s">
        <v>405</v>
      </c>
      <c r="D54" s="462">
        <v>42182</v>
      </c>
      <c r="E54" s="444">
        <v>150126466</v>
      </c>
      <c r="F54" s="444">
        <v>150126466</v>
      </c>
      <c r="G54" s="172">
        <v>45000000</v>
      </c>
      <c r="H54" s="444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38"/>
      <c r="B55" s="475"/>
      <c r="C55" s="461"/>
      <c r="D55" s="461"/>
      <c r="E55" s="445"/>
      <c r="F55" s="445"/>
      <c r="G55" s="138">
        <v>105126466</v>
      </c>
      <c r="H55" s="445"/>
      <c r="I55" s="138">
        <v>105126466</v>
      </c>
      <c r="J55" s="176">
        <v>42195</v>
      </c>
      <c r="K55" s="174" t="s">
        <v>373</v>
      </c>
    </row>
    <row r="56" spans="1:12" ht="16.5" customHeight="1">
      <c r="A56" s="438"/>
      <c r="B56" s="475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38"/>
      <c r="B57" s="475"/>
      <c r="C57" s="442" t="s">
        <v>94</v>
      </c>
      <c r="D57" s="443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4"/>
    </row>
    <row r="58" spans="1:12" s="161" customFormat="1" ht="18" customHeight="1">
      <c r="A58" s="438"/>
      <c r="B58" s="475"/>
      <c r="C58" s="442" t="s">
        <v>380</v>
      </c>
      <c r="D58" s="443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4"/>
    </row>
    <row r="59" spans="1:12" ht="16.5" customHeight="1">
      <c r="A59" s="438">
        <v>11</v>
      </c>
      <c r="B59" s="475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38"/>
      <c r="B60" s="475"/>
      <c r="C60" s="442" t="s">
        <v>94</v>
      </c>
      <c r="D60" s="443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4"/>
    </row>
    <row r="61" spans="1:12" s="161" customFormat="1" ht="18" customHeight="1">
      <c r="A61" s="438"/>
      <c r="B61" s="475"/>
      <c r="C61" s="442" t="s">
        <v>380</v>
      </c>
      <c r="D61" s="443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4"/>
    </row>
    <row r="62" spans="1:12" ht="17.25" customHeight="1">
      <c r="A62" s="438">
        <v>12</v>
      </c>
      <c r="B62" s="438" t="s">
        <v>90</v>
      </c>
      <c r="C62" s="439" t="s">
        <v>389</v>
      </c>
      <c r="D62" s="440">
        <v>41353</v>
      </c>
      <c r="E62" s="441"/>
      <c r="F62" s="441">
        <v>100000000</v>
      </c>
      <c r="G62" s="177">
        <v>30000000</v>
      </c>
      <c r="H62" s="441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38"/>
      <c r="B63" s="438"/>
      <c r="C63" s="439"/>
      <c r="D63" s="440"/>
      <c r="E63" s="441"/>
      <c r="F63" s="441"/>
      <c r="G63" s="172">
        <v>30000000</v>
      </c>
      <c r="H63" s="441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38"/>
      <c r="B64" s="438"/>
      <c r="C64" s="442" t="s">
        <v>94</v>
      </c>
      <c r="D64" s="443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4"/>
    </row>
    <row r="65" spans="1:13" s="161" customFormat="1" ht="18" customHeight="1">
      <c r="A65" s="438"/>
      <c r="B65" s="438"/>
      <c r="C65" s="442" t="s">
        <v>380</v>
      </c>
      <c r="D65" s="443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4"/>
    </row>
    <row r="66" spans="1:13" s="153" customFormat="1" ht="17.25" customHeight="1">
      <c r="A66" s="463">
        <v>13</v>
      </c>
      <c r="B66" s="463" t="s">
        <v>86</v>
      </c>
      <c r="C66" s="456" t="s">
        <v>381</v>
      </c>
      <c r="D66" s="457">
        <v>41292</v>
      </c>
      <c r="E66" s="458">
        <v>60500000</v>
      </c>
      <c r="F66" s="458">
        <v>60500000</v>
      </c>
      <c r="G66" s="164">
        <v>27500000</v>
      </c>
      <c r="H66" s="446">
        <v>60500000</v>
      </c>
      <c r="I66" s="164">
        <v>27500000</v>
      </c>
      <c r="J66" s="165">
        <v>41641</v>
      </c>
      <c r="K66" s="157" t="s">
        <v>373</v>
      </c>
      <c r="L66" s="307"/>
    </row>
    <row r="67" spans="1:13" s="153" customFormat="1" ht="17.25" customHeight="1">
      <c r="A67" s="464"/>
      <c r="B67" s="464"/>
      <c r="C67" s="436"/>
      <c r="D67" s="436"/>
      <c r="E67" s="459"/>
      <c r="F67" s="459"/>
      <c r="G67" s="151">
        <v>33000000</v>
      </c>
      <c r="H67" s="434"/>
      <c r="I67" s="151">
        <v>33000000</v>
      </c>
      <c r="J67" s="166">
        <v>41775</v>
      </c>
      <c r="K67" s="157" t="s">
        <v>373</v>
      </c>
      <c r="L67" s="307"/>
    </row>
    <row r="68" spans="1:13" s="161" customFormat="1" ht="17.25" customHeight="1">
      <c r="A68" s="464"/>
      <c r="B68" s="464"/>
      <c r="C68" s="442" t="s">
        <v>94</v>
      </c>
      <c r="D68" s="443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4"/>
    </row>
    <row r="69" spans="1:13" s="161" customFormat="1" ht="17.25" customHeight="1">
      <c r="A69" s="464"/>
      <c r="B69" s="464"/>
      <c r="C69" s="442" t="s">
        <v>380</v>
      </c>
      <c r="D69" s="443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4"/>
    </row>
    <row r="70" spans="1:13" s="153" customFormat="1" ht="17.25" customHeight="1">
      <c r="A70" s="464"/>
      <c r="B70" s="464"/>
      <c r="C70" s="456" t="s">
        <v>453</v>
      </c>
      <c r="D70" s="457">
        <v>42217</v>
      </c>
      <c r="E70" s="458"/>
      <c r="F70" s="458">
        <v>428000000</v>
      </c>
      <c r="G70" s="164">
        <v>128400000</v>
      </c>
      <c r="H70" s="458">
        <v>428000000</v>
      </c>
      <c r="I70" s="164">
        <v>128400000</v>
      </c>
      <c r="J70" s="165">
        <v>42236</v>
      </c>
      <c r="K70" s="227" t="s">
        <v>373</v>
      </c>
      <c r="L70" s="307"/>
    </row>
    <row r="71" spans="1:13" s="153" customFormat="1" ht="17.25" customHeight="1">
      <c r="A71" s="464"/>
      <c r="B71" s="464"/>
      <c r="C71" s="436"/>
      <c r="D71" s="436"/>
      <c r="E71" s="459"/>
      <c r="F71" s="459"/>
      <c r="G71" s="151"/>
      <c r="H71" s="459"/>
      <c r="I71" s="151"/>
      <c r="J71" s="166"/>
      <c r="K71" s="227"/>
      <c r="L71" s="307"/>
    </row>
    <row r="72" spans="1:13" s="161" customFormat="1" ht="17.25" customHeight="1">
      <c r="A72" s="464"/>
      <c r="B72" s="464"/>
      <c r="C72" s="442" t="s">
        <v>94</v>
      </c>
      <c r="D72" s="443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4"/>
    </row>
    <row r="73" spans="1:13" s="161" customFormat="1" ht="17.25" customHeight="1">
      <c r="A73" s="465"/>
      <c r="B73" s="465"/>
      <c r="C73" s="442" t="s">
        <v>380</v>
      </c>
      <c r="D73" s="443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04"/>
      <c r="M73" s="303"/>
    </row>
    <row r="74" spans="1:13" ht="17.25" customHeight="1">
      <c r="A74" s="438">
        <v>14</v>
      </c>
      <c r="B74" s="438" t="s">
        <v>109</v>
      </c>
      <c r="C74" s="439" t="s">
        <v>389</v>
      </c>
      <c r="D74" s="440">
        <v>41353</v>
      </c>
      <c r="E74" s="441"/>
      <c r="F74" s="441">
        <v>200000000</v>
      </c>
      <c r="G74" s="172">
        <f>IF(I74&gt;0,I74,0)</f>
        <v>50000000</v>
      </c>
      <c r="H74" s="441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38"/>
      <c r="B75" s="438"/>
      <c r="C75" s="439"/>
      <c r="D75" s="440"/>
      <c r="E75" s="441"/>
      <c r="F75" s="441"/>
      <c r="G75" s="172">
        <f t="shared" ref="G75:G77" si="1">IF(I75&gt;0,I75,0)</f>
        <v>50000000</v>
      </c>
      <c r="H75" s="441"/>
      <c r="I75" s="177">
        <v>50000000</v>
      </c>
      <c r="J75" s="176">
        <v>42034</v>
      </c>
      <c r="K75" s="174" t="s">
        <v>373</v>
      </c>
    </row>
    <row r="76" spans="1:13" ht="17.25" customHeight="1">
      <c r="A76" s="438"/>
      <c r="B76" s="438"/>
      <c r="C76" s="439"/>
      <c r="D76" s="440"/>
      <c r="E76" s="441"/>
      <c r="F76" s="441"/>
      <c r="G76" s="172">
        <f t="shared" si="1"/>
        <v>50000000</v>
      </c>
      <c r="H76" s="441"/>
      <c r="I76" s="177">
        <v>50000000</v>
      </c>
      <c r="J76" s="176">
        <v>42144</v>
      </c>
      <c r="K76" s="174" t="s">
        <v>373</v>
      </c>
    </row>
    <row r="77" spans="1:13" ht="17.25" customHeight="1">
      <c r="A77" s="438"/>
      <c r="B77" s="438"/>
      <c r="C77" s="439"/>
      <c r="D77" s="440"/>
      <c r="E77" s="441"/>
      <c r="F77" s="441"/>
      <c r="G77" s="172">
        <f t="shared" si="1"/>
        <v>0</v>
      </c>
      <c r="H77" s="441"/>
      <c r="I77" s="151"/>
      <c r="J77" s="183"/>
      <c r="K77" s="184"/>
    </row>
    <row r="78" spans="1:13" s="161" customFormat="1" ht="18" customHeight="1">
      <c r="A78" s="438"/>
      <c r="B78" s="438"/>
      <c r="C78" s="442" t="s">
        <v>94</v>
      </c>
      <c r="D78" s="443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4"/>
    </row>
    <row r="79" spans="1:13" s="161" customFormat="1" ht="18" customHeight="1">
      <c r="A79" s="438"/>
      <c r="B79" s="438"/>
      <c r="C79" s="442" t="s">
        <v>380</v>
      </c>
      <c r="D79" s="443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4"/>
    </row>
    <row r="80" spans="1:13" ht="16.5" customHeight="1">
      <c r="A80" s="438">
        <v>15</v>
      </c>
      <c r="B80" s="438" t="s">
        <v>400</v>
      </c>
      <c r="C80" s="439" t="s">
        <v>401</v>
      </c>
      <c r="D80" s="440">
        <v>42118</v>
      </c>
      <c r="E80" s="441">
        <v>255297700</v>
      </c>
      <c r="F80" s="441">
        <v>255297700</v>
      </c>
      <c r="G80" s="172">
        <v>100000000</v>
      </c>
      <c r="H80" s="441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38"/>
      <c r="B81" s="438"/>
      <c r="C81" s="439"/>
      <c r="D81" s="440"/>
      <c r="E81" s="441"/>
      <c r="F81" s="441"/>
      <c r="G81" s="172">
        <v>100000000</v>
      </c>
      <c r="H81" s="441"/>
      <c r="I81" s="172">
        <v>100000000</v>
      </c>
      <c r="J81" s="176">
        <v>42157</v>
      </c>
      <c r="K81" s="174" t="s">
        <v>373</v>
      </c>
    </row>
    <row r="82" spans="1:12" ht="16.5" customHeight="1">
      <c r="A82" s="438"/>
      <c r="B82" s="438"/>
      <c r="C82" s="439"/>
      <c r="D82" s="440"/>
      <c r="E82" s="441"/>
      <c r="F82" s="441"/>
      <c r="G82" s="172">
        <v>55297700</v>
      </c>
      <c r="H82" s="441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38"/>
      <c r="B83" s="438"/>
      <c r="C83" s="442" t="s">
        <v>94</v>
      </c>
      <c r="D83" s="443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4"/>
    </row>
    <row r="84" spans="1:12" s="161" customFormat="1" ht="18" customHeight="1">
      <c r="A84" s="438"/>
      <c r="B84" s="438"/>
      <c r="C84" s="442" t="s">
        <v>380</v>
      </c>
      <c r="D84" s="443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4"/>
    </row>
    <row r="85" spans="1:12" ht="16.5" customHeight="1">
      <c r="A85" s="438"/>
      <c r="B85" s="438"/>
      <c r="C85" s="439" t="s">
        <v>494</v>
      </c>
      <c r="D85" s="440">
        <v>42203</v>
      </c>
      <c r="E85" s="441">
        <f>188280000+102950000+150022500+59760000+114906620</f>
        <v>615919120</v>
      </c>
      <c r="F85" s="441">
        <f>188280000+102950000+150022500</f>
        <v>441252500</v>
      </c>
      <c r="G85" s="172">
        <v>100000000</v>
      </c>
      <c r="H85" s="441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38"/>
      <c r="B86" s="438"/>
      <c r="C86" s="439"/>
      <c r="D86" s="440"/>
      <c r="E86" s="441"/>
      <c r="F86" s="441"/>
      <c r="G86" s="172">
        <v>200000000</v>
      </c>
      <c r="H86" s="441"/>
      <c r="I86" s="172">
        <v>200000000</v>
      </c>
      <c r="J86" s="176">
        <v>42212</v>
      </c>
      <c r="K86" s="174" t="s">
        <v>373</v>
      </c>
    </row>
    <row r="87" spans="1:12" ht="16.5" customHeight="1">
      <c r="A87" s="438"/>
      <c r="B87" s="438"/>
      <c r="C87" s="439"/>
      <c r="D87" s="440"/>
      <c r="E87" s="441"/>
      <c r="F87" s="441"/>
      <c r="G87" s="172">
        <f>I87</f>
        <v>201012500</v>
      </c>
      <c r="H87" s="441"/>
      <c r="I87" s="172">
        <v>201012500</v>
      </c>
      <c r="J87" s="176">
        <v>42266</v>
      </c>
      <c r="K87" s="174" t="s">
        <v>373</v>
      </c>
    </row>
    <row r="88" spans="1:12" ht="16.5" customHeight="1">
      <c r="A88" s="438"/>
      <c r="B88" s="438"/>
      <c r="C88" s="282"/>
      <c r="D88" s="284"/>
      <c r="E88" s="279"/>
      <c r="F88" s="279"/>
      <c r="G88" s="285"/>
      <c r="H88" s="279"/>
      <c r="I88" s="285"/>
      <c r="J88" s="278"/>
      <c r="K88" s="277"/>
    </row>
    <row r="89" spans="1:12" s="161" customFormat="1" ht="18" customHeight="1">
      <c r="A89" s="438"/>
      <c r="B89" s="438"/>
      <c r="C89" s="442" t="s">
        <v>94</v>
      </c>
      <c r="D89" s="443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04"/>
    </row>
    <row r="90" spans="1:12" s="161" customFormat="1" ht="18" customHeight="1">
      <c r="A90" s="438"/>
      <c r="B90" s="438"/>
      <c r="C90" s="442" t="s">
        <v>380</v>
      </c>
      <c r="D90" s="443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04"/>
    </row>
    <row r="91" spans="1:12" ht="16.5" customHeight="1">
      <c r="A91" s="438">
        <v>16</v>
      </c>
      <c r="B91" s="475" t="s">
        <v>302</v>
      </c>
      <c r="C91" s="452" t="s">
        <v>404</v>
      </c>
      <c r="D91" s="462"/>
      <c r="E91" s="444">
        <f>399000000</f>
        <v>399000000</v>
      </c>
      <c r="F91" s="444">
        <v>570000000</v>
      </c>
      <c r="G91" s="172">
        <v>171000000</v>
      </c>
      <c r="H91" s="444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38"/>
      <c r="B92" s="475"/>
      <c r="C92" s="461"/>
      <c r="D92" s="473"/>
      <c r="E92" s="445"/>
      <c r="F92" s="445"/>
      <c r="G92" s="172">
        <v>228000000</v>
      </c>
      <c r="H92" s="445"/>
      <c r="I92" s="172">
        <v>228000000</v>
      </c>
      <c r="J92" s="176">
        <v>42251</v>
      </c>
      <c r="K92" s="243" t="s">
        <v>373</v>
      </c>
    </row>
    <row r="93" spans="1:12" ht="16.5" customHeight="1">
      <c r="A93" s="438"/>
      <c r="B93" s="475"/>
      <c r="C93" s="461"/>
      <c r="D93" s="461"/>
      <c r="E93" s="445"/>
      <c r="F93" s="445"/>
      <c r="G93" s="138"/>
      <c r="H93" s="445"/>
      <c r="I93" s="151"/>
      <c r="J93" s="176"/>
      <c r="K93" s="188"/>
    </row>
    <row r="94" spans="1:12" s="161" customFormat="1" ht="18" customHeight="1">
      <c r="A94" s="438"/>
      <c r="B94" s="475"/>
      <c r="C94" s="442" t="s">
        <v>94</v>
      </c>
      <c r="D94" s="443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04"/>
    </row>
    <row r="95" spans="1:12" s="161" customFormat="1" ht="18" customHeight="1">
      <c r="A95" s="438"/>
      <c r="B95" s="475"/>
      <c r="C95" s="442" t="s">
        <v>380</v>
      </c>
      <c r="D95" s="443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04"/>
    </row>
    <row r="96" spans="1:12" ht="16.5" customHeight="1">
      <c r="A96" s="438">
        <v>17</v>
      </c>
      <c r="B96" s="475" t="s">
        <v>454</v>
      </c>
      <c r="C96" s="477" t="s">
        <v>442</v>
      </c>
      <c r="D96" s="462">
        <v>42230</v>
      </c>
      <c r="E96" s="444">
        <v>599632000</v>
      </c>
      <c r="F96" s="444">
        <f>E96</f>
        <v>599632000</v>
      </c>
      <c r="G96" s="151">
        <v>200000000</v>
      </c>
      <c r="H96" s="444">
        <v>599632000</v>
      </c>
      <c r="I96" s="151">
        <v>200000000</v>
      </c>
      <c r="J96" s="228">
        <v>42236</v>
      </c>
      <c r="K96" s="230" t="s">
        <v>373</v>
      </c>
    </row>
    <row r="97" spans="1:12" ht="16.5" customHeight="1">
      <c r="A97" s="438"/>
      <c r="B97" s="475"/>
      <c r="C97" s="461"/>
      <c r="D97" s="473"/>
      <c r="E97" s="445"/>
      <c r="F97" s="445"/>
      <c r="G97" s="164"/>
      <c r="H97" s="445"/>
      <c r="I97" s="151"/>
      <c r="J97" s="228"/>
      <c r="K97" s="230"/>
    </row>
    <row r="98" spans="1:12" s="161" customFormat="1" ht="18" customHeight="1">
      <c r="A98" s="438"/>
      <c r="B98" s="475"/>
      <c r="C98" s="442" t="s">
        <v>94</v>
      </c>
      <c r="D98" s="443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04"/>
    </row>
    <row r="99" spans="1:12" s="161" customFormat="1" ht="18" customHeight="1">
      <c r="A99" s="438"/>
      <c r="B99" s="475"/>
      <c r="C99" s="442" t="s">
        <v>380</v>
      </c>
      <c r="D99" s="443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04"/>
    </row>
    <row r="100" spans="1:12" ht="17.25" customHeight="1">
      <c r="A100" s="438">
        <v>18</v>
      </c>
      <c r="B100" s="438" t="s">
        <v>85</v>
      </c>
      <c r="C100" s="449" t="s">
        <v>390</v>
      </c>
      <c r="D100" s="450">
        <v>40549</v>
      </c>
      <c r="E100" s="447">
        <v>1000000000</v>
      </c>
      <c r="F100" s="447">
        <v>1150000000</v>
      </c>
      <c r="G100" s="172">
        <f t="shared" ref="G100:G112" si="2">IF(I100&gt;0,I100,0)</f>
        <v>100000000</v>
      </c>
      <c r="H100" s="447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38"/>
      <c r="B101" s="438"/>
      <c r="C101" s="439"/>
      <c r="D101" s="451"/>
      <c r="E101" s="441"/>
      <c r="F101" s="441"/>
      <c r="G101" s="172">
        <f t="shared" si="2"/>
        <v>50000000</v>
      </c>
      <c r="H101" s="441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38"/>
      <c r="B102" s="438"/>
      <c r="C102" s="439"/>
      <c r="D102" s="451"/>
      <c r="E102" s="441"/>
      <c r="F102" s="441"/>
      <c r="G102" s="172">
        <f t="shared" si="2"/>
        <v>100000000</v>
      </c>
      <c r="H102" s="441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38"/>
      <c r="B103" s="438"/>
      <c r="C103" s="439"/>
      <c r="D103" s="451"/>
      <c r="E103" s="441"/>
      <c r="F103" s="441"/>
      <c r="G103" s="172"/>
      <c r="H103" s="441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38"/>
      <c r="B104" s="438"/>
      <c r="C104" s="439"/>
      <c r="D104" s="451"/>
      <c r="E104" s="441"/>
      <c r="F104" s="441"/>
      <c r="G104" s="172">
        <f t="shared" si="2"/>
        <v>200000000</v>
      </c>
      <c r="H104" s="441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38"/>
      <c r="B105" s="438"/>
      <c r="C105" s="439"/>
      <c r="D105" s="451"/>
      <c r="E105" s="441"/>
      <c r="F105" s="441"/>
      <c r="G105" s="172">
        <f t="shared" si="2"/>
        <v>0</v>
      </c>
      <c r="H105" s="441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38"/>
      <c r="B106" s="438"/>
      <c r="C106" s="439"/>
      <c r="D106" s="451"/>
      <c r="E106" s="441"/>
      <c r="F106" s="441"/>
      <c r="G106" s="172">
        <f t="shared" si="2"/>
        <v>100000000</v>
      </c>
      <c r="H106" s="441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38"/>
      <c r="B107" s="438"/>
      <c r="C107" s="439"/>
      <c r="D107" s="451"/>
      <c r="E107" s="441"/>
      <c r="F107" s="441"/>
      <c r="G107" s="172"/>
      <c r="H107" s="441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38"/>
      <c r="B108" s="438"/>
      <c r="C108" s="439"/>
      <c r="D108" s="451"/>
      <c r="E108" s="441"/>
      <c r="F108" s="441"/>
      <c r="G108" s="172">
        <f t="shared" si="2"/>
        <v>100000000</v>
      </c>
      <c r="H108" s="441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38"/>
      <c r="B109" s="438"/>
      <c r="C109" s="439"/>
      <c r="D109" s="451"/>
      <c r="E109" s="441"/>
      <c r="F109" s="441"/>
      <c r="G109" s="172">
        <f t="shared" si="2"/>
        <v>50000000</v>
      </c>
      <c r="H109" s="441"/>
      <c r="I109" s="172">
        <v>50000000</v>
      </c>
      <c r="J109" s="173">
        <v>40690</v>
      </c>
      <c r="K109" s="174" t="s">
        <v>373</v>
      </c>
      <c r="L109" s="308"/>
    </row>
    <row r="110" spans="1:12" s="180" customFormat="1" ht="17.25" customHeight="1">
      <c r="A110" s="438"/>
      <c r="B110" s="438"/>
      <c r="C110" s="439"/>
      <c r="D110" s="451"/>
      <c r="E110" s="441"/>
      <c r="F110" s="441"/>
      <c r="G110" s="172">
        <f t="shared" si="2"/>
        <v>100000000</v>
      </c>
      <c r="H110" s="441"/>
      <c r="I110" s="172">
        <v>100000000</v>
      </c>
      <c r="J110" s="173">
        <v>40724</v>
      </c>
      <c r="K110" s="174" t="s">
        <v>373</v>
      </c>
      <c r="L110" s="308"/>
    </row>
    <row r="111" spans="1:12" s="180" customFormat="1" ht="17.25" customHeight="1">
      <c r="A111" s="438"/>
      <c r="B111" s="438"/>
      <c r="C111" s="439"/>
      <c r="D111" s="451"/>
      <c r="E111" s="441"/>
      <c r="F111" s="441"/>
      <c r="G111" s="172"/>
      <c r="H111" s="441"/>
      <c r="I111" s="172">
        <v>100000000</v>
      </c>
      <c r="J111" s="176">
        <v>40747</v>
      </c>
      <c r="K111" s="178" t="s">
        <v>387</v>
      </c>
      <c r="L111" s="308"/>
    </row>
    <row r="112" spans="1:12" ht="17.25" customHeight="1">
      <c r="A112" s="438"/>
      <c r="B112" s="438"/>
      <c r="C112" s="439"/>
      <c r="D112" s="451"/>
      <c r="E112" s="441"/>
      <c r="F112" s="441"/>
      <c r="G112" s="172">
        <f t="shared" si="2"/>
        <v>50000000</v>
      </c>
      <c r="H112" s="441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38"/>
      <c r="B113" s="438"/>
      <c r="C113" s="439" t="s">
        <v>392</v>
      </c>
      <c r="D113" s="451">
        <v>41860</v>
      </c>
      <c r="E113" s="441">
        <v>7500000000</v>
      </c>
      <c r="F113" s="441">
        <v>10172555140</v>
      </c>
      <c r="G113" s="172">
        <f>IF(I113&gt;0,I113,0)</f>
        <v>800000000</v>
      </c>
      <c r="H113" s="441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38"/>
      <c r="B114" s="438"/>
      <c r="C114" s="439"/>
      <c r="D114" s="451"/>
      <c r="E114" s="441"/>
      <c r="F114" s="441"/>
      <c r="G114" s="172">
        <f t="shared" ref="G114:G124" si="3">IF(I114&gt;0,I114,0)</f>
        <v>1500000000</v>
      </c>
      <c r="H114" s="441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38"/>
      <c r="B115" s="438"/>
      <c r="C115" s="439"/>
      <c r="D115" s="451"/>
      <c r="E115" s="441"/>
      <c r="F115" s="441"/>
      <c r="G115" s="172">
        <f t="shared" si="3"/>
        <v>1000000000</v>
      </c>
      <c r="H115" s="441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38"/>
      <c r="B116" s="438"/>
      <c r="C116" s="439"/>
      <c r="D116" s="451"/>
      <c r="E116" s="441"/>
      <c r="F116" s="441"/>
      <c r="G116" s="172">
        <f t="shared" si="3"/>
        <v>1000000000</v>
      </c>
      <c r="H116" s="441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38"/>
      <c r="B117" s="438"/>
      <c r="C117" s="439"/>
      <c r="D117" s="451"/>
      <c r="E117" s="441"/>
      <c r="F117" s="441"/>
      <c r="G117" s="172">
        <f t="shared" si="3"/>
        <v>700000000</v>
      </c>
      <c r="H117" s="441"/>
      <c r="I117" s="172">
        <v>700000000</v>
      </c>
      <c r="J117" s="176">
        <v>42034</v>
      </c>
      <c r="K117" s="174" t="s">
        <v>373</v>
      </c>
      <c r="L117" s="197" t="s">
        <v>393</v>
      </c>
    </row>
    <row r="118" spans="1:12" ht="17.25" customHeight="1">
      <c r="A118" s="438"/>
      <c r="B118" s="438"/>
      <c r="C118" s="439"/>
      <c r="D118" s="451"/>
      <c r="E118" s="441"/>
      <c r="F118" s="441"/>
      <c r="G118" s="172">
        <f t="shared" si="3"/>
        <v>500000000</v>
      </c>
      <c r="H118" s="441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38"/>
      <c r="B119" s="438"/>
      <c r="C119" s="439"/>
      <c r="D119" s="451"/>
      <c r="E119" s="441"/>
      <c r="F119" s="441"/>
      <c r="G119" s="172">
        <f t="shared" si="3"/>
        <v>500000000</v>
      </c>
      <c r="H119" s="441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38"/>
      <c r="B120" s="438"/>
      <c r="C120" s="439"/>
      <c r="D120" s="451"/>
      <c r="E120" s="441"/>
      <c r="F120" s="441"/>
      <c r="G120" s="172">
        <f t="shared" si="3"/>
        <v>500000000</v>
      </c>
      <c r="H120" s="441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38"/>
      <c r="B121" s="438"/>
      <c r="C121" s="439"/>
      <c r="D121" s="451"/>
      <c r="E121" s="441"/>
      <c r="F121" s="441"/>
      <c r="G121" s="172">
        <f t="shared" si="3"/>
        <v>1000000000</v>
      </c>
      <c r="H121" s="441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38"/>
      <c r="B122" s="438"/>
      <c r="C122" s="452"/>
      <c r="D122" s="454"/>
      <c r="E122" s="444"/>
      <c r="F122" s="444"/>
      <c r="G122" s="172">
        <f t="shared" si="3"/>
        <v>300000000</v>
      </c>
      <c r="H122" s="444"/>
      <c r="I122" s="223">
        <v>300000000</v>
      </c>
      <c r="J122" s="219">
        <v>42209</v>
      </c>
      <c r="K122" s="222" t="s">
        <v>373</v>
      </c>
    </row>
    <row r="123" spans="1:12" ht="17.25" customHeight="1">
      <c r="A123" s="438"/>
      <c r="B123" s="438"/>
      <c r="C123" s="452"/>
      <c r="D123" s="454"/>
      <c r="E123" s="444"/>
      <c r="F123" s="444"/>
      <c r="G123" s="172">
        <f t="shared" si="3"/>
        <v>200000000</v>
      </c>
      <c r="H123" s="444"/>
      <c r="I123" s="226">
        <v>200000000</v>
      </c>
      <c r="J123" s="228">
        <v>42342</v>
      </c>
      <c r="K123" s="381" t="s">
        <v>373</v>
      </c>
    </row>
    <row r="124" spans="1:12" ht="17.25" customHeight="1">
      <c r="A124" s="438"/>
      <c r="B124" s="438"/>
      <c r="C124" s="453"/>
      <c r="D124" s="455"/>
      <c r="E124" s="448"/>
      <c r="F124" s="448"/>
      <c r="G124" s="172">
        <f t="shared" si="3"/>
        <v>0</v>
      </c>
      <c r="H124" s="448"/>
      <c r="I124" s="138"/>
      <c r="J124" s="176"/>
      <c r="K124" s="174"/>
    </row>
    <row r="125" spans="1:12" s="161" customFormat="1" ht="18" customHeight="1">
      <c r="A125" s="438"/>
      <c r="B125" s="438"/>
      <c r="C125" s="442" t="s">
        <v>94</v>
      </c>
      <c r="D125" s="443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04"/>
    </row>
    <row r="126" spans="1:12" s="161" customFormat="1" ht="18" customHeight="1">
      <c r="A126" s="438"/>
      <c r="B126" s="438"/>
      <c r="C126" s="442" t="s">
        <v>380</v>
      </c>
      <c r="D126" s="443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04"/>
    </row>
    <row r="127" spans="1:12" ht="17.25" customHeight="1">
      <c r="A127" s="438">
        <v>19</v>
      </c>
      <c r="B127" s="438" t="s">
        <v>111</v>
      </c>
      <c r="C127" s="452" t="s">
        <v>394</v>
      </c>
      <c r="D127" s="462">
        <v>41871</v>
      </c>
      <c r="E127" s="444">
        <v>2200000000</v>
      </c>
      <c r="F127" s="444">
        <f>2508700000</f>
        <v>2508700000</v>
      </c>
      <c r="G127" s="172">
        <f>IF(I127&gt;0,I127,0)</f>
        <v>752610000</v>
      </c>
      <c r="H127" s="444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38"/>
      <c r="B128" s="438"/>
      <c r="C128" s="461"/>
      <c r="D128" s="461"/>
      <c r="E128" s="445"/>
      <c r="F128" s="445"/>
      <c r="G128" s="172">
        <f t="shared" ref="G128:G139" si="4">IF(I128&gt;0,I128,0)</f>
        <v>0</v>
      </c>
      <c r="H128" s="445"/>
      <c r="I128" s="185">
        <v>-200000000</v>
      </c>
      <c r="J128" s="186">
        <v>41907</v>
      </c>
      <c r="K128" s="187" t="s">
        <v>391</v>
      </c>
      <c r="L128" s="308"/>
    </row>
    <row r="129" spans="1:12" ht="17.25" customHeight="1">
      <c r="A129" s="438"/>
      <c r="B129" s="438"/>
      <c r="C129" s="461"/>
      <c r="D129" s="461"/>
      <c r="E129" s="445"/>
      <c r="F129" s="445"/>
      <c r="G129" s="172">
        <f t="shared" si="4"/>
        <v>500000000</v>
      </c>
      <c r="H129" s="445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38"/>
      <c r="B130" s="438"/>
      <c r="C130" s="461"/>
      <c r="D130" s="461"/>
      <c r="E130" s="445"/>
      <c r="F130" s="445"/>
      <c r="G130" s="172">
        <f t="shared" si="4"/>
        <v>0</v>
      </c>
      <c r="H130" s="445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38"/>
      <c r="B131" s="438"/>
      <c r="C131" s="461"/>
      <c r="D131" s="461"/>
      <c r="E131" s="445"/>
      <c r="F131" s="445"/>
      <c r="G131" s="172">
        <f t="shared" si="4"/>
        <v>500000000</v>
      </c>
      <c r="H131" s="445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38"/>
      <c r="B132" s="438"/>
      <c r="C132" s="461" t="s">
        <v>395</v>
      </c>
      <c r="D132" s="473">
        <v>42139</v>
      </c>
      <c r="E132" s="474">
        <f>308700000+501400000</f>
        <v>810100000</v>
      </c>
      <c r="F132" s="474">
        <f>184000000+317400000</f>
        <v>501400000</v>
      </c>
      <c r="G132" s="172">
        <f t="shared" si="4"/>
        <v>0</v>
      </c>
      <c r="H132" s="445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38"/>
      <c r="B133" s="438"/>
      <c r="C133" s="461"/>
      <c r="D133" s="473"/>
      <c r="E133" s="474"/>
      <c r="F133" s="474"/>
      <c r="G133" s="172">
        <f t="shared" si="4"/>
        <v>251000000</v>
      </c>
      <c r="H133" s="445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38"/>
      <c r="B134" s="438"/>
      <c r="C134" s="461"/>
      <c r="D134" s="473"/>
      <c r="E134" s="474"/>
      <c r="F134" s="474"/>
      <c r="G134" s="172">
        <f t="shared" si="4"/>
        <v>200000000</v>
      </c>
      <c r="H134" s="445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38"/>
      <c r="B135" s="438"/>
      <c r="C135" s="461"/>
      <c r="D135" s="473"/>
      <c r="E135" s="474"/>
      <c r="F135" s="474"/>
      <c r="G135" s="172">
        <f t="shared" si="4"/>
        <v>400000000</v>
      </c>
      <c r="H135" s="445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38"/>
      <c r="B136" s="438"/>
      <c r="C136" s="461"/>
      <c r="D136" s="473"/>
      <c r="E136" s="474"/>
      <c r="F136" s="474"/>
      <c r="G136" s="172">
        <f t="shared" si="4"/>
        <v>0</v>
      </c>
      <c r="H136" s="445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38"/>
      <c r="B137" s="438"/>
      <c r="C137" s="461"/>
      <c r="D137" s="473"/>
      <c r="E137" s="474"/>
      <c r="F137" s="474"/>
      <c r="G137" s="172">
        <f t="shared" si="4"/>
        <v>406490000</v>
      </c>
      <c r="H137" s="445"/>
      <c r="I137" s="151">
        <v>406490000</v>
      </c>
      <c r="J137" s="173">
        <v>42366</v>
      </c>
      <c r="K137" s="387" t="s">
        <v>373</v>
      </c>
    </row>
    <row r="138" spans="1:12" ht="17.25" customHeight="1">
      <c r="A138" s="438"/>
      <c r="B138" s="438"/>
      <c r="C138" s="461"/>
      <c r="D138" s="473"/>
      <c r="E138" s="474"/>
      <c r="F138" s="474"/>
      <c r="G138" s="172">
        <f t="shared" si="4"/>
        <v>0</v>
      </c>
      <c r="H138" s="445"/>
      <c r="I138" s="151">
        <v>-197695000</v>
      </c>
      <c r="J138" s="151"/>
      <c r="K138" s="187" t="s">
        <v>391</v>
      </c>
    </row>
    <row r="139" spans="1:12" ht="17.25" customHeight="1">
      <c r="A139" s="438"/>
      <c r="B139" s="438"/>
      <c r="C139" s="461"/>
      <c r="D139" s="473"/>
      <c r="E139" s="474"/>
      <c r="F139" s="474"/>
      <c r="G139" s="172">
        <f t="shared" si="4"/>
        <v>0</v>
      </c>
      <c r="H139" s="445"/>
      <c r="I139" s="151"/>
      <c r="J139" s="151"/>
      <c r="K139" s="151"/>
    </row>
    <row r="140" spans="1:12" s="161" customFormat="1" ht="18" customHeight="1">
      <c r="A140" s="438"/>
      <c r="B140" s="438"/>
      <c r="C140" s="442" t="s">
        <v>94</v>
      </c>
      <c r="D140" s="443"/>
      <c r="E140" s="158">
        <f>SUM(E127:E139)</f>
        <v>3010100000</v>
      </c>
      <c r="F140" s="158">
        <f>SUM(F127:F139)</f>
        <v>3010100000</v>
      </c>
      <c r="G140" s="158">
        <f>SUM(G127:G139)</f>
        <v>3010100000</v>
      </c>
      <c r="H140" s="158">
        <f>SUM(H127:H139)</f>
        <v>2248700000</v>
      </c>
      <c r="I140" s="158">
        <f>SUM(I127:I139)</f>
        <v>2212405000</v>
      </c>
      <c r="J140" s="160" t="s">
        <v>1064</v>
      </c>
      <c r="K140" s="160" t="s">
        <v>42</v>
      </c>
      <c r="L140" s="304"/>
    </row>
    <row r="141" spans="1:12" s="161" customFormat="1" ht="18" customHeight="1">
      <c r="A141" s="438"/>
      <c r="B141" s="438"/>
      <c r="C141" s="442" t="s">
        <v>380</v>
      </c>
      <c r="D141" s="443"/>
      <c r="E141" s="162"/>
      <c r="F141" s="162"/>
      <c r="G141" s="163">
        <f>E140-G140</f>
        <v>0</v>
      </c>
      <c r="H141" s="162">
        <f>H140-K141+J141</f>
        <v>2212405000</v>
      </c>
      <c r="I141" s="163">
        <f>H141-I140</f>
        <v>0</v>
      </c>
      <c r="J141" s="324">
        <v>76140000</v>
      </c>
      <c r="K141" s="160">
        <f>H140*5%</f>
        <v>112435000</v>
      </c>
      <c r="L141" s="304" t="s">
        <v>1065</v>
      </c>
    </row>
    <row r="142" spans="1:12" ht="17.25" customHeight="1">
      <c r="A142" s="438">
        <v>20</v>
      </c>
      <c r="B142" s="438" t="s">
        <v>138</v>
      </c>
      <c r="C142" s="439" t="s">
        <v>396</v>
      </c>
      <c r="D142" s="440">
        <v>42014</v>
      </c>
      <c r="E142" s="441">
        <f>2200000000</f>
        <v>2200000000</v>
      </c>
      <c r="F142" s="441">
        <v>3500000000</v>
      </c>
      <c r="G142" s="172">
        <f>IF(I142&gt;0,I142,0)</f>
        <v>600000000</v>
      </c>
      <c r="H142" s="441">
        <v>2910000000</v>
      </c>
      <c r="I142" s="177">
        <v>600000000</v>
      </c>
      <c r="J142" s="173">
        <v>42034</v>
      </c>
      <c r="K142" s="174" t="s">
        <v>373</v>
      </c>
    </row>
    <row r="143" spans="1:12" ht="17.25" customHeight="1">
      <c r="A143" s="438"/>
      <c r="B143" s="438"/>
      <c r="C143" s="439"/>
      <c r="D143" s="439"/>
      <c r="E143" s="441"/>
      <c r="F143" s="441"/>
      <c r="G143" s="172">
        <f t="shared" ref="G143:G150" si="5">IF(I143&gt;0,I143,0)</f>
        <v>600000000</v>
      </c>
      <c r="H143" s="441"/>
      <c r="I143" s="177">
        <v>600000000</v>
      </c>
      <c r="J143" s="176">
        <v>42088</v>
      </c>
      <c r="K143" s="174" t="s">
        <v>373</v>
      </c>
    </row>
    <row r="144" spans="1:12" ht="17.25" customHeight="1">
      <c r="A144" s="438"/>
      <c r="B144" s="438"/>
      <c r="C144" s="439"/>
      <c r="D144" s="439"/>
      <c r="E144" s="441"/>
      <c r="F144" s="441"/>
      <c r="G144" s="172">
        <f t="shared" si="5"/>
        <v>500000000</v>
      </c>
      <c r="H144" s="441"/>
      <c r="I144" s="172">
        <v>500000000</v>
      </c>
      <c r="J144" s="176">
        <v>42131</v>
      </c>
      <c r="K144" s="174" t="s">
        <v>373</v>
      </c>
    </row>
    <row r="145" spans="1:12" ht="17.25" customHeight="1">
      <c r="A145" s="438"/>
      <c r="B145" s="438"/>
      <c r="C145" s="439"/>
      <c r="D145" s="439"/>
      <c r="E145" s="441"/>
      <c r="F145" s="441"/>
      <c r="G145" s="172">
        <f t="shared" si="5"/>
        <v>500000000</v>
      </c>
      <c r="H145" s="441"/>
      <c r="I145" s="172">
        <v>500000000</v>
      </c>
      <c r="J145" s="176">
        <v>42142</v>
      </c>
      <c r="K145" s="174" t="s">
        <v>373</v>
      </c>
    </row>
    <row r="146" spans="1:12" ht="17.25" customHeight="1">
      <c r="A146" s="438"/>
      <c r="B146" s="438"/>
      <c r="C146" s="439"/>
      <c r="D146" s="439"/>
      <c r="E146" s="441"/>
      <c r="F146" s="441"/>
      <c r="G146" s="172">
        <f t="shared" si="5"/>
        <v>0</v>
      </c>
      <c r="H146" s="441"/>
      <c r="I146" s="185">
        <v>-500000000</v>
      </c>
      <c r="J146" s="186">
        <v>42144</v>
      </c>
      <c r="K146" s="187" t="s">
        <v>391</v>
      </c>
    </row>
    <row r="147" spans="1:12" ht="17.25" customHeight="1">
      <c r="A147" s="438"/>
      <c r="B147" s="438"/>
      <c r="C147" s="439"/>
      <c r="D147" s="439"/>
      <c r="E147" s="441"/>
      <c r="F147" s="441"/>
      <c r="G147" s="172">
        <f t="shared" si="5"/>
        <v>500000000</v>
      </c>
      <c r="H147" s="441"/>
      <c r="I147" s="172">
        <v>500000000</v>
      </c>
      <c r="J147" s="176">
        <v>42164</v>
      </c>
      <c r="K147" s="174" t="s">
        <v>373</v>
      </c>
    </row>
    <row r="148" spans="1:12" ht="17.25" customHeight="1">
      <c r="A148" s="438"/>
      <c r="B148" s="438"/>
      <c r="C148" s="439"/>
      <c r="D148" s="439"/>
      <c r="E148" s="441"/>
      <c r="F148" s="441"/>
      <c r="G148" s="172">
        <f t="shared" si="5"/>
        <v>500000000</v>
      </c>
      <c r="H148" s="441"/>
      <c r="I148" s="172">
        <v>500000000</v>
      </c>
      <c r="J148" s="176">
        <v>42199</v>
      </c>
      <c r="K148" s="174" t="s">
        <v>373</v>
      </c>
    </row>
    <row r="149" spans="1:12" ht="17.25" customHeight="1">
      <c r="A149" s="438"/>
      <c r="B149" s="438"/>
      <c r="C149" s="439"/>
      <c r="D149" s="439"/>
      <c r="E149" s="441"/>
      <c r="F149" s="441"/>
      <c r="G149" s="172">
        <f t="shared" si="5"/>
        <v>0</v>
      </c>
      <c r="H149" s="441"/>
      <c r="I149" s="172">
        <v>-200000000</v>
      </c>
      <c r="J149" s="176">
        <v>42205</v>
      </c>
      <c r="K149" s="187" t="s">
        <v>391</v>
      </c>
    </row>
    <row r="150" spans="1:12" ht="17.25" customHeight="1">
      <c r="A150" s="438"/>
      <c r="B150" s="438"/>
      <c r="C150" s="439"/>
      <c r="D150" s="439"/>
      <c r="E150" s="441"/>
      <c r="F150" s="441"/>
      <c r="G150" s="172">
        <f t="shared" si="5"/>
        <v>0</v>
      </c>
      <c r="H150" s="441"/>
      <c r="I150" s="151"/>
      <c r="J150" s="176"/>
      <c r="K150" s="174"/>
    </row>
    <row r="151" spans="1:12" s="161" customFormat="1" ht="18" customHeight="1">
      <c r="A151" s="438"/>
      <c r="B151" s="438"/>
      <c r="C151" s="442" t="s">
        <v>94</v>
      </c>
      <c r="D151" s="443"/>
      <c r="E151" s="158">
        <f>SUM(E142:E150)</f>
        <v>2200000000</v>
      </c>
      <c r="F151" s="158">
        <f>SUM(F142:F150)</f>
        <v>3500000000</v>
      </c>
      <c r="G151" s="158">
        <f>SUM(G142:G150)</f>
        <v>3200000000</v>
      </c>
      <c r="H151" s="158">
        <f>SUM(H142:H150)</f>
        <v>2910000000</v>
      </c>
      <c r="I151" s="158">
        <f>SUM(I142:I150)</f>
        <v>2500000000</v>
      </c>
      <c r="J151" s="159"/>
      <c r="K151" s="160" t="s">
        <v>42</v>
      </c>
      <c r="L151" s="304"/>
    </row>
    <row r="152" spans="1:12" s="161" customFormat="1" ht="18" customHeight="1">
      <c r="A152" s="438"/>
      <c r="B152" s="438"/>
      <c r="C152" s="442" t="s">
        <v>380</v>
      </c>
      <c r="D152" s="443"/>
      <c r="E152" s="162"/>
      <c r="F152" s="162"/>
      <c r="G152" s="163">
        <f>E151-G151</f>
        <v>-1000000000</v>
      </c>
      <c r="H152" s="162"/>
      <c r="I152" s="163">
        <f>H151-I151</f>
        <v>410000000</v>
      </c>
      <c r="J152" s="159"/>
      <c r="K152" s="160"/>
      <c r="L152" s="304"/>
    </row>
    <row r="153" spans="1:12" ht="17.25" customHeight="1">
      <c r="A153" s="438">
        <v>21</v>
      </c>
      <c r="B153" s="438" t="s">
        <v>150</v>
      </c>
      <c r="C153" s="439" t="s">
        <v>397</v>
      </c>
      <c r="D153" s="440">
        <v>42088</v>
      </c>
      <c r="E153" s="441"/>
      <c r="F153" s="441">
        <v>1858997690</v>
      </c>
      <c r="G153" s="177">
        <v>360000000</v>
      </c>
      <c r="H153" s="441">
        <v>1300000000</v>
      </c>
      <c r="I153" s="177">
        <v>360000000</v>
      </c>
      <c r="J153" s="173">
        <v>42094</v>
      </c>
      <c r="K153" s="174" t="s">
        <v>373</v>
      </c>
    </row>
    <row r="154" spans="1:12" ht="17.25" customHeight="1">
      <c r="A154" s="438"/>
      <c r="B154" s="438"/>
      <c r="C154" s="439"/>
      <c r="D154" s="439"/>
      <c r="E154" s="441"/>
      <c r="F154" s="441"/>
      <c r="G154" s="138"/>
      <c r="H154" s="441"/>
      <c r="I154" s="151"/>
      <c r="J154" s="176"/>
      <c r="K154" s="174"/>
    </row>
    <row r="155" spans="1:12" s="161" customFormat="1" ht="18" customHeight="1">
      <c r="A155" s="438"/>
      <c r="B155" s="438"/>
      <c r="C155" s="442" t="s">
        <v>94</v>
      </c>
      <c r="D155" s="443"/>
      <c r="E155" s="158">
        <f>SUM(E153:E154)</f>
        <v>0</v>
      </c>
      <c r="F155" s="158">
        <f>SUM(F153:F154)</f>
        <v>1858997690</v>
      </c>
      <c r="G155" s="158">
        <f>SUM(G153:G154)</f>
        <v>360000000</v>
      </c>
      <c r="H155" s="158">
        <f>SUM(H153:H154)</f>
        <v>1300000000</v>
      </c>
      <c r="I155" s="158">
        <f>SUM(I153:I154)</f>
        <v>360000000</v>
      </c>
      <c r="J155" s="159"/>
      <c r="K155" s="160" t="s">
        <v>42</v>
      </c>
      <c r="L155" s="304"/>
    </row>
    <row r="156" spans="1:12" s="161" customFormat="1" ht="18" customHeight="1">
      <c r="A156" s="438"/>
      <c r="B156" s="438"/>
      <c r="C156" s="442" t="s">
        <v>380</v>
      </c>
      <c r="D156" s="443"/>
      <c r="E156" s="162"/>
      <c r="F156" s="162"/>
      <c r="G156" s="163">
        <f>E155-G155</f>
        <v>-360000000</v>
      </c>
      <c r="H156" s="162"/>
      <c r="I156" s="163">
        <f>H155-I155</f>
        <v>940000000</v>
      </c>
      <c r="J156" s="159"/>
      <c r="K156" s="160"/>
      <c r="L156" s="304"/>
    </row>
    <row r="157" spans="1:12" ht="16.5" customHeight="1">
      <c r="A157" s="438">
        <v>22</v>
      </c>
      <c r="B157" s="475" t="s">
        <v>306</v>
      </c>
      <c r="C157" s="452" t="s">
        <v>406</v>
      </c>
      <c r="D157" s="462">
        <v>42173</v>
      </c>
      <c r="E157" s="444"/>
      <c r="F157" s="444">
        <v>3652000000</v>
      </c>
      <c r="G157" s="172">
        <f>IF(I157&gt;0,I157,0)</f>
        <v>100000000</v>
      </c>
      <c r="H157" s="444">
        <v>2255000000</v>
      </c>
      <c r="I157" s="172">
        <v>100000000</v>
      </c>
      <c r="J157" s="176">
        <v>42185</v>
      </c>
      <c r="K157" s="174" t="s">
        <v>373</v>
      </c>
    </row>
    <row r="158" spans="1:12" ht="16.5" customHeight="1">
      <c r="A158" s="438"/>
      <c r="B158" s="475"/>
      <c r="C158" s="461"/>
      <c r="D158" s="461"/>
      <c r="E158" s="445"/>
      <c r="F158" s="445"/>
      <c r="G158" s="172">
        <f t="shared" ref="G158:G168" si="6">IF(I158&gt;0,I158,0)</f>
        <v>200000000</v>
      </c>
      <c r="H158" s="445"/>
      <c r="I158" s="172">
        <v>200000000</v>
      </c>
      <c r="J158" s="176">
        <v>42187</v>
      </c>
      <c r="K158" s="174" t="s">
        <v>373</v>
      </c>
    </row>
    <row r="159" spans="1:12" ht="16.5" customHeight="1">
      <c r="A159" s="438"/>
      <c r="B159" s="475"/>
      <c r="C159" s="461"/>
      <c r="D159" s="461"/>
      <c r="E159" s="445"/>
      <c r="F159" s="445"/>
      <c r="G159" s="172">
        <f t="shared" si="6"/>
        <v>500000000</v>
      </c>
      <c r="H159" s="445"/>
      <c r="I159" s="172">
        <v>500000000</v>
      </c>
      <c r="J159" s="217">
        <v>42221</v>
      </c>
      <c r="K159" s="216" t="s">
        <v>373</v>
      </c>
    </row>
    <row r="160" spans="1:12" ht="16.5" customHeight="1">
      <c r="A160" s="438"/>
      <c r="B160" s="475"/>
      <c r="C160" s="461"/>
      <c r="D160" s="461"/>
      <c r="E160" s="445"/>
      <c r="F160" s="445"/>
      <c r="G160" s="172">
        <f t="shared" si="6"/>
        <v>0</v>
      </c>
      <c r="H160" s="445"/>
      <c r="I160" s="193">
        <v>-300000000</v>
      </c>
      <c r="J160" s="194">
        <v>42234</v>
      </c>
      <c r="K160" s="195" t="s">
        <v>391</v>
      </c>
    </row>
    <row r="161" spans="1:12" ht="16.5" customHeight="1">
      <c r="A161" s="438"/>
      <c r="B161" s="475"/>
      <c r="C161" s="461"/>
      <c r="D161" s="461"/>
      <c r="E161" s="445"/>
      <c r="F161" s="445"/>
      <c r="G161" s="172">
        <f t="shared" si="6"/>
        <v>400000000</v>
      </c>
      <c r="H161" s="445"/>
      <c r="I161" s="172">
        <v>400000000</v>
      </c>
      <c r="J161" s="286">
        <v>42275</v>
      </c>
      <c r="K161" s="287" t="s">
        <v>373</v>
      </c>
    </row>
    <row r="162" spans="1:12" ht="16.5" customHeight="1">
      <c r="A162" s="438"/>
      <c r="B162" s="475"/>
      <c r="C162" s="461"/>
      <c r="D162" s="461"/>
      <c r="E162" s="445"/>
      <c r="F162" s="445"/>
      <c r="G162" s="172">
        <f t="shared" si="6"/>
        <v>0</v>
      </c>
      <c r="H162" s="445"/>
      <c r="I162" s="193">
        <v>-200000000</v>
      </c>
      <c r="J162" s="194">
        <v>42279</v>
      </c>
      <c r="K162" s="195" t="s">
        <v>391</v>
      </c>
    </row>
    <row r="163" spans="1:12" ht="16.5" customHeight="1">
      <c r="A163" s="438"/>
      <c r="B163" s="475"/>
      <c r="C163" s="461"/>
      <c r="D163" s="461"/>
      <c r="E163" s="445"/>
      <c r="F163" s="445"/>
      <c r="G163" s="172">
        <f t="shared" si="6"/>
        <v>150000000</v>
      </c>
      <c r="H163" s="445"/>
      <c r="I163" s="172">
        <v>150000000</v>
      </c>
      <c r="J163" s="302">
        <v>42291</v>
      </c>
      <c r="K163" s="301" t="s">
        <v>373</v>
      </c>
    </row>
    <row r="164" spans="1:12" ht="16.5" customHeight="1">
      <c r="A164" s="438"/>
      <c r="B164" s="475"/>
      <c r="C164" s="461"/>
      <c r="D164" s="461"/>
      <c r="E164" s="445"/>
      <c r="F164" s="445"/>
      <c r="G164" s="172">
        <f t="shared" si="6"/>
        <v>400000000</v>
      </c>
      <c r="H164" s="445"/>
      <c r="I164" s="172">
        <v>400000000</v>
      </c>
      <c r="J164" s="302">
        <v>42305</v>
      </c>
      <c r="K164" s="301" t="s">
        <v>373</v>
      </c>
    </row>
    <row r="165" spans="1:12" ht="16.5" customHeight="1">
      <c r="A165" s="438"/>
      <c r="B165" s="475"/>
      <c r="C165" s="461"/>
      <c r="D165" s="461"/>
      <c r="E165" s="445"/>
      <c r="F165" s="445"/>
      <c r="G165" s="172">
        <f t="shared" si="6"/>
        <v>0</v>
      </c>
      <c r="H165" s="445"/>
      <c r="I165" s="172"/>
      <c r="J165" s="302"/>
      <c r="K165" s="301"/>
    </row>
    <row r="166" spans="1:12" ht="16.5" customHeight="1">
      <c r="A166" s="438"/>
      <c r="B166" s="475"/>
      <c r="C166" s="461"/>
      <c r="D166" s="461"/>
      <c r="E166" s="445"/>
      <c r="F166" s="445"/>
      <c r="G166" s="172">
        <f t="shared" si="6"/>
        <v>0</v>
      </c>
      <c r="H166" s="445"/>
      <c r="I166" s="172"/>
      <c r="J166" s="302"/>
      <c r="K166" s="301"/>
    </row>
    <row r="167" spans="1:12" ht="16.5" customHeight="1">
      <c r="A167" s="438"/>
      <c r="B167" s="475"/>
      <c r="C167" s="461"/>
      <c r="D167" s="461"/>
      <c r="E167" s="445"/>
      <c r="F167" s="445"/>
      <c r="G167" s="172">
        <f t="shared" si="6"/>
        <v>0</v>
      </c>
      <c r="H167" s="445"/>
      <c r="I167" s="172"/>
      <c r="J167" s="302"/>
      <c r="K167" s="301"/>
    </row>
    <row r="168" spans="1:12" ht="16.5" customHeight="1">
      <c r="A168" s="438"/>
      <c r="B168" s="475"/>
      <c r="C168" s="476"/>
      <c r="D168" s="476"/>
      <c r="E168" s="460"/>
      <c r="F168" s="460"/>
      <c r="G168" s="172">
        <f t="shared" si="6"/>
        <v>0</v>
      </c>
      <c r="H168" s="460"/>
      <c r="I168" s="172"/>
      <c r="J168" s="299"/>
      <c r="K168" s="300"/>
    </row>
    <row r="169" spans="1:12" s="161" customFormat="1" ht="18" customHeight="1">
      <c r="A169" s="438"/>
      <c r="B169" s="475"/>
      <c r="C169" s="442" t="s">
        <v>94</v>
      </c>
      <c r="D169" s="443"/>
      <c r="E169" s="158">
        <f>SUM(E157:E168)</f>
        <v>0</v>
      </c>
      <c r="F169" s="158">
        <f>SUM(F157:F168)</f>
        <v>3652000000</v>
      </c>
      <c r="G169" s="158">
        <f>SUM(G157:G168)</f>
        <v>1750000000</v>
      </c>
      <c r="H169" s="158">
        <f>SUM(H157:H168)</f>
        <v>2255000000</v>
      </c>
      <c r="I169" s="158">
        <f>SUM(I157:I168)</f>
        <v>1250000000</v>
      </c>
      <c r="J169" s="159"/>
      <c r="K169" s="160" t="s">
        <v>42</v>
      </c>
      <c r="L169" s="304"/>
    </row>
    <row r="170" spans="1:12" s="161" customFormat="1" ht="18" customHeight="1">
      <c r="A170" s="438"/>
      <c r="B170" s="475"/>
      <c r="C170" s="442" t="s">
        <v>380</v>
      </c>
      <c r="D170" s="443"/>
      <c r="E170" s="162"/>
      <c r="F170" s="162"/>
      <c r="G170" s="163">
        <f>E169-G169</f>
        <v>-1750000000</v>
      </c>
      <c r="H170" s="162"/>
      <c r="I170" s="163">
        <f>H169-I169</f>
        <v>1005000000</v>
      </c>
      <c r="J170" s="159"/>
      <c r="K170" s="160"/>
      <c r="L170" s="304"/>
    </row>
    <row r="171" spans="1:12" ht="17.25" customHeight="1">
      <c r="A171" s="438">
        <v>23</v>
      </c>
      <c r="B171" s="438" t="s">
        <v>151</v>
      </c>
      <c r="C171" s="439"/>
      <c r="D171" s="440">
        <v>42094</v>
      </c>
      <c r="E171" s="441"/>
      <c r="F171" s="441">
        <f>650650000+49500000</f>
        <v>700150000</v>
      </c>
      <c r="G171" s="172">
        <v>195195000</v>
      </c>
      <c r="H171" s="441">
        <f>485650000+49500000</f>
        <v>535150000</v>
      </c>
      <c r="I171" s="172">
        <v>195195000</v>
      </c>
      <c r="J171" s="176">
        <v>42103</v>
      </c>
      <c r="K171" s="174" t="s">
        <v>373</v>
      </c>
    </row>
    <row r="172" spans="1:12" ht="17.25" customHeight="1">
      <c r="A172" s="438"/>
      <c r="B172" s="438"/>
      <c r="C172" s="439"/>
      <c r="D172" s="440"/>
      <c r="E172" s="441"/>
      <c r="F172" s="441"/>
      <c r="G172" s="172">
        <v>140000000</v>
      </c>
      <c r="H172" s="441"/>
      <c r="I172" s="172">
        <v>140000000</v>
      </c>
      <c r="J172" s="176">
        <v>42170</v>
      </c>
      <c r="K172" s="174" t="s">
        <v>373</v>
      </c>
    </row>
    <row r="173" spans="1:12" ht="17.25" customHeight="1">
      <c r="A173" s="438"/>
      <c r="B173" s="438"/>
      <c r="C173" s="439"/>
      <c r="D173" s="440"/>
      <c r="E173" s="441"/>
      <c r="F173" s="441"/>
      <c r="G173" s="177">
        <f>I173</f>
        <v>50000000</v>
      </c>
      <c r="H173" s="441"/>
      <c r="I173" s="172">
        <v>50000000</v>
      </c>
      <c r="J173" s="380">
        <v>42319</v>
      </c>
      <c r="K173" s="381" t="s">
        <v>373</v>
      </c>
    </row>
    <row r="174" spans="1:12" ht="17.25" customHeight="1">
      <c r="A174" s="438"/>
      <c r="B174" s="438"/>
      <c r="C174" s="439"/>
      <c r="D174" s="440"/>
      <c r="E174" s="441"/>
      <c r="F174" s="441"/>
      <c r="G174" s="177">
        <f t="shared" ref="G174:G175" si="7">I174</f>
        <v>0</v>
      </c>
      <c r="H174" s="441"/>
      <c r="I174" s="172"/>
      <c r="J174" s="380"/>
      <c r="K174" s="381"/>
    </row>
    <row r="175" spans="1:12" ht="16.5" customHeight="1">
      <c r="A175" s="438"/>
      <c r="B175" s="438"/>
      <c r="C175" s="439"/>
      <c r="D175" s="440"/>
      <c r="E175" s="441"/>
      <c r="F175" s="441"/>
      <c r="G175" s="177">
        <f t="shared" si="7"/>
        <v>0</v>
      </c>
      <c r="H175" s="441"/>
      <c r="I175" s="151"/>
      <c r="J175" s="176"/>
      <c r="K175" s="188"/>
    </row>
    <row r="176" spans="1:12" s="161" customFormat="1" ht="18" customHeight="1">
      <c r="A176" s="438"/>
      <c r="B176" s="438"/>
      <c r="C176" s="442" t="s">
        <v>94</v>
      </c>
      <c r="D176" s="443"/>
      <c r="E176" s="158">
        <f>SUM(E171:E175)</f>
        <v>0</v>
      </c>
      <c r="F176" s="158">
        <f>SUM(F171:F175)</f>
        <v>700150000</v>
      </c>
      <c r="G176" s="158">
        <f>SUM(G171:G175)</f>
        <v>385195000</v>
      </c>
      <c r="H176" s="158">
        <f>SUM(H171:H175)</f>
        <v>535150000</v>
      </c>
      <c r="I176" s="158">
        <f>SUM(I171:I175)</f>
        <v>385195000</v>
      </c>
      <c r="J176" s="159"/>
      <c r="K176" s="160" t="s">
        <v>42</v>
      </c>
      <c r="L176" s="304"/>
    </row>
    <row r="177" spans="1:12" s="161" customFormat="1" ht="18" customHeight="1">
      <c r="A177" s="438"/>
      <c r="B177" s="438"/>
      <c r="C177" s="442" t="s">
        <v>380</v>
      </c>
      <c r="D177" s="443"/>
      <c r="E177" s="162"/>
      <c r="F177" s="162"/>
      <c r="G177" s="163">
        <f>E176-G176</f>
        <v>-385195000</v>
      </c>
      <c r="H177" s="162"/>
      <c r="I177" s="163">
        <f>H176-I176</f>
        <v>149955000</v>
      </c>
      <c r="J177" s="159"/>
      <c r="K177" s="160"/>
      <c r="L177" s="304"/>
    </row>
    <row r="178" spans="1:12" ht="16.5" customHeight="1">
      <c r="A178" s="438">
        <v>24</v>
      </c>
      <c r="B178" s="438" t="s">
        <v>152</v>
      </c>
      <c r="C178" s="439" t="s">
        <v>398</v>
      </c>
      <c r="D178" s="440">
        <v>41618</v>
      </c>
      <c r="E178" s="441"/>
      <c r="F178" s="441">
        <v>394100000</v>
      </c>
      <c r="G178" s="172">
        <v>100000000</v>
      </c>
      <c r="H178" s="441">
        <v>298500000</v>
      </c>
      <c r="I178" s="172">
        <v>100000000</v>
      </c>
      <c r="J178" s="176">
        <v>42116</v>
      </c>
      <c r="K178" s="174" t="s">
        <v>373</v>
      </c>
    </row>
    <row r="179" spans="1:12" ht="16.5" customHeight="1">
      <c r="A179" s="438"/>
      <c r="B179" s="438"/>
      <c r="C179" s="439"/>
      <c r="D179" s="440"/>
      <c r="E179" s="441"/>
      <c r="F179" s="441"/>
      <c r="G179" s="138"/>
      <c r="H179" s="441"/>
      <c r="I179" s="151"/>
      <c r="J179" s="176"/>
      <c r="K179" s="188"/>
    </row>
    <row r="180" spans="1:12" s="161" customFormat="1" ht="18" customHeight="1">
      <c r="A180" s="438"/>
      <c r="B180" s="438"/>
      <c r="C180" s="442" t="s">
        <v>94</v>
      </c>
      <c r="D180" s="443"/>
      <c r="E180" s="158">
        <f>SUM(E178:E179)</f>
        <v>0</v>
      </c>
      <c r="F180" s="158">
        <f>SUM(F178:F179)</f>
        <v>394100000</v>
      </c>
      <c r="G180" s="158">
        <f>SUM(G178:G179)</f>
        <v>100000000</v>
      </c>
      <c r="H180" s="158">
        <f>SUM(H178:H179)</f>
        <v>298500000</v>
      </c>
      <c r="I180" s="158">
        <f>SUM(I178:I179)</f>
        <v>100000000</v>
      </c>
      <c r="J180" s="159"/>
      <c r="K180" s="160" t="s">
        <v>42</v>
      </c>
      <c r="L180" s="304"/>
    </row>
    <row r="181" spans="1:12" s="161" customFormat="1" ht="18" customHeight="1">
      <c r="A181" s="438"/>
      <c r="B181" s="438"/>
      <c r="C181" s="442" t="s">
        <v>380</v>
      </c>
      <c r="D181" s="443"/>
      <c r="E181" s="162"/>
      <c r="F181" s="162"/>
      <c r="G181" s="163">
        <f>E180-G180</f>
        <v>-100000000</v>
      </c>
      <c r="H181" s="162"/>
      <c r="I181" s="163">
        <f>H180-I180</f>
        <v>198500000</v>
      </c>
      <c r="J181" s="159"/>
      <c r="K181" s="160"/>
      <c r="L181" s="304"/>
    </row>
    <row r="182" spans="1:12" ht="16.5" customHeight="1">
      <c r="A182" s="438">
        <v>25</v>
      </c>
      <c r="B182" s="438" t="s">
        <v>172</v>
      </c>
      <c r="C182" s="439" t="s">
        <v>399</v>
      </c>
      <c r="D182" s="440"/>
      <c r="E182" s="441"/>
      <c r="F182" s="441">
        <v>898744036</v>
      </c>
      <c r="G182" s="172">
        <f>IF(I182&gt;0,I182,0)</f>
        <v>150000000</v>
      </c>
      <c r="H182" s="441">
        <f>663683801</f>
        <v>663683801</v>
      </c>
      <c r="I182" s="172">
        <v>150000000</v>
      </c>
      <c r="J182" s="176">
        <v>42132</v>
      </c>
      <c r="K182" s="174" t="s">
        <v>373</v>
      </c>
    </row>
    <row r="183" spans="1:12" ht="16.5" customHeight="1">
      <c r="A183" s="438"/>
      <c r="B183" s="438"/>
      <c r="C183" s="439"/>
      <c r="D183" s="440"/>
      <c r="E183" s="441"/>
      <c r="F183" s="441"/>
      <c r="G183" s="172">
        <f t="shared" ref="G183:G189" si="8">IF(I183&gt;0,I183,0)</f>
        <v>150000000</v>
      </c>
      <c r="H183" s="441"/>
      <c r="I183" s="172">
        <v>150000000</v>
      </c>
      <c r="J183" s="176">
        <v>42144</v>
      </c>
      <c r="K183" s="174" t="s">
        <v>373</v>
      </c>
    </row>
    <row r="184" spans="1:12" ht="16.5" customHeight="1">
      <c r="A184" s="438"/>
      <c r="B184" s="438"/>
      <c r="C184" s="439"/>
      <c r="D184" s="440"/>
      <c r="E184" s="441"/>
      <c r="F184" s="441"/>
      <c r="G184" s="172">
        <f t="shared" si="8"/>
        <v>50000000</v>
      </c>
      <c r="H184" s="441"/>
      <c r="I184" s="172">
        <v>50000000</v>
      </c>
      <c r="J184" s="176">
        <v>42157</v>
      </c>
      <c r="K184" s="174" t="s">
        <v>373</v>
      </c>
    </row>
    <row r="185" spans="1:12" ht="16.5" customHeight="1">
      <c r="A185" s="438"/>
      <c r="B185" s="438"/>
      <c r="C185" s="439"/>
      <c r="D185" s="440"/>
      <c r="E185" s="441"/>
      <c r="F185" s="441"/>
      <c r="G185" s="172">
        <f t="shared" si="8"/>
        <v>200000000</v>
      </c>
      <c r="H185" s="441"/>
      <c r="I185" s="172">
        <v>200000000</v>
      </c>
      <c r="J185" s="176">
        <v>42167</v>
      </c>
      <c r="K185" s="174" t="s">
        <v>373</v>
      </c>
    </row>
    <row r="186" spans="1:12" ht="16.5" customHeight="1">
      <c r="A186" s="438"/>
      <c r="B186" s="438"/>
      <c r="C186" s="439"/>
      <c r="D186" s="440"/>
      <c r="E186" s="441"/>
      <c r="F186" s="441"/>
      <c r="G186" s="172">
        <f t="shared" si="8"/>
        <v>100000000</v>
      </c>
      <c r="H186" s="441"/>
      <c r="I186" s="172">
        <v>100000000</v>
      </c>
      <c r="J186" s="176">
        <v>42198</v>
      </c>
      <c r="K186" s="174" t="s">
        <v>373</v>
      </c>
    </row>
    <row r="187" spans="1:12" ht="16.5" customHeight="1">
      <c r="A187" s="438"/>
      <c r="B187" s="438"/>
      <c r="C187" s="439" t="s">
        <v>414</v>
      </c>
      <c r="D187" s="440"/>
      <c r="E187" s="441"/>
      <c r="F187" s="441">
        <v>627830692</v>
      </c>
      <c r="G187" s="172">
        <f t="shared" si="8"/>
        <v>400000000</v>
      </c>
      <c r="H187" s="441">
        <v>304043967</v>
      </c>
      <c r="I187" s="172">
        <v>400000000</v>
      </c>
      <c r="J187" s="176">
        <v>42219</v>
      </c>
      <c r="K187" s="174" t="s">
        <v>373</v>
      </c>
    </row>
    <row r="188" spans="1:12" ht="16.5" customHeight="1">
      <c r="A188" s="438"/>
      <c r="B188" s="438"/>
      <c r="C188" s="439"/>
      <c r="D188" s="440"/>
      <c r="E188" s="441"/>
      <c r="F188" s="441"/>
      <c r="G188" s="172">
        <f t="shared" si="8"/>
        <v>0</v>
      </c>
      <c r="H188" s="441"/>
      <c r="I188" s="193">
        <v>-200000000</v>
      </c>
      <c r="J188" s="194">
        <v>42220</v>
      </c>
      <c r="K188" s="195" t="s">
        <v>391</v>
      </c>
    </row>
    <row r="189" spans="1:12" ht="16.5" customHeight="1">
      <c r="A189" s="438"/>
      <c r="B189" s="438"/>
      <c r="C189" s="439"/>
      <c r="D189" s="440"/>
      <c r="E189" s="441"/>
      <c r="F189" s="441"/>
      <c r="G189" s="172">
        <f t="shared" si="8"/>
        <v>0</v>
      </c>
      <c r="H189" s="441"/>
      <c r="I189" s="172"/>
      <c r="J189" s="176"/>
      <c r="K189" s="174"/>
    </row>
    <row r="190" spans="1:12" s="161" customFormat="1" ht="18" customHeight="1">
      <c r="A190" s="438"/>
      <c r="B190" s="438"/>
      <c r="C190" s="442" t="s">
        <v>94</v>
      </c>
      <c r="D190" s="443"/>
      <c r="E190" s="158">
        <f>SUM(E182:E189)</f>
        <v>0</v>
      </c>
      <c r="F190" s="158">
        <f>SUM(F182:F189)</f>
        <v>1526574728</v>
      </c>
      <c r="G190" s="158">
        <f>SUM(G182:G189)</f>
        <v>1050000000</v>
      </c>
      <c r="H190" s="158">
        <f>SUM(H182:H189)</f>
        <v>967727768</v>
      </c>
      <c r="I190" s="158">
        <f>SUM(I182:I189)</f>
        <v>850000000</v>
      </c>
      <c r="J190" s="159"/>
      <c r="K190" s="160" t="s">
        <v>42</v>
      </c>
      <c r="L190" s="304"/>
    </row>
    <row r="191" spans="1:12" s="161" customFormat="1" ht="18" customHeight="1">
      <c r="A191" s="438"/>
      <c r="B191" s="438"/>
      <c r="C191" s="442" t="s">
        <v>380</v>
      </c>
      <c r="D191" s="443"/>
      <c r="E191" s="162"/>
      <c r="F191" s="162"/>
      <c r="G191" s="163">
        <f>E190-G190</f>
        <v>-1050000000</v>
      </c>
      <c r="H191" s="162"/>
      <c r="I191" s="163">
        <f>H190-I190</f>
        <v>117727768</v>
      </c>
      <c r="J191" s="159"/>
      <c r="K191" s="160"/>
      <c r="L191" s="304"/>
    </row>
    <row r="192" spans="1:12" ht="16.5" customHeight="1">
      <c r="A192" s="438">
        <v>26</v>
      </c>
      <c r="B192" s="475" t="s">
        <v>190</v>
      </c>
      <c r="C192" s="481" t="s">
        <v>402</v>
      </c>
      <c r="D192" s="483">
        <v>42125</v>
      </c>
      <c r="E192" s="179">
        <v>99315638</v>
      </c>
      <c r="F192" s="485">
        <v>893000000</v>
      </c>
      <c r="G192" s="172">
        <f>IF(I192&gt;0,I192,0)</f>
        <v>200000000</v>
      </c>
      <c r="H192" s="179">
        <v>99315000</v>
      </c>
      <c r="I192" s="179">
        <v>200000000</v>
      </c>
      <c r="J192" s="189">
        <v>42144</v>
      </c>
      <c r="K192" s="190" t="s">
        <v>373</v>
      </c>
    </row>
    <row r="193" spans="1:12" ht="16.5" customHeight="1">
      <c r="A193" s="438"/>
      <c r="B193" s="475"/>
      <c r="C193" s="461"/>
      <c r="D193" s="473"/>
      <c r="E193" s="172">
        <v>525544049</v>
      </c>
      <c r="F193" s="445"/>
      <c r="G193" s="172">
        <f t="shared" ref="G193:G201" si="9">IF(I193&gt;0,I193,0)</f>
        <v>250000000</v>
      </c>
      <c r="H193" s="172">
        <v>278359000</v>
      </c>
      <c r="I193" s="172">
        <v>250000000</v>
      </c>
      <c r="J193" s="176">
        <v>42188</v>
      </c>
      <c r="K193" s="178" t="s">
        <v>373</v>
      </c>
    </row>
    <row r="194" spans="1:12" ht="16.5" customHeight="1">
      <c r="A194" s="438"/>
      <c r="B194" s="475"/>
      <c r="C194" s="461"/>
      <c r="D194" s="473"/>
      <c r="F194" s="445"/>
      <c r="G194" s="172">
        <f t="shared" si="9"/>
        <v>300000000</v>
      </c>
      <c r="H194" s="172">
        <v>247185000</v>
      </c>
      <c r="I194" s="181">
        <v>300000000</v>
      </c>
      <c r="J194" s="176">
        <v>42219</v>
      </c>
      <c r="K194" s="178" t="s">
        <v>373</v>
      </c>
    </row>
    <row r="195" spans="1:12" ht="16.5" customHeight="1">
      <c r="A195" s="438"/>
      <c r="B195" s="475"/>
      <c r="C195" s="461"/>
      <c r="D195" s="473"/>
      <c r="E195" s="172">
        <v>60382018</v>
      </c>
      <c r="F195" s="445"/>
      <c r="G195" s="172">
        <f t="shared" si="9"/>
        <v>0</v>
      </c>
      <c r="H195" s="172">
        <v>61180000</v>
      </c>
      <c r="I195" s="181">
        <v>-100000000</v>
      </c>
      <c r="J195" s="176">
        <v>42220</v>
      </c>
      <c r="K195" s="187" t="s">
        <v>391</v>
      </c>
    </row>
    <row r="196" spans="1:12" ht="16.5" customHeight="1">
      <c r="A196" s="438"/>
      <c r="B196" s="475"/>
      <c r="C196" s="461"/>
      <c r="D196" s="473"/>
      <c r="E196" s="172">
        <v>295513229</v>
      </c>
      <c r="F196" s="445"/>
      <c r="G196" s="172">
        <f t="shared" si="9"/>
        <v>150000000</v>
      </c>
      <c r="H196" s="172">
        <v>303311000</v>
      </c>
      <c r="I196" s="225">
        <v>150000000</v>
      </c>
      <c r="J196" s="229">
        <v>42251</v>
      </c>
      <c r="K196" s="242" t="s">
        <v>373</v>
      </c>
    </row>
    <row r="197" spans="1:12" ht="16.5" customHeight="1">
      <c r="A197" s="438"/>
      <c r="B197" s="475"/>
      <c r="C197" s="461"/>
      <c r="D197" s="473"/>
      <c r="E197" s="172">
        <v>81027109</v>
      </c>
      <c r="F197" s="445"/>
      <c r="G197" s="172">
        <f t="shared" si="9"/>
        <v>150000000</v>
      </c>
      <c r="H197" s="172">
        <v>82240000</v>
      </c>
      <c r="I197" s="296">
        <v>150000000</v>
      </c>
      <c r="J197" s="297">
        <v>42279</v>
      </c>
      <c r="K197" s="294" t="s">
        <v>373</v>
      </c>
    </row>
    <row r="198" spans="1:12" ht="16.5" customHeight="1">
      <c r="A198" s="438"/>
      <c r="B198" s="475"/>
      <c r="C198" s="461"/>
      <c r="D198" s="473"/>
      <c r="E198" s="172">
        <v>11344513</v>
      </c>
      <c r="F198" s="445"/>
      <c r="G198" s="382">
        <v>123128513</v>
      </c>
      <c r="H198" s="389">
        <v>19689000</v>
      </c>
      <c r="I198" s="385">
        <v>123128513</v>
      </c>
      <c r="J198" s="384">
        <v>42366</v>
      </c>
      <c r="K198" s="386" t="s">
        <v>373</v>
      </c>
    </row>
    <row r="199" spans="1:12" ht="16.5" customHeight="1">
      <c r="A199" s="438"/>
      <c r="B199" s="475"/>
      <c r="C199" s="461"/>
      <c r="D199" s="473"/>
      <c r="E199" s="197">
        <v>100001957</v>
      </c>
      <c r="F199" s="445"/>
      <c r="G199" s="172"/>
      <c r="H199" s="389">
        <v>4361000</v>
      </c>
      <c r="I199" s="382"/>
      <c r="J199" s="384"/>
      <c r="K199" s="383"/>
    </row>
    <row r="200" spans="1:12" ht="16.5" customHeight="1">
      <c r="A200" s="438"/>
      <c r="B200" s="475"/>
      <c r="C200" s="461"/>
      <c r="D200" s="473"/>
      <c r="E200" s="172"/>
      <c r="F200" s="445"/>
      <c r="G200" s="172"/>
      <c r="H200" s="389"/>
      <c r="I200" s="382"/>
      <c r="J200" s="384"/>
      <c r="K200" s="383"/>
    </row>
    <row r="201" spans="1:12" ht="16.5" customHeight="1">
      <c r="A201" s="438"/>
      <c r="B201" s="475"/>
      <c r="C201" s="482"/>
      <c r="D201" s="484"/>
      <c r="E201" s="388"/>
      <c r="F201" s="486"/>
      <c r="G201" s="172">
        <f t="shared" si="9"/>
        <v>0</v>
      </c>
      <c r="H201" s="388"/>
      <c r="I201" s="182"/>
      <c r="J201" s="191"/>
      <c r="K201" s="192"/>
    </row>
    <row r="202" spans="1:12" s="161" customFormat="1" ht="18" customHeight="1">
      <c r="A202" s="438"/>
      <c r="B202" s="475"/>
      <c r="C202" s="442" t="s">
        <v>94</v>
      </c>
      <c r="D202" s="443"/>
      <c r="E202" s="158">
        <f>SUM(E192:E201)</f>
        <v>1173128513</v>
      </c>
      <c r="F202" s="158">
        <f>SUM(F192:F201)</f>
        <v>893000000</v>
      </c>
      <c r="G202" s="158">
        <f t="shared" ref="G202:I202" si="10">SUM(G192:G201)</f>
        <v>1173128513</v>
      </c>
      <c r="H202" s="158">
        <f t="shared" si="10"/>
        <v>1095640000</v>
      </c>
      <c r="I202" s="158">
        <f t="shared" si="10"/>
        <v>1073128513</v>
      </c>
      <c r="J202" s="160"/>
      <c r="K202" s="160" t="s">
        <v>42</v>
      </c>
      <c r="L202" s="304"/>
    </row>
    <row r="203" spans="1:12" s="161" customFormat="1" ht="18" customHeight="1">
      <c r="A203" s="438"/>
      <c r="B203" s="475"/>
      <c r="C203" s="442" t="s">
        <v>380</v>
      </c>
      <c r="D203" s="443"/>
      <c r="E203" s="162"/>
      <c r="F203" s="162"/>
      <c r="G203" s="163">
        <f>E202-G202</f>
        <v>0</v>
      </c>
      <c r="H203" s="162"/>
      <c r="I203" s="163">
        <f>H202-I202</f>
        <v>22511487</v>
      </c>
      <c r="J203" s="162"/>
      <c r="K203" s="390"/>
      <c r="L203" s="304"/>
    </row>
    <row r="204" spans="1:12" ht="16.5" customHeight="1">
      <c r="A204" s="438">
        <v>27</v>
      </c>
      <c r="B204" s="475" t="s">
        <v>269</v>
      </c>
      <c r="C204" s="452" t="s">
        <v>403</v>
      </c>
      <c r="D204" s="462">
        <v>42125</v>
      </c>
      <c r="E204" s="444"/>
      <c r="F204" s="444">
        <v>1489950000</v>
      </c>
      <c r="G204" s="172">
        <f>IF(I204&gt;0,I204,0)</f>
        <v>200000000</v>
      </c>
      <c r="H204" s="444">
        <v>868450000</v>
      </c>
      <c r="I204" s="172">
        <v>200000000</v>
      </c>
      <c r="J204" s="176">
        <v>42150</v>
      </c>
      <c r="K204" s="174" t="s">
        <v>373</v>
      </c>
    </row>
    <row r="205" spans="1:12" ht="16.5" customHeight="1">
      <c r="A205" s="438"/>
      <c r="B205" s="475"/>
      <c r="C205" s="461"/>
      <c r="D205" s="461"/>
      <c r="E205" s="445"/>
      <c r="F205" s="445"/>
      <c r="G205" s="172">
        <f t="shared" ref="G205:G211" si="11">IF(I205&gt;0,I205,0)</f>
        <v>500000000</v>
      </c>
      <c r="H205" s="445"/>
      <c r="I205" s="172">
        <v>500000000</v>
      </c>
      <c r="J205" s="176">
        <v>42198</v>
      </c>
      <c r="K205" s="174" t="s">
        <v>373</v>
      </c>
    </row>
    <row r="206" spans="1:12" ht="16.5" customHeight="1">
      <c r="A206" s="438"/>
      <c r="B206" s="475"/>
      <c r="C206" s="461"/>
      <c r="D206" s="461"/>
      <c r="E206" s="445"/>
      <c r="F206" s="445"/>
      <c r="G206" s="172">
        <f t="shared" si="11"/>
        <v>0</v>
      </c>
      <c r="H206" s="445"/>
      <c r="I206" s="193">
        <v>-300000000</v>
      </c>
      <c r="J206" s="194">
        <v>42199</v>
      </c>
      <c r="K206" s="195" t="s">
        <v>391</v>
      </c>
    </row>
    <row r="207" spans="1:12" ht="16.5" customHeight="1">
      <c r="A207" s="438"/>
      <c r="B207" s="475"/>
      <c r="C207" s="461"/>
      <c r="D207" s="461"/>
      <c r="E207" s="445"/>
      <c r="F207" s="445"/>
      <c r="G207" s="172">
        <f t="shared" si="11"/>
        <v>500000000</v>
      </c>
      <c r="H207" s="445"/>
      <c r="I207" s="172">
        <v>500000000</v>
      </c>
      <c r="J207" s="233">
        <v>42241</v>
      </c>
      <c r="K207" s="232" t="s">
        <v>373</v>
      </c>
    </row>
    <row r="208" spans="1:12" ht="16.5" customHeight="1">
      <c r="A208" s="438"/>
      <c r="B208" s="475"/>
      <c r="C208" s="461"/>
      <c r="D208" s="461"/>
      <c r="E208" s="445"/>
      <c r="F208" s="445"/>
      <c r="G208" s="172">
        <f t="shared" si="11"/>
        <v>0</v>
      </c>
      <c r="H208" s="445"/>
      <c r="I208" s="193">
        <v>-300000000</v>
      </c>
      <c r="J208" s="194">
        <v>42242</v>
      </c>
      <c r="K208" s="195" t="s">
        <v>391</v>
      </c>
    </row>
    <row r="209" spans="1:12" ht="16.5" customHeight="1">
      <c r="A209" s="438"/>
      <c r="B209" s="475"/>
      <c r="C209" s="461"/>
      <c r="D209" s="461"/>
      <c r="E209" s="445"/>
      <c r="F209" s="445"/>
      <c r="G209" s="172">
        <f t="shared" si="11"/>
        <v>400000000</v>
      </c>
      <c r="H209" s="445"/>
      <c r="I209" s="172">
        <v>400000000</v>
      </c>
      <c r="J209" s="295">
        <v>42279</v>
      </c>
      <c r="K209" s="298" t="s">
        <v>373</v>
      </c>
    </row>
    <row r="210" spans="1:12" ht="16.5" customHeight="1">
      <c r="A210" s="438"/>
      <c r="B210" s="475"/>
      <c r="C210" s="461"/>
      <c r="D210" s="461"/>
      <c r="E210" s="445"/>
      <c r="F210" s="445"/>
      <c r="G210" s="172">
        <f t="shared" si="11"/>
        <v>0</v>
      </c>
      <c r="H210" s="445"/>
      <c r="I210" s="193">
        <v>-200000000</v>
      </c>
      <c r="J210" s="194">
        <v>42286</v>
      </c>
      <c r="K210" s="195" t="s">
        <v>391</v>
      </c>
    </row>
    <row r="211" spans="1:12" ht="16.5" customHeight="1">
      <c r="A211" s="438"/>
      <c r="B211" s="475"/>
      <c r="C211" s="461"/>
      <c r="D211" s="461"/>
      <c r="E211" s="445"/>
      <c r="F211" s="445"/>
      <c r="G211" s="172">
        <f t="shared" si="11"/>
        <v>0</v>
      </c>
      <c r="H211" s="445"/>
      <c r="I211" s="151"/>
      <c r="J211" s="176"/>
      <c r="K211" s="188"/>
    </row>
    <row r="212" spans="1:12" s="161" customFormat="1" ht="18" customHeight="1">
      <c r="A212" s="438"/>
      <c r="B212" s="475"/>
      <c r="C212" s="442" t="s">
        <v>94</v>
      </c>
      <c r="D212" s="443"/>
      <c r="E212" s="158">
        <f>SUM(E204:E211)</f>
        <v>0</v>
      </c>
      <c r="F212" s="158">
        <f>SUM(F204:F211)</f>
        <v>1489950000</v>
      </c>
      <c r="G212" s="158">
        <f>SUM(G204:G211)</f>
        <v>1600000000</v>
      </c>
      <c r="H212" s="158">
        <f>SUM(H204:H211)</f>
        <v>868450000</v>
      </c>
      <c r="I212" s="158">
        <f>SUM(I204:I211)</f>
        <v>800000000</v>
      </c>
      <c r="J212" s="159"/>
      <c r="K212" s="160" t="s">
        <v>42</v>
      </c>
      <c r="L212" s="304"/>
    </row>
    <row r="213" spans="1:12" s="161" customFormat="1" ht="18" customHeight="1">
      <c r="A213" s="438"/>
      <c r="B213" s="475"/>
      <c r="C213" s="442" t="s">
        <v>380</v>
      </c>
      <c r="D213" s="443"/>
      <c r="E213" s="162"/>
      <c r="F213" s="162"/>
      <c r="G213" s="163">
        <f>E212-G212</f>
        <v>-1600000000</v>
      </c>
      <c r="H213" s="162"/>
      <c r="I213" s="163">
        <f>H212-I212</f>
        <v>68450000</v>
      </c>
      <c r="J213" s="159"/>
      <c r="K213" s="160"/>
      <c r="L213" s="304"/>
    </row>
    <row r="214" spans="1:12" ht="16.5" customHeight="1">
      <c r="A214" s="438">
        <v>28</v>
      </c>
      <c r="B214" s="475" t="s">
        <v>407</v>
      </c>
      <c r="C214" s="452" t="s">
        <v>408</v>
      </c>
      <c r="D214" s="462">
        <v>42205</v>
      </c>
      <c r="E214" s="444"/>
      <c r="F214" s="444">
        <v>282530000</v>
      </c>
      <c r="G214" s="172">
        <f t="shared" ref="G214:G222" si="12">IF(I214&gt;0,I214,0)</f>
        <v>90000000</v>
      </c>
      <c r="H214" s="444">
        <v>282530000</v>
      </c>
      <c r="I214" s="151">
        <v>90000000</v>
      </c>
      <c r="J214" s="176">
        <v>42212</v>
      </c>
      <c r="K214" s="174" t="s">
        <v>373</v>
      </c>
    </row>
    <row r="215" spans="1:12" ht="16.5" customHeight="1">
      <c r="A215" s="438"/>
      <c r="B215" s="475"/>
      <c r="C215" s="461"/>
      <c r="D215" s="473"/>
      <c r="E215" s="445"/>
      <c r="F215" s="445"/>
      <c r="G215" s="172">
        <f t="shared" si="12"/>
        <v>50000000</v>
      </c>
      <c r="H215" s="445"/>
      <c r="I215" s="151">
        <v>50000000</v>
      </c>
      <c r="J215" s="214">
        <v>42229</v>
      </c>
      <c r="K215" s="215" t="s">
        <v>373</v>
      </c>
    </row>
    <row r="216" spans="1:12" ht="16.5" customHeight="1">
      <c r="A216" s="438"/>
      <c r="B216" s="475"/>
      <c r="C216" s="461"/>
      <c r="D216" s="473"/>
      <c r="E216" s="445"/>
      <c r="F216" s="445"/>
      <c r="G216" s="172">
        <f t="shared" si="12"/>
        <v>50000000</v>
      </c>
      <c r="H216" s="445"/>
      <c r="I216" s="151">
        <v>50000000</v>
      </c>
      <c r="J216" s="233">
        <v>42241</v>
      </c>
      <c r="K216" s="232" t="s">
        <v>373</v>
      </c>
    </row>
    <row r="217" spans="1:12" ht="16.5" customHeight="1">
      <c r="A217" s="438"/>
      <c r="B217" s="475"/>
      <c r="C217" s="461"/>
      <c r="D217" s="473"/>
      <c r="E217" s="445"/>
      <c r="F217" s="445"/>
      <c r="G217" s="172">
        <f t="shared" si="12"/>
        <v>50000000</v>
      </c>
      <c r="H217" s="445"/>
      <c r="I217" s="151">
        <v>50000000</v>
      </c>
      <c r="J217" s="281">
        <v>42251</v>
      </c>
      <c r="K217" s="280" t="s">
        <v>373</v>
      </c>
    </row>
    <row r="218" spans="1:12" ht="16.5" customHeight="1">
      <c r="A218" s="438"/>
      <c r="B218" s="475"/>
      <c r="C218" s="461"/>
      <c r="D218" s="473"/>
      <c r="E218" s="445"/>
      <c r="F218" s="445"/>
      <c r="G218" s="172">
        <f t="shared" si="12"/>
        <v>30000000</v>
      </c>
      <c r="H218" s="445"/>
      <c r="I218" s="151">
        <v>30000000</v>
      </c>
      <c r="J218" s="310">
        <v>42285</v>
      </c>
      <c r="K218" s="311" t="s">
        <v>373</v>
      </c>
    </row>
    <row r="219" spans="1:12" ht="16.5" customHeight="1">
      <c r="A219" s="438"/>
      <c r="B219" s="475"/>
      <c r="C219" s="461"/>
      <c r="D219" s="473"/>
      <c r="E219" s="445"/>
      <c r="F219" s="445"/>
      <c r="G219" s="172"/>
      <c r="H219" s="445"/>
      <c r="I219" s="151">
        <v>10000000</v>
      </c>
      <c r="J219" s="310">
        <v>42306</v>
      </c>
      <c r="K219" s="311" t="s">
        <v>387</v>
      </c>
    </row>
    <row r="220" spans="1:12" ht="16.5" customHeight="1">
      <c r="A220" s="438"/>
      <c r="B220" s="475"/>
      <c r="C220" s="461"/>
      <c r="D220" s="473"/>
      <c r="E220" s="445"/>
      <c r="F220" s="445"/>
      <c r="G220" s="172">
        <f t="shared" si="12"/>
        <v>30000000</v>
      </c>
      <c r="H220" s="445"/>
      <c r="I220" s="151">
        <v>30000000</v>
      </c>
      <c r="J220" s="329">
        <v>42342</v>
      </c>
      <c r="K220" s="381" t="s">
        <v>373</v>
      </c>
    </row>
    <row r="221" spans="1:12" ht="16.5" customHeight="1">
      <c r="A221" s="438"/>
      <c r="B221" s="475"/>
      <c r="C221" s="461"/>
      <c r="D221" s="473"/>
      <c r="E221" s="445"/>
      <c r="F221" s="445"/>
      <c r="G221" s="172">
        <f t="shared" si="12"/>
        <v>0</v>
      </c>
      <c r="H221" s="445"/>
      <c r="I221" s="151"/>
      <c r="J221" s="329"/>
      <c r="K221" s="328"/>
    </row>
    <row r="222" spans="1:12" ht="16.5" customHeight="1">
      <c r="A222" s="438"/>
      <c r="B222" s="475"/>
      <c r="C222" s="461"/>
      <c r="D222" s="461"/>
      <c r="E222" s="445"/>
      <c r="F222" s="445"/>
      <c r="G222" s="172">
        <f t="shared" si="12"/>
        <v>0</v>
      </c>
      <c r="H222" s="445"/>
      <c r="I222" s="151"/>
      <c r="J222" s="176"/>
      <c r="K222" s="300"/>
    </row>
    <row r="223" spans="1:12" s="161" customFormat="1" ht="18" customHeight="1">
      <c r="A223" s="438"/>
      <c r="B223" s="475"/>
      <c r="C223" s="442" t="s">
        <v>94</v>
      </c>
      <c r="D223" s="443"/>
      <c r="E223" s="158">
        <f>SUM(E214:E222)</f>
        <v>0</v>
      </c>
      <c r="F223" s="158">
        <f>SUM(F214:F222)</f>
        <v>282530000</v>
      </c>
      <c r="G223" s="158">
        <f>SUM(G214:G222)</f>
        <v>300000000</v>
      </c>
      <c r="H223" s="158">
        <f>SUM(H214:H222)</f>
        <v>282530000</v>
      </c>
      <c r="I223" s="158">
        <f>SUM(I214:I222)</f>
        <v>310000000</v>
      </c>
      <c r="J223" s="159"/>
      <c r="K223" s="160" t="s">
        <v>42</v>
      </c>
      <c r="L223" s="304"/>
    </row>
    <row r="224" spans="1:12" s="161" customFormat="1" ht="18" customHeight="1">
      <c r="A224" s="438"/>
      <c r="B224" s="475"/>
      <c r="C224" s="442" t="s">
        <v>380</v>
      </c>
      <c r="D224" s="443"/>
      <c r="E224" s="162"/>
      <c r="F224" s="162"/>
      <c r="G224" s="163">
        <f>E223-G223</f>
        <v>-300000000</v>
      </c>
      <c r="H224" s="162"/>
      <c r="I224" s="163">
        <f>H223-I223</f>
        <v>-27470000</v>
      </c>
      <c r="J224" s="159"/>
      <c r="K224" s="160"/>
      <c r="L224" s="304"/>
    </row>
    <row r="225" spans="1:13" ht="16.5" customHeight="1">
      <c r="A225" s="438">
        <v>29</v>
      </c>
      <c r="B225" s="475" t="s">
        <v>428</v>
      </c>
      <c r="C225" s="207" t="str">
        <f ca="1">"Chi phí TM (có HĐ) đến "&amp; TEXT(NOW(),"dd/MM/yy")</f>
        <v>Chi phí TM (có HĐ) đến 29/12/15</v>
      </c>
      <c r="D225" s="189"/>
      <c r="E225" s="212">
        <f t="array" ref="E225">SUM(IF(KHN&amp;KHC="642"&amp;"1111",TH))</f>
        <v>72758533</v>
      </c>
      <c r="F225" s="223">
        <f t="array" ref="F225">SUM(IF(KHN&amp;KHC="642"&amp;"1111",TH))</f>
        <v>72758533</v>
      </c>
      <c r="G225" s="212">
        <f>F225</f>
        <v>72758533</v>
      </c>
      <c r="H225" s="226">
        <f t="shared" ref="H225:I225" si="13">G225</f>
        <v>72758533</v>
      </c>
      <c r="I225" s="226">
        <f t="shared" si="13"/>
        <v>72758533</v>
      </c>
      <c r="J225" s="205" t="str">
        <f>IF(D225&lt;&gt;"",D225,"")</f>
        <v/>
      </c>
      <c r="K225" s="211" t="s">
        <v>387</v>
      </c>
    </row>
    <row r="226" spans="1:13" ht="16.5" customHeight="1">
      <c r="A226" s="438"/>
      <c r="B226" s="475"/>
      <c r="C226" s="211" t="str">
        <f ca="1">"CP lãi vay ( 09/2014 - "&amp;MONTH(NOW())&amp;"/"&amp;YEAR(NOW())&amp;" )"</f>
        <v>CP lãi vay ( 09/2014 - 12/2015 )</v>
      </c>
      <c r="D226" s="173"/>
      <c r="E226" s="212">
        <f t="array" ref="E226">SUM(IF(KHN&amp;KHC="635"&amp;"1121",TH))</f>
        <v>1532829404</v>
      </c>
      <c r="F226" s="223">
        <f t="array" ref="F226">SUM(IF(KHN&amp;KHC="635"&amp;"1121",TH))</f>
        <v>1532829404</v>
      </c>
      <c r="G226" s="226">
        <f t="shared" ref="G226:I229" si="14">F226</f>
        <v>1532829404</v>
      </c>
      <c r="H226" s="226">
        <f t="shared" si="14"/>
        <v>1532829404</v>
      </c>
      <c r="I226" s="226">
        <f t="shared" si="14"/>
        <v>1532829404</v>
      </c>
      <c r="J226" s="205" t="str">
        <f t="shared" ref="J226" si="15">IF(D226&lt;&gt;"",D226,"")</f>
        <v/>
      </c>
      <c r="K226" s="211" t="s">
        <v>387</v>
      </c>
    </row>
    <row r="227" spans="1:13" ht="16.5" customHeight="1">
      <c r="A227" s="438"/>
      <c r="B227" s="475"/>
      <c r="C227" s="211" t="s">
        <v>427</v>
      </c>
      <c r="D227" s="173">
        <v>42130</v>
      </c>
      <c r="E227" s="226"/>
      <c r="F227" s="223">
        <v>23000000</v>
      </c>
      <c r="G227" s="226">
        <f t="shared" si="14"/>
        <v>23000000</v>
      </c>
      <c r="H227" s="226">
        <f t="shared" si="14"/>
        <v>23000000</v>
      </c>
      <c r="I227" s="226">
        <f t="shared" si="14"/>
        <v>23000000</v>
      </c>
      <c r="J227" s="205">
        <f t="shared" ref="J227:J229" si="16">IF(D227&lt;&gt;"",D227,"")</f>
        <v>42130</v>
      </c>
      <c r="K227" s="211" t="s">
        <v>387</v>
      </c>
    </row>
    <row r="228" spans="1:13" ht="16.5" customHeight="1">
      <c r="A228" s="438"/>
      <c r="B228" s="475"/>
      <c r="C228" s="204" t="s">
        <v>429</v>
      </c>
      <c r="D228" s="205">
        <v>42224</v>
      </c>
      <c r="E228" s="206"/>
      <c r="F228" s="220">
        <v>3740000</v>
      </c>
      <c r="G228" s="226">
        <f t="shared" si="14"/>
        <v>3740000</v>
      </c>
      <c r="H228" s="226">
        <f t="shared" si="14"/>
        <v>3740000</v>
      </c>
      <c r="I228" s="226">
        <f t="shared" si="14"/>
        <v>3740000</v>
      </c>
      <c r="J228" s="205">
        <f t="shared" si="16"/>
        <v>42224</v>
      </c>
      <c r="K228" s="211" t="s">
        <v>387</v>
      </c>
    </row>
    <row r="229" spans="1:13" ht="16.5" customHeight="1">
      <c r="A229" s="438"/>
      <c r="B229" s="475"/>
      <c r="C229" s="204"/>
      <c r="D229" s="205"/>
      <c r="E229" s="206"/>
      <c r="F229" s="220"/>
      <c r="G229" s="226">
        <f t="shared" si="14"/>
        <v>0</v>
      </c>
      <c r="H229" s="226">
        <f t="shared" si="14"/>
        <v>0</v>
      </c>
      <c r="I229" s="226">
        <f t="shared" si="14"/>
        <v>0</v>
      </c>
      <c r="J229" s="205" t="str">
        <f t="shared" si="16"/>
        <v/>
      </c>
      <c r="K229" s="211"/>
    </row>
    <row r="230" spans="1:13" s="161" customFormat="1" ht="18" customHeight="1">
      <c r="A230" s="438"/>
      <c r="B230" s="475"/>
      <c r="C230" s="442" t="s">
        <v>94</v>
      </c>
      <c r="D230" s="443"/>
      <c r="E230" s="158">
        <f>SUM(E225:E229)</f>
        <v>1605587937</v>
      </c>
      <c r="F230" s="158">
        <f>SUM(F225:F229)</f>
        <v>1632327937</v>
      </c>
      <c r="G230" s="158">
        <f>SUM(G225:G229)</f>
        <v>1632327937</v>
      </c>
      <c r="H230" s="158">
        <f>SUM(H225:H229)</f>
        <v>1632327937</v>
      </c>
      <c r="I230" s="158">
        <f>SUM(I225:I229)</f>
        <v>1632327937</v>
      </c>
      <c r="J230" s="159"/>
      <c r="K230" s="160" t="s">
        <v>42</v>
      </c>
      <c r="L230" s="304"/>
    </row>
    <row r="231" spans="1:13" s="161" customFormat="1" ht="18" customHeight="1">
      <c r="A231" s="438"/>
      <c r="B231" s="475"/>
      <c r="C231" s="442" t="s">
        <v>380</v>
      </c>
      <c r="D231" s="443"/>
      <c r="E231" s="162"/>
      <c r="F231" s="162"/>
      <c r="G231" s="163"/>
      <c r="H231" s="162"/>
      <c r="I231" s="163">
        <f>H230-I230</f>
        <v>0</v>
      </c>
      <c r="J231" s="159"/>
      <c r="K231" s="160"/>
      <c r="L231" s="304"/>
    </row>
    <row r="232" spans="1:13" ht="28.5" customHeight="1">
      <c r="A232" s="478" t="s">
        <v>409</v>
      </c>
      <c r="B232" s="479"/>
      <c r="C232" s="479"/>
      <c r="D232" s="480"/>
      <c r="E232" s="146">
        <f>SUMIF(DSTT,"x",$E$7:$E$231)</f>
        <v>20910267460</v>
      </c>
      <c r="F232" s="146">
        <f>SUMIF(DSTT,"x",$F$7:$F$231)</f>
        <v>35482869885</v>
      </c>
      <c r="G232" s="146">
        <f>SUMIF(DSTT,"x",$G$7:$G$231)</f>
        <v>27730863840</v>
      </c>
      <c r="H232" s="146">
        <f>SUMIF(DSTT,"x",$H$7:$H$231)</f>
        <v>31037031855</v>
      </c>
      <c r="I232" s="146">
        <f>SUMIF(DSTT,"x",$I$7:$I$231)</f>
        <v>24851668840</v>
      </c>
      <c r="J232" s="196"/>
      <c r="K232" s="196"/>
      <c r="M232" s="197"/>
    </row>
    <row r="233" spans="1:13" ht="17.25" customHeight="1"/>
    <row r="234" spans="1:13" ht="17.25" customHeight="1"/>
    <row r="235" spans="1:13" ht="17.25" customHeight="1"/>
    <row r="236" spans="1:13" ht="17.25" customHeight="1">
      <c r="J236" s="198" t="s">
        <v>387</v>
      </c>
      <c r="K236" s="199">
        <f>SUMIF(DSTT,J236,DSTT1)</f>
        <v>1942327937</v>
      </c>
    </row>
    <row r="237" spans="1:13" ht="17.25" customHeight="1">
      <c r="J237" s="198" t="s">
        <v>373</v>
      </c>
      <c r="K237" s="199">
        <f>SUMIF(DSTT,J237,DSTT1)</f>
        <v>26053655903</v>
      </c>
      <c r="L237" s="197">
        <f>'331'!E41</f>
        <v>26653912750</v>
      </c>
      <c r="M237" s="200">
        <f>K237-L237+L238</f>
        <v>-599929247</v>
      </c>
    </row>
    <row r="238" spans="1:13" ht="17.25" customHeight="1">
      <c r="J238" s="201" t="s">
        <v>391</v>
      </c>
      <c r="K238" s="199">
        <f>SUMIF(DSTT,J238,DSTT1)</f>
        <v>-3189195000</v>
      </c>
      <c r="L238" s="197">
        <f>327600</f>
        <v>327600</v>
      </c>
    </row>
    <row r="239" spans="1:13" ht="17.25" customHeight="1"/>
    <row r="240" spans="1:13" ht="17.25" customHeight="1">
      <c r="K240" s="202"/>
    </row>
  </sheetData>
  <autoFilter ref="A4:M213">
    <filterColumn colId="5"/>
    <filterColumn colId="6"/>
    <filterColumn colId="8"/>
  </autoFilter>
  <mergeCells count="253">
    <mergeCell ref="H187:H189"/>
    <mergeCell ref="A232:D232"/>
    <mergeCell ref="A214:A224"/>
    <mergeCell ref="B214:B224"/>
    <mergeCell ref="C214:C222"/>
    <mergeCell ref="D214:D222"/>
    <mergeCell ref="E214:E222"/>
    <mergeCell ref="H214:H222"/>
    <mergeCell ref="C223:D223"/>
    <mergeCell ref="C224:D224"/>
    <mergeCell ref="A225:A231"/>
    <mergeCell ref="B225:B231"/>
    <mergeCell ref="C230:D230"/>
    <mergeCell ref="C231:D231"/>
    <mergeCell ref="A192:A203"/>
    <mergeCell ref="B192:B203"/>
    <mergeCell ref="C192:C201"/>
    <mergeCell ref="D192:D201"/>
    <mergeCell ref="C202:D202"/>
    <mergeCell ref="C203:D203"/>
    <mergeCell ref="F192:F201"/>
    <mergeCell ref="C190:D190"/>
    <mergeCell ref="C191:D191"/>
    <mergeCell ref="E187:E189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54:A58"/>
    <mergeCell ref="B54:B58"/>
    <mergeCell ref="C54:C55"/>
    <mergeCell ref="D54:D55"/>
    <mergeCell ref="E54:E55"/>
    <mergeCell ref="F66:F67"/>
    <mergeCell ref="A204:A213"/>
    <mergeCell ref="B204:B213"/>
    <mergeCell ref="C204:C211"/>
    <mergeCell ref="D204:D211"/>
    <mergeCell ref="E204:E211"/>
    <mergeCell ref="H204:H211"/>
    <mergeCell ref="C212:D212"/>
    <mergeCell ref="C213:D213"/>
    <mergeCell ref="F204:F211"/>
    <mergeCell ref="E91:E93"/>
    <mergeCell ref="H91:H93"/>
    <mergeCell ref="C94:D94"/>
    <mergeCell ref="C95:D95"/>
    <mergeCell ref="F91:F93"/>
    <mergeCell ref="D153:D154"/>
    <mergeCell ref="E153:E154"/>
    <mergeCell ref="H153:H154"/>
    <mergeCell ref="C155:D155"/>
    <mergeCell ref="F153:F154"/>
    <mergeCell ref="E127:E131"/>
    <mergeCell ref="H127:H131"/>
    <mergeCell ref="H80:H82"/>
    <mergeCell ref="C83:D83"/>
    <mergeCell ref="C84:D84"/>
    <mergeCell ref="C85:C87"/>
    <mergeCell ref="D85:D87"/>
    <mergeCell ref="E85:E87"/>
    <mergeCell ref="H85:H87"/>
    <mergeCell ref="F80:F82"/>
    <mergeCell ref="F85:F87"/>
    <mergeCell ref="A182:A191"/>
    <mergeCell ref="B182:B191"/>
    <mergeCell ref="C182:C186"/>
    <mergeCell ref="D182:D186"/>
    <mergeCell ref="C125:D125"/>
    <mergeCell ref="C126:D126"/>
    <mergeCell ref="A157:A170"/>
    <mergeCell ref="B157:B170"/>
    <mergeCell ref="C157:C168"/>
    <mergeCell ref="D157:D168"/>
    <mergeCell ref="C169:D169"/>
    <mergeCell ref="C170:D170"/>
    <mergeCell ref="A178:A181"/>
    <mergeCell ref="C156:D156"/>
    <mergeCell ref="C72:D72"/>
    <mergeCell ref="F187:F189"/>
    <mergeCell ref="A171:A177"/>
    <mergeCell ref="B171:B177"/>
    <mergeCell ref="C171:C175"/>
    <mergeCell ref="D171:D175"/>
    <mergeCell ref="E171:E175"/>
    <mergeCell ref="H171:H175"/>
    <mergeCell ref="C176:D176"/>
    <mergeCell ref="C177:D177"/>
    <mergeCell ref="F171:F175"/>
    <mergeCell ref="B178:B181"/>
    <mergeCell ref="C178:C179"/>
    <mergeCell ref="D178:D179"/>
    <mergeCell ref="E178:E179"/>
    <mergeCell ref="H178:H179"/>
    <mergeCell ref="C180:D180"/>
    <mergeCell ref="C181:D181"/>
    <mergeCell ref="F178:F179"/>
    <mergeCell ref="F182:F186"/>
    <mergeCell ref="A80:A90"/>
    <mergeCell ref="B80:B90"/>
    <mergeCell ref="C80:C82"/>
    <mergeCell ref="D80:D82"/>
    <mergeCell ref="A74:A79"/>
    <mergeCell ref="B74:B79"/>
    <mergeCell ref="C79:D79"/>
    <mergeCell ref="C132:C139"/>
    <mergeCell ref="D132:D139"/>
    <mergeCell ref="E132:E139"/>
    <mergeCell ref="F127:F131"/>
    <mergeCell ref="F132:F139"/>
    <mergeCell ref="E74:E77"/>
    <mergeCell ref="A100:A126"/>
    <mergeCell ref="B100:B126"/>
    <mergeCell ref="C74:C77"/>
    <mergeCell ref="D74:D77"/>
    <mergeCell ref="F100:F112"/>
    <mergeCell ref="F113:F124"/>
    <mergeCell ref="F74:F77"/>
    <mergeCell ref="C89:D89"/>
    <mergeCell ref="C90:D90"/>
    <mergeCell ref="A91:A95"/>
    <mergeCell ref="B91:B95"/>
    <mergeCell ref="C91:C93"/>
    <mergeCell ref="D91:D93"/>
    <mergeCell ref="A96:A99"/>
    <mergeCell ref="E80:E82"/>
    <mergeCell ref="A5:A17"/>
    <mergeCell ref="B5:B17"/>
    <mergeCell ref="C16:D16"/>
    <mergeCell ref="C17:D17"/>
    <mergeCell ref="E66:E67"/>
    <mergeCell ref="C66:C67"/>
    <mergeCell ref="D66:D67"/>
    <mergeCell ref="B21:B23"/>
    <mergeCell ref="C22:D22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C25:D25"/>
    <mergeCell ref="C26:D26"/>
    <mergeCell ref="A21:A23"/>
    <mergeCell ref="A30:A32"/>
    <mergeCell ref="B30:B32"/>
    <mergeCell ref="C31:D31"/>
    <mergeCell ref="C32:D32"/>
    <mergeCell ref="D187:D189"/>
    <mergeCell ref="A127:A141"/>
    <mergeCell ref="B127:B141"/>
    <mergeCell ref="C127:C131"/>
    <mergeCell ref="D127:D131"/>
    <mergeCell ref="A142:A152"/>
    <mergeCell ref="B142:B152"/>
    <mergeCell ref="C142:C150"/>
    <mergeCell ref="D142:D150"/>
    <mergeCell ref="A153:A156"/>
    <mergeCell ref="B153:B156"/>
    <mergeCell ref="C53:D53"/>
    <mergeCell ref="A66:A73"/>
    <mergeCell ref="B66:B73"/>
    <mergeCell ref="A45:A53"/>
    <mergeCell ref="B45:B53"/>
    <mergeCell ref="C45:C51"/>
    <mergeCell ref="C140:D140"/>
    <mergeCell ref="C141:D141"/>
    <mergeCell ref="F142:F150"/>
    <mergeCell ref="H142:H150"/>
    <mergeCell ref="C151:D151"/>
    <mergeCell ref="C152:D152"/>
    <mergeCell ref="E142:E150"/>
    <mergeCell ref="E157:E168"/>
    <mergeCell ref="H157:H168"/>
    <mergeCell ref="C153:C154"/>
    <mergeCell ref="F157:F168"/>
    <mergeCell ref="F214:F222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D100:D112"/>
    <mergeCell ref="E100:E112"/>
    <mergeCell ref="C113:C124"/>
    <mergeCell ref="D113:D124"/>
    <mergeCell ref="E113:E124"/>
    <mergeCell ref="C70:C71"/>
    <mergeCell ref="D70:D71"/>
    <mergeCell ref="E70:E71"/>
    <mergeCell ref="F70:F71"/>
    <mergeCell ref="E182:E186"/>
    <mergeCell ref="H182:H186"/>
    <mergeCell ref="C187:C189"/>
    <mergeCell ref="H70:H71"/>
    <mergeCell ref="H132:H139"/>
    <mergeCell ref="H36:H42"/>
    <mergeCell ref="A36:A44"/>
    <mergeCell ref="B36:B44"/>
    <mergeCell ref="C36:C42"/>
    <mergeCell ref="D36:D42"/>
    <mergeCell ref="F36:F42"/>
    <mergeCell ref="A62:A65"/>
    <mergeCell ref="B62:B65"/>
    <mergeCell ref="C62:C63"/>
    <mergeCell ref="D62:D63"/>
    <mergeCell ref="E62:E63"/>
    <mergeCell ref="H62:H63"/>
    <mergeCell ref="C64:D64"/>
    <mergeCell ref="C65:D65"/>
    <mergeCell ref="E36:E42"/>
    <mergeCell ref="C43:D43"/>
    <mergeCell ref="C44:D44"/>
    <mergeCell ref="E45:E51"/>
    <mergeCell ref="H45:H51"/>
    <mergeCell ref="C52:D52"/>
    <mergeCell ref="D45:D51"/>
    <mergeCell ref="F45:F51"/>
    <mergeCell ref="F54:F55"/>
    <mergeCell ref="F62:F63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5"/>
  <sheetViews>
    <sheetView showZeros="0" topLeftCell="A16" workbookViewId="0">
      <selection activeCell="B37" sqref="B37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490" t="s">
        <v>425</v>
      </c>
      <c r="B1" s="490"/>
      <c r="C1" s="490"/>
      <c r="D1" s="490"/>
      <c r="E1" s="490"/>
    </row>
    <row r="2" spans="1:10" s="13" customFormat="1" ht="17.25" customHeight="1">
      <c r="A2" s="491" t="s">
        <v>79</v>
      </c>
      <c r="B2" s="493" t="s">
        <v>80</v>
      </c>
      <c r="C2" s="487" t="s">
        <v>81</v>
      </c>
      <c r="D2" s="488"/>
      <c r="E2" s="487" t="s">
        <v>82</v>
      </c>
      <c r="F2" s="488"/>
      <c r="G2" s="487" t="s">
        <v>102</v>
      </c>
      <c r="H2" s="488"/>
      <c r="I2" s="489"/>
    </row>
    <row r="3" spans="1:10" s="13" customFormat="1" ht="17.25" customHeight="1">
      <c r="A3" s="492"/>
      <c r="B3" s="494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489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3">
        <f>ROUND(MAX(C5+E5-D5-F5,0),2)</f>
        <v>128400000</v>
      </c>
      <c r="H5" s="213">
        <f>ROUND(MAX(D5+F5-C5-E5,0),2)</f>
        <v>0</v>
      </c>
      <c r="I5" s="21"/>
      <c r="J5" s="309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9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9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9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9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9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9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9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9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9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9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3">
        <f t="shared" si="3"/>
        <v>350000000</v>
      </c>
      <c r="H16" s="213">
        <f t="shared" si="4"/>
        <v>0</v>
      </c>
      <c r="I16" s="21"/>
      <c r="J16" s="309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9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9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1173128513</v>
      </c>
      <c r="F19" s="8">
        <f t="array" ref="F19">SUM(IF("331"&amp;B19=KHC&amp;KH,TH))</f>
        <v>1173128513</v>
      </c>
      <c r="G19" s="213">
        <f>ROUND(MAX(C19+E19-D19-F19,0),2)</f>
        <v>0</v>
      </c>
      <c r="H19" s="213">
        <f>ROUND(MAX(D19+F19-C19-E19,0),2)</f>
        <v>0</v>
      </c>
      <c r="I19" s="21"/>
      <c r="J19" s="309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9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213">
        <f>ROUND(MAX(C21+E21-D21-F21,0),2)</f>
        <v>1050000000</v>
      </c>
      <c r="H21" s="213">
        <f>ROUND(MAX(D21+F21-C21-E21,0),2)</f>
        <v>0</v>
      </c>
      <c r="I21" s="21"/>
      <c r="J21" s="309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9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0</v>
      </c>
      <c r="G23" s="213">
        <f t="shared" si="3"/>
        <v>150000000</v>
      </c>
      <c r="H23" s="213">
        <f t="shared" si="4"/>
        <v>0</v>
      </c>
      <c r="I23" s="21"/>
      <c r="J23" s="309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9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1858997690</v>
      </c>
      <c r="G25" s="213">
        <f t="shared" si="3"/>
        <v>0</v>
      </c>
      <c r="H25" s="213">
        <f t="shared" si="4"/>
        <v>1498997690</v>
      </c>
      <c r="I25" s="21"/>
      <c r="J25" s="309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385195000</v>
      </c>
      <c r="F26" s="8">
        <f t="array" ref="F26">SUM(IF("331"&amp;B26=KHC&amp;KH,TH))</f>
        <v>0</v>
      </c>
      <c r="G26" s="213">
        <f t="shared" si="3"/>
        <v>385195000</v>
      </c>
      <c r="H26" s="213">
        <f t="shared" si="4"/>
        <v>0</v>
      </c>
      <c r="I26" s="21"/>
      <c r="J26" s="309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13">
        <f t="shared" si="3"/>
        <v>100000000</v>
      </c>
      <c r="H27" s="213">
        <f t="shared" si="4"/>
        <v>0</v>
      </c>
      <c r="I27" s="21"/>
      <c r="J27" s="309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9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13">
        <f t="shared" si="3"/>
        <v>0</v>
      </c>
      <c r="H29" s="213">
        <f t="shared" si="4"/>
        <v>0</v>
      </c>
      <c r="I29" s="21"/>
      <c r="J29" s="309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213">
        <f t="shared" si="3"/>
        <v>1750000000</v>
      </c>
      <c r="H30" s="213">
        <f t="shared" si="4"/>
        <v>0</v>
      </c>
      <c r="I30" s="21"/>
      <c r="J30" s="309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3">
        <f t="shared" ref="G31" si="9">ROUND(MAX(C31+E31-D31-F31,0),2)</f>
        <v>300000000</v>
      </c>
      <c r="H31" s="213">
        <f t="shared" ref="H31" si="10">ROUND(MAX(D31+F31-C31-E31,0),2)</f>
        <v>0</v>
      </c>
      <c r="I31" s="21"/>
      <c r="J31" s="309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9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9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164324119</v>
      </c>
      <c r="F34" s="8">
        <f t="array" ref="F34">SUM(IF("331"&amp;B34=KHC&amp;KH,TH))</f>
        <v>201577159</v>
      </c>
      <c r="G34" s="213">
        <f t="shared" ref="G34" si="15">ROUND(MAX(C34+E34-D34-F34,0),2)</f>
        <v>0</v>
      </c>
      <c r="H34" s="213">
        <f t="shared" ref="H34" si="16">ROUND(MAX(D34+F34-C34-E34,0),2)</f>
        <v>37253040</v>
      </c>
      <c r="I34" s="21"/>
      <c r="J34" s="309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9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9"/>
    </row>
    <row r="37" spans="1:10" s="15" customFormat="1" ht="17.25" customHeight="1">
      <c r="A37" s="6">
        <f t="shared" si="0"/>
        <v>34</v>
      </c>
      <c r="B37" s="122" t="s">
        <v>1072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9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9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9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9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26653912750</v>
      </c>
      <c r="F41" s="18">
        <f t="shared" si="21"/>
        <v>21608492380</v>
      </c>
      <c r="G41" s="18">
        <f t="shared" si="21"/>
        <v>6873595000</v>
      </c>
      <c r="H41" s="18">
        <f t="shared" si="21"/>
        <v>1828174630</v>
      </c>
      <c r="I41" s="23"/>
      <c r="J41" s="23"/>
    </row>
    <row r="43" spans="1:10" ht="17.25" customHeight="1">
      <c r="E43" s="20">
        <f>CDPS!E20</f>
        <v>26653912750</v>
      </c>
      <c r="F43" s="20">
        <f>CDPS!F20</f>
        <v>21608492380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H26" sqref="H26:H2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495" t="s">
        <v>186</v>
      </c>
      <c r="I1" s="495"/>
      <c r="J1" s="495"/>
    </row>
    <row r="2" spans="1:10" s="3" customFormat="1" ht="14.25" customHeight="1">
      <c r="A2" s="1" t="s">
        <v>30</v>
      </c>
      <c r="B2" s="24"/>
      <c r="C2" s="24"/>
      <c r="G2" s="25"/>
      <c r="H2" s="496" t="s">
        <v>187</v>
      </c>
      <c r="I2" s="496"/>
      <c r="J2" s="496"/>
    </row>
    <row r="3" spans="1:10" s="3" customFormat="1" ht="14.25" customHeight="1">
      <c r="A3" s="4"/>
      <c r="B3" s="24"/>
      <c r="C3" s="24"/>
      <c r="G3" s="25"/>
      <c r="H3" s="496"/>
      <c r="I3" s="496"/>
      <c r="J3" s="496"/>
    </row>
    <row r="4" spans="1:10" s="5" customFormat="1" ht="28.5" customHeight="1">
      <c r="A4" s="504" t="s">
        <v>64</v>
      </c>
      <c r="B4" s="504"/>
      <c r="C4" s="504"/>
      <c r="D4" s="504"/>
      <c r="E4" s="504"/>
      <c r="F4" s="504"/>
      <c r="G4" s="504"/>
      <c r="H4" s="504"/>
      <c r="I4" s="504"/>
      <c r="J4" s="504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497" t="s">
        <v>190</v>
      </c>
      <c r="F7" s="497"/>
      <c r="G7" s="497"/>
      <c r="H7" s="497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499"/>
      <c r="D9" s="499"/>
      <c r="E9" s="499"/>
      <c r="F9" s="499"/>
      <c r="G9" s="499"/>
      <c r="H9" s="499"/>
      <c r="I9" s="499"/>
      <c r="J9" s="499"/>
    </row>
    <row r="10" spans="1:10" s="26" customFormat="1" ht="14.25" customHeight="1">
      <c r="A10" s="501" t="s">
        <v>50</v>
      </c>
      <c r="B10" s="500" t="s">
        <v>10</v>
      </c>
      <c r="C10" s="500"/>
      <c r="D10" s="501" t="s">
        <v>0</v>
      </c>
      <c r="E10" s="501" t="s">
        <v>31</v>
      </c>
      <c r="F10" s="501" t="s">
        <v>68</v>
      </c>
      <c r="G10" s="502" t="s">
        <v>51</v>
      </c>
      <c r="H10" s="503"/>
      <c r="I10" s="502" t="s">
        <v>69</v>
      </c>
      <c r="J10" s="503"/>
    </row>
    <row r="11" spans="1:10" s="26" customFormat="1" ht="24.75" customHeight="1">
      <c r="A11" s="501"/>
      <c r="B11" s="38" t="s">
        <v>32</v>
      </c>
      <c r="C11" s="38" t="s">
        <v>70</v>
      </c>
      <c r="D11" s="501"/>
      <c r="E11" s="501"/>
      <c r="F11" s="501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42144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42144</v>
      </c>
      <c r="D14" s="126" t="str">
        <f ca="1">IF(ROWS($1:1)&gt;COUNT(Dong),"",OFFSET(TH!F$1,SMALL(Dong,ROWS($1:1)),))</f>
        <v>Thanh toán tiền vật tư - Tấn Phát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200000000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42188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42188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250000000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450000000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42209</v>
      </c>
      <c r="B16" s="11" t="str">
        <f ca="1">IF(ROWS($1:3)&gt;COUNT(Dong),"",OFFSET(TH!D$1,SMALL(Dong,ROWS($1:3)),))</f>
        <v>CTGS</v>
      </c>
      <c r="C16" s="11">
        <f ca="1">IF(ROWS($1:3)&gt;COUNT(Dong),"",OFFSET(TH!E$1,SMALL(Dong,ROWS($1:3)),))</f>
        <v>42209</v>
      </c>
      <c r="D16" s="126" t="str">
        <f ca="1">IF(ROWS($1:3)&gt;COUNT(Dong),"",OFFSET(TH!F$1,SMALL(Dong,ROWS($1:3)),))</f>
        <v>Vật liệu xây dựng</v>
      </c>
      <c r="E16" s="127" t="str">
        <f ca="1">IF(ROWS($1:3)&gt;COUNT(Dong),"",IF(OFFSET(TH!J$1,SMALL(Dong,ROWS($1:3)),)="331",OFFSET(TH!K$1,SMALL(Dong,ROWS($1:3)),),OFFSET(TH!J$1,SMALL(Dong,ROWS($1:3)),)))</f>
        <v>2412</v>
      </c>
      <c r="F16" s="127"/>
      <c r="G16" s="251">
        <f ca="1">IF(ROWS($1:3)&gt;COUNT(Dong),"",IF(OFFSET(TH!J$1,SMALL(Dong,ROWS($1:3)),)="331",OFFSET(TH!I$1,SMALL(Dong,ROWS($1:3)),),0))</f>
        <v>0</v>
      </c>
      <c r="H16" s="251">
        <f ca="1">IF(ROWS($1:3)&gt;COUNT(Dong),"",IF(OFFSET(TH!K$1,SMALL(Dong,ROWS($1:3)),)="331",OFFSET(TH!I$1,SMALL(Dong,ROWS($1:3)),),0))</f>
        <v>90286944</v>
      </c>
      <c r="I16" s="33">
        <f t="shared" ca="1" si="1"/>
        <v>359713056</v>
      </c>
      <c r="J16" s="33">
        <f t="shared" ca="1" si="2"/>
        <v>0</v>
      </c>
    </row>
    <row r="17" spans="1:10" s="26" customFormat="1" ht="18" customHeight="1">
      <c r="A17" s="11">
        <f t="shared" ca="1" si="0"/>
        <v>42209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42209</v>
      </c>
      <c r="D17" s="126" t="str">
        <f ca="1">IF(ROWS($1:4)&gt;COUNT(Dong),"",OFFSET(TH!F$1,SMALL(Dong,ROWS($1:4)),))</f>
        <v>VAT vật liệu xây dựng</v>
      </c>
      <c r="E17" s="127" t="str">
        <f ca="1">IF(ROWS($1:4)&gt;COUNT(Dong),"",IF(OFFSET(TH!J$1,SMALL(Dong,ROWS($1:4)),)="331",OFFSET(TH!K$1,SMALL(Dong,ROWS($1:4)),),OFFSET(TH!J$1,SMALL(Dong,ROWS($1:4)),)))</f>
        <v>1331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9028694</v>
      </c>
      <c r="I17" s="33">
        <f t="shared" ca="1" si="1"/>
        <v>350684362</v>
      </c>
      <c r="J17" s="33">
        <f t="shared" ca="1" si="2"/>
        <v>0</v>
      </c>
    </row>
    <row r="18" spans="1:10" s="26" customFormat="1" ht="18" customHeight="1">
      <c r="A18" s="11">
        <f t="shared" ca="1" si="0"/>
        <v>42210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42210</v>
      </c>
      <c r="D18" s="126" t="str">
        <f ca="1">IF(ROWS($1:5)&gt;COUNT(Dong),"",OFFSET(TH!F$1,SMALL(Dong,ROWS($1:5)),))</f>
        <v>Vật liệu xây dựng</v>
      </c>
      <c r="E18" s="127" t="str">
        <f ca="1">IF(ROWS($1:5)&gt;COUNT(Dong),"",IF(OFFSET(TH!J$1,SMALL(Dong,ROWS($1:5)),)="331",OFFSET(TH!K$1,SMALL(Dong,ROWS($1:5)),),OFFSET(TH!J$1,SMALL(Dong,ROWS($1:5)),)))</f>
        <v>2412</v>
      </c>
      <c r="F18" s="127"/>
      <c r="G18" s="251">
        <f ca="1">IF(ROWS($1:5)&gt;COUNT(Dong),"",IF(OFFSET(TH!J$1,SMALL(Dong,ROWS($1:5)),)="331",OFFSET(TH!I$1,SMALL(Dong,ROWS($1:5)),),0))</f>
        <v>0</v>
      </c>
      <c r="H18" s="251">
        <f ca="1">IF(ROWS($1:5)&gt;COUNT(Dong),"",IF(OFFSET(TH!K$1,SMALL(Dong,ROWS($1:5)),)="331",OFFSET(TH!I$1,SMALL(Dong,ROWS($1:5)),),0))</f>
        <v>477767318</v>
      </c>
      <c r="I18" s="33">
        <f t="shared" ca="1" si="1"/>
        <v>0</v>
      </c>
      <c r="J18" s="33">
        <f t="shared" ca="1" si="2"/>
        <v>127082956</v>
      </c>
    </row>
    <row r="19" spans="1:10" s="26" customFormat="1" ht="18" customHeight="1">
      <c r="A19" s="11">
        <f t="shared" ca="1" si="0"/>
        <v>42210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42210</v>
      </c>
      <c r="D19" s="126" t="str">
        <f ca="1">IF(ROWS($1:6)&gt;COUNT(Dong),"",OFFSET(TH!F$1,SMALL(Dong,ROWS($1:6)),))</f>
        <v>VAT vật liệu xây dựng</v>
      </c>
      <c r="E19" s="127" t="str">
        <f ca="1">IF(ROWS($1:6)&gt;COUNT(Dong),"",IF(OFFSET(TH!J$1,SMALL(Dong,ROWS($1:6)),)="331",OFFSET(TH!K$1,SMALL(Dong,ROWS($1:6)),),OFFSET(TH!J$1,SMALL(Dong,ROWS($1:6)),)))</f>
        <v>1331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47776731</v>
      </c>
      <c r="I19" s="33">
        <f t="shared" ca="1" si="1"/>
        <v>0</v>
      </c>
      <c r="J19" s="33">
        <f t="shared" ca="1" si="2"/>
        <v>174859687</v>
      </c>
    </row>
    <row r="20" spans="1:10" s="26" customFormat="1" ht="18" customHeight="1">
      <c r="A20" s="11">
        <f t="shared" ca="1" si="0"/>
        <v>42211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42211</v>
      </c>
      <c r="D20" s="126" t="str">
        <f ca="1">IF(ROWS($1:7)&gt;COUNT(Dong),"",OFFSET(TH!F$1,SMALL(Dong,ROWS($1:7)),))</f>
        <v>Vật liệu xây dựng</v>
      </c>
      <c r="E20" s="127" t="str">
        <f ca="1">IF(ROWS($1:7)&gt;COUNT(Dong),"",IF(OFFSET(TH!J$1,SMALL(Dong,ROWS($1:7)),)="331",OFFSET(TH!K$1,SMALL(Dong,ROWS($1:7)),),OFFSET(TH!J$1,SMALL(Dong,ROWS($1:7)),)))</f>
        <v>2412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54892744</v>
      </c>
      <c r="I20" s="33">
        <f t="shared" ca="1" si="1"/>
        <v>0</v>
      </c>
      <c r="J20" s="33">
        <f t="shared" ca="1" si="2"/>
        <v>229752431</v>
      </c>
    </row>
    <row r="21" spans="1:10" s="26" customFormat="1" ht="18" customHeight="1">
      <c r="A21" s="11">
        <f t="shared" ref="A21:A32" ca="1" si="3">IF(C21&lt;&gt;"",C21,"")</f>
        <v>42211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42211</v>
      </c>
      <c r="D21" s="126" t="str">
        <f ca="1">IF(ROWS($1:8)&gt;COUNT(Dong),"",OFFSET(TH!F$1,SMALL(Dong,ROWS($1:8)),))</f>
        <v>VAT vật liệu xây dựng</v>
      </c>
      <c r="E21" s="127" t="str">
        <f ca="1">IF(ROWS($1:8)&gt;COUNT(Dong),"",IF(OFFSET(TH!J$1,SMALL(Dong,ROWS($1:8)),)="331",OFFSET(TH!K$1,SMALL(Dong,ROWS($1:8)),),OFFSET(TH!J$1,SMALL(Dong,ROWS($1:8)),)))</f>
        <v>1331</v>
      </c>
      <c r="F21" s="127"/>
      <c r="G21" s="108">
        <f ca="1">IF(ROWS($1:8)&gt;COUNT(Dong),"",IF(OFFSET(TH!J$1,SMALL(Dong,ROWS($1:8)),)="331",OFFSET(TH!I$1,SMALL(Dong,ROWS($1:8)),),0))</f>
        <v>0</v>
      </c>
      <c r="H21" s="108">
        <f ca="1">IF(ROWS($1:8)&gt;COUNT(Dong),"",IF(OFFSET(TH!K$1,SMALL(Dong,ROWS($1:8)),)="331",OFFSET(TH!I$1,SMALL(Dong,ROWS($1:8)),),0))</f>
        <v>5489274</v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235241705</v>
      </c>
    </row>
    <row r="22" spans="1:10" s="26" customFormat="1" ht="18" customHeight="1">
      <c r="A22" s="11">
        <f t="shared" ca="1" si="3"/>
        <v>42219</v>
      </c>
      <c r="B22" s="11" t="str">
        <f ca="1">IF(ROWS($1:9)&gt;COUNT(Dong),"",OFFSET(TH!D$1,SMALL(Dong,ROWS($1:9)),))</f>
        <v>GBN</v>
      </c>
      <c r="C22" s="11">
        <f ca="1">IF(ROWS($1:9)&gt;COUNT(Dong),"",OFFSET(TH!E$1,SMALL(Dong,ROWS($1:9)),))</f>
        <v>42219</v>
      </c>
      <c r="D22" s="126" t="str">
        <f ca="1">IF(ROWS($1:9)&gt;COUNT(Dong),"",OFFSET(TH!F$1,SMALL(Dong,ROWS($1:9)),))</f>
        <v>Thanh toán tiền công trình</v>
      </c>
      <c r="E22" s="127" t="str">
        <f ca="1">IF(ROWS($1:9)&gt;COUNT(Dong),"",IF(OFFSET(TH!J$1,SMALL(Dong,ROWS($1:9)),)="331",OFFSET(TH!K$1,SMALL(Dong,ROWS($1:9)),),OFFSET(TH!J$1,SMALL(Dong,ROWS($1:9)),)))</f>
        <v>1121</v>
      </c>
      <c r="F22" s="127"/>
      <c r="G22" s="108">
        <f ca="1">IF(ROWS($1:9)&gt;COUNT(Dong),"",IF(OFFSET(TH!J$1,SMALL(Dong,ROWS($1:9)),)="331",OFFSET(TH!I$1,SMALL(Dong,ROWS($1:9)),),0))</f>
        <v>300000000</v>
      </c>
      <c r="H22" s="108">
        <f ca="1">IF(ROWS($1:9)&gt;COUNT(Dong),"",IF(OFFSET(TH!K$1,SMALL(Dong,ROWS($1:9)),)="331",OFFSET(TH!I$1,SMALL(Dong,ROWS($1:9)),),0))</f>
        <v>0</v>
      </c>
      <c r="I22" s="33">
        <f t="shared" ca="1" si="4"/>
        <v>64758295</v>
      </c>
      <c r="J22" s="33">
        <f t="shared" ca="1" si="5"/>
        <v>0</v>
      </c>
    </row>
    <row r="23" spans="1:10" s="26" customFormat="1" ht="18" customHeight="1">
      <c r="A23" s="11">
        <f t="shared" ca="1" si="3"/>
        <v>42235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42235</v>
      </c>
      <c r="D23" s="126" t="str">
        <f ca="1">IF(ROWS($1:10)&gt;COUNT(Dong),"",OFFSET(TH!F$1,SMALL(Dong,ROWS($1:10)),))</f>
        <v>Vật liệu xây dựng</v>
      </c>
      <c r="E23" s="127" t="str">
        <f ca="1">IF(ROWS($1:10)&gt;COUNT(Dong),"",IF(OFFSET(TH!J$1,SMALL(Dong,ROWS($1:10)),)="331",OFFSET(TH!K$1,SMALL(Dong,ROWS($1:10)),),OFFSET(TH!J$1,SMALL(Dong,ROWS($1:10)),)))</f>
        <v>2412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268648390</v>
      </c>
      <c r="I23" s="33">
        <f t="shared" ca="1" si="4"/>
        <v>0</v>
      </c>
      <c r="J23" s="33">
        <f t="shared" ca="1" si="5"/>
        <v>203890095</v>
      </c>
    </row>
    <row r="24" spans="1:10" s="26" customFormat="1" ht="18" customHeight="1">
      <c r="A24" s="11">
        <f t="shared" ca="1" si="3"/>
        <v>42235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42235</v>
      </c>
      <c r="D24" s="126" t="str">
        <f ca="1">IF(ROWS($1:11)&gt;COUNT(Dong),"",OFFSET(TH!F$1,SMALL(Dong,ROWS($1:11)),))</f>
        <v>VAT Vật liệu xây dựng</v>
      </c>
      <c r="E24" s="127" t="str">
        <f ca="1">IF(ROWS($1:11)&gt;COUNT(Dong),"",IF(OFFSET(TH!J$1,SMALL(Dong,ROWS($1:11)),)="331",OFFSET(TH!K$1,SMALL(Dong,ROWS($1:11)),),OFFSET(TH!J$1,SMALL(Dong,ROWS($1:11)),)))</f>
        <v>1331</v>
      </c>
      <c r="F24" s="127"/>
      <c r="G24" s="108">
        <f ca="1">IF(ROWS($1:11)&gt;COUNT(Dong),"",IF(OFFSET(TH!J$1,SMALL(Dong,ROWS($1:11)),)="331",OFFSET(TH!I$1,SMALL(Dong,ROWS($1:11)),),0))</f>
        <v>0</v>
      </c>
      <c r="H24" s="108">
        <f ca="1">IF(ROWS($1:11)&gt;COUNT(Dong),"",IF(OFFSET(TH!K$1,SMALL(Dong,ROWS($1:11)),)="331",OFFSET(TH!I$1,SMALL(Dong,ROWS($1:11)),),0))</f>
        <v>26864839</v>
      </c>
      <c r="I24" s="33">
        <f t="shared" ca="1" si="4"/>
        <v>0</v>
      </c>
      <c r="J24" s="33">
        <f t="shared" ca="1" si="5"/>
        <v>230754934</v>
      </c>
    </row>
    <row r="25" spans="1:10" s="26" customFormat="1" ht="18" customHeight="1">
      <c r="A25" s="11">
        <f t="shared" ca="1" si="3"/>
        <v>42251</v>
      </c>
      <c r="B25" s="11" t="str">
        <f ca="1">IF(ROWS($1:12)&gt;COUNT(Dong),"",OFFSET(TH!D$1,SMALL(Dong,ROWS($1:12)),))</f>
        <v>GBN</v>
      </c>
      <c r="C25" s="11">
        <f ca="1">IF(ROWS($1:12)&gt;COUNT(Dong),"",OFFSET(TH!E$1,SMALL(Dong,ROWS($1:12)),))</f>
        <v>42251</v>
      </c>
      <c r="D25" s="126" t="str">
        <f ca="1">IF(ROWS($1:12)&gt;COUNT(Dong),"",OFFSET(TH!F$1,SMALL(Dong,ROWS($1:12)),))</f>
        <v>Thanh toán tiền công trình</v>
      </c>
      <c r="E25" s="127" t="str">
        <f ca="1">IF(ROWS($1:12)&gt;COUNT(Dong),"",IF(OFFSET(TH!J$1,SMALL(Dong,ROWS($1:12)),)="331",OFFSET(TH!K$1,SMALL(Dong,ROWS($1:12)),),OFFSET(TH!J$1,SMALL(Dong,ROWS($1:12)),)))</f>
        <v>1121</v>
      </c>
      <c r="F25" s="127"/>
      <c r="G25" s="108">
        <f ca="1">IF(ROWS($1:12)&gt;COUNT(Dong),"",IF(OFFSET(TH!J$1,SMALL(Dong,ROWS($1:12)),)="331",OFFSET(TH!I$1,SMALL(Dong,ROWS($1:12)),),0))</f>
        <v>150000000</v>
      </c>
      <c r="H25" s="108">
        <f ca="1">IF(ROWS($1:12)&gt;COUNT(Dong),"",IF(OFFSET(TH!K$1,SMALL(Dong,ROWS($1:12)),)="331",OFFSET(TH!I$1,SMALL(Dong,ROWS($1:12)),),0))</f>
        <v>0</v>
      </c>
      <c r="I25" s="33">
        <f t="shared" ca="1" si="4"/>
        <v>0</v>
      </c>
      <c r="J25" s="33">
        <f t="shared" ca="1" si="5"/>
        <v>80754934</v>
      </c>
    </row>
    <row r="26" spans="1:10" s="26" customFormat="1" ht="18" customHeight="1">
      <c r="A26" s="11">
        <f t="shared" ca="1" si="3"/>
        <v>42267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42267</v>
      </c>
      <c r="D26" s="126" t="str">
        <f ca="1">IF(ROWS($1:13)&gt;COUNT(Dong),"",OFFSET(TH!F$1,SMALL(Dong,ROWS($1:13)),))</f>
        <v>Vật liệu xây dựng</v>
      </c>
      <c r="E26" s="127" t="str">
        <f ca="1">IF(ROWS($1:13)&gt;COUNT(Dong),"",IF(OFFSET(TH!J$1,SMALL(Dong,ROWS($1:13)),)="331",OFFSET(TH!K$1,SMALL(Dong,ROWS($1:13)),),OFFSET(TH!J$1,SMALL(Dong,ROWS($1:13)),)))</f>
        <v>2412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90910870</v>
      </c>
      <c r="I26" s="33">
        <f t="shared" ca="1" si="4"/>
        <v>0</v>
      </c>
      <c r="J26" s="33">
        <f t="shared" ca="1" si="5"/>
        <v>171665804</v>
      </c>
    </row>
    <row r="27" spans="1:10" s="26" customFormat="1" ht="18" customHeight="1">
      <c r="A27" s="11">
        <f t="shared" ca="1" si="3"/>
        <v>42267</v>
      </c>
      <c r="B27" s="11" t="str">
        <f ca="1">IF(ROWS($1:14)&gt;COUNT(Dong),"",OFFSET(TH!D$1,SMALL(Dong,ROWS($1:14)),))</f>
        <v>CTGS</v>
      </c>
      <c r="C27" s="11">
        <f ca="1">IF(ROWS($1:14)&gt;COUNT(Dong),"",OFFSET(TH!E$1,SMALL(Dong,ROWS($1:14)),))</f>
        <v>42267</v>
      </c>
      <c r="D27" s="126" t="str">
        <f ca="1">IF(ROWS($1:14)&gt;COUNT(Dong),"",OFFSET(TH!F$1,SMALL(Dong,ROWS($1:14)),))</f>
        <v>VAT Vật liệu xây dựng</v>
      </c>
      <c r="E27" s="127" t="str">
        <f ca="1">IF(ROWS($1:14)&gt;COUNT(Dong),"",IF(OFFSET(TH!J$1,SMALL(Dong,ROWS($1:14)),)="331",OFFSET(TH!K$1,SMALL(Dong,ROWS($1:14)),),OFFSET(TH!J$1,SMALL(Dong,ROWS($1:14)),)))</f>
        <v>1331</v>
      </c>
      <c r="F27" s="127"/>
      <c r="G27" s="108">
        <f ca="1">IF(ROWS($1:14)&gt;COUNT(Dong),"",IF(OFFSET(TH!J$1,SMALL(Dong,ROWS($1:14)),)="331",OFFSET(TH!I$1,SMALL(Dong,ROWS($1:14)),),0))</f>
        <v>0</v>
      </c>
      <c r="H27" s="108">
        <f ca="1">IF(ROWS($1:14)&gt;COUNT(Dong),"",IF(OFFSET(TH!K$1,SMALL(Dong,ROWS($1:14)),)="331",OFFSET(TH!I$1,SMALL(Dong,ROWS($1:14)),),0))</f>
        <v>9091087</v>
      </c>
      <c r="I27" s="33">
        <f t="shared" ca="1" si="4"/>
        <v>0</v>
      </c>
      <c r="J27" s="33">
        <f t="shared" ca="1" si="5"/>
        <v>180756891</v>
      </c>
    </row>
    <row r="28" spans="1:10" s="26" customFormat="1" ht="18" customHeight="1">
      <c r="A28" s="11">
        <f t="shared" ca="1" si="3"/>
        <v>42271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42271</v>
      </c>
      <c r="D28" s="126" t="str">
        <f ca="1">IF(ROWS($1:15)&gt;COUNT(Dong),"",OFFSET(TH!F$1,SMALL(Dong,ROWS($1:15)),))</f>
        <v>Vật liệu xây dựng</v>
      </c>
      <c r="E28" s="127" t="str">
        <f ca="1">IF(ROWS($1:15)&gt;COUNT(Dong),"",IF(OFFSET(TH!J$1,SMALL(Dong,ROWS($1:15)),)="331",OFFSET(TH!K$1,SMALL(Dong,ROWS($1:15)),),OFFSET(TH!J$1,SMALL(Dong,ROWS($1:15)),)))</f>
        <v>2412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73661009</v>
      </c>
      <c r="I28" s="33">
        <f t="shared" ca="1" si="4"/>
        <v>0</v>
      </c>
      <c r="J28" s="33">
        <f t="shared" ca="1" si="5"/>
        <v>254417900</v>
      </c>
    </row>
    <row r="29" spans="1:10" s="26" customFormat="1" ht="18" customHeight="1">
      <c r="A29" s="11">
        <f t="shared" ca="1" si="3"/>
        <v>42271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42271</v>
      </c>
      <c r="D29" s="126" t="str">
        <f ca="1">IF(ROWS($1:16)&gt;COUNT(Dong),"",OFFSET(TH!F$1,SMALL(Dong,ROWS($1:16)),))</f>
        <v>VAT Vật liệu xây dựng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7366100</v>
      </c>
      <c r="I29" s="33">
        <f t="shared" ca="1" si="4"/>
        <v>0</v>
      </c>
      <c r="J29" s="33">
        <f t="shared" ca="1" si="5"/>
        <v>261784000</v>
      </c>
    </row>
    <row r="30" spans="1:10" s="26" customFormat="1" ht="18" customHeight="1">
      <c r="A30" s="11">
        <f t="shared" ca="1" si="3"/>
        <v>42279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42279</v>
      </c>
      <c r="D30" s="126" t="str">
        <f ca="1">IF(ROWS($1:17)&gt;COUNT(Dong),"",OFFSET(TH!F$1,SMALL(Dong,ROWS($1:17)),))</f>
        <v>Thanh toán tiền thi công</v>
      </c>
      <c r="E30" s="127" t="str">
        <f ca="1">IF(ROWS($1:17)&gt;COUNT(Dong),"",IF(OFFSET(TH!J$1,SMALL(Dong,ROWS($1:17)),)="331",OFFSET(TH!K$1,SMALL(Dong,ROWS($1:17)),),OFFSET(TH!J$1,SMALL(Dong,ROWS($1:17)),)))</f>
        <v>1121</v>
      </c>
      <c r="F30" s="127"/>
      <c r="G30" s="108">
        <f ca="1">IF(ROWS($1:17)&gt;COUNT(Dong),"",IF(OFFSET(TH!J$1,SMALL(Dong,ROWS($1:17)),)="331",OFFSET(TH!I$1,SMALL(Dong,ROWS($1:17)),),0))</f>
        <v>150000000</v>
      </c>
      <c r="H30" s="108">
        <f ca="1">IF(ROWS($1:17)&gt;COUNT(Dong),"",IF(OFFSET(TH!K$1,SMALL(Dong,ROWS($1:17)),)="331",OFFSET(TH!I$1,SMALL(Dong,ROWS($1:17)),),0))</f>
        <v>0</v>
      </c>
      <c r="I30" s="33">
        <f t="shared" ca="1" si="4"/>
        <v>0</v>
      </c>
      <c r="J30" s="33">
        <f t="shared" ca="1" si="5"/>
        <v>111784000</v>
      </c>
    </row>
    <row r="31" spans="1:10" s="26" customFormat="1" ht="18" customHeight="1">
      <c r="A31" s="11">
        <f t="shared" ca="1" si="3"/>
        <v>42304</v>
      </c>
      <c r="B31" s="11" t="str">
        <f ca="1">IF(ROWS($1:18)&gt;COUNT(Dong),"",OFFSET(TH!D$1,SMALL(Dong,ROWS($1:18)),))</f>
        <v>CTGS</v>
      </c>
      <c r="C31" s="11">
        <f ca="1">IF(ROWS($1:18)&gt;COUNT(Dong),"",OFFSET(TH!E$1,SMALL(Dong,ROWS($1:18)),))</f>
        <v>42304</v>
      </c>
      <c r="D31" s="126" t="str">
        <f ca="1">IF(ROWS($1:18)&gt;COUNT(Dong),"",OFFSET(TH!F$1,SMALL(Dong,ROWS($1:18)),))</f>
        <v>Vật liệu xây dựng</v>
      </c>
      <c r="E31" s="127" t="str">
        <f ca="1">IF(ROWS($1:18)&gt;COUNT(Dong),"",IF(OFFSET(TH!J$1,SMALL(Dong,ROWS($1:18)),)="331",OFFSET(TH!K$1,SMALL(Dong,ROWS($1:18)),),OFFSET(TH!J$1,SMALL(Dong,ROWS($1:18)),)))</f>
        <v>2412</v>
      </c>
      <c r="F31" s="127"/>
      <c r="G31" s="108">
        <f ca="1">IF(ROWS($1:18)&gt;COUNT(Dong),"",IF(OFFSET(TH!J$1,SMALL(Dong,ROWS($1:18)),)="331",OFFSET(TH!I$1,SMALL(Dong,ROWS($1:18)),),0))</f>
        <v>0</v>
      </c>
      <c r="H31" s="108">
        <f ca="1">IF(ROWS($1:18)&gt;COUNT(Dong),"",IF(OFFSET(TH!K$1,SMALL(Dong,ROWS($1:18)),)="331",OFFSET(TH!I$1,SMALL(Dong,ROWS($1:18)),),0))</f>
        <v>10313194</v>
      </c>
      <c r="I31" s="33">
        <f t="shared" ca="1" si="4"/>
        <v>0</v>
      </c>
      <c r="J31" s="33">
        <f t="shared" ca="1" si="5"/>
        <v>122097194</v>
      </c>
    </row>
    <row r="32" spans="1:10" s="26" customFormat="1" ht="18" customHeight="1">
      <c r="A32" s="11">
        <f t="shared" ca="1" si="3"/>
        <v>42304</v>
      </c>
      <c r="B32" s="11" t="str">
        <f ca="1">IF(ROWS($1:19)&gt;COUNT(Dong),"",OFFSET(TH!D$1,SMALL(Dong,ROWS($1:19)),))</f>
        <v>CTGS</v>
      </c>
      <c r="C32" s="11">
        <f ca="1">IF(ROWS($1:19)&gt;COUNT(Dong),"",OFFSET(TH!E$1,SMALL(Dong,ROWS($1:19)),))</f>
        <v>42304</v>
      </c>
      <c r="D32" s="126" t="str">
        <f ca="1">IF(ROWS($1:19)&gt;COUNT(Dong),"",OFFSET(TH!F$1,SMALL(Dong,ROWS($1:19)),))</f>
        <v>VAT Vật liệu xây dựng</v>
      </c>
      <c r="E32" s="127" t="str">
        <f ca="1">IF(ROWS($1:19)&gt;COUNT(Dong),"",IF(OFFSET(TH!J$1,SMALL(Dong,ROWS($1:19)),)="331",OFFSET(TH!K$1,SMALL(Dong,ROWS($1:19)),),OFFSET(TH!J$1,SMALL(Dong,ROWS($1:19)),)))</f>
        <v>1331</v>
      </c>
      <c r="F32" s="127"/>
      <c r="G32" s="108">
        <f ca="1">IF(ROWS($1:19)&gt;COUNT(Dong),"",IF(OFFSET(TH!J$1,SMALL(Dong,ROWS($1:19)),)="331",OFFSET(TH!I$1,SMALL(Dong,ROWS($1:19)),),0))</f>
        <v>0</v>
      </c>
      <c r="H32" s="108">
        <f ca="1">IF(ROWS($1:19)&gt;COUNT(Dong),"",IF(OFFSET(TH!K$1,SMALL(Dong,ROWS($1:19)),)="331",OFFSET(TH!I$1,SMALL(Dong,ROWS($1:19)),),0))</f>
        <v>1031319</v>
      </c>
      <c r="I32" s="33">
        <f t="shared" ca="1" si="4"/>
        <v>0</v>
      </c>
      <c r="J32" s="33">
        <f t="shared" ca="1" si="5"/>
        <v>123128513</v>
      </c>
    </row>
    <row r="33" spans="1:10" s="26" customFormat="1" ht="18" customHeight="1">
      <c r="A33" s="11">
        <f t="shared" ref="A33:A39" ca="1" si="6">IF(C33&lt;&gt;"",C33,"")</f>
        <v>42366</v>
      </c>
      <c r="B33" s="11" t="str">
        <f ca="1">IF(ROWS($1:20)&gt;COUNT(Dong),"",OFFSET(TH!D$1,SMALL(Dong,ROWS($1:20)),))</f>
        <v>GBN</v>
      </c>
      <c r="C33" s="11">
        <f ca="1">IF(ROWS($1:20)&gt;COUNT(Dong),"",OFFSET(TH!E$1,SMALL(Dong,ROWS($1:20)),))</f>
        <v>42366</v>
      </c>
      <c r="D33" s="126" t="str">
        <f ca="1">IF(ROWS($1:20)&gt;COUNT(Dong),"",OFFSET(TH!F$1,SMALL(Dong,ROWS($1:20)),))</f>
        <v>Thanh toán tiền công trình</v>
      </c>
      <c r="E33" s="127" t="str">
        <f ca="1">IF(ROWS($1:20)&gt;COUNT(Dong),"",IF(OFFSET(TH!J$1,SMALL(Dong,ROWS($1:20)),)="331",OFFSET(TH!K$1,SMALL(Dong,ROWS($1:20)),),OFFSET(TH!J$1,SMALL(Dong,ROWS($1:20)),)))</f>
        <v>1121</v>
      </c>
      <c r="F33" s="127"/>
      <c r="G33" s="138">
        <f ca="1">IF(ROWS($1:20)&gt;COUNT(Dong),"",IF(OFFSET(TH!J$1,SMALL(Dong,ROWS($1:20)),)="331",OFFSET(TH!I$1,SMALL(Dong,ROWS($1:20)),),0))</f>
        <v>123128513</v>
      </c>
      <c r="H33" s="138">
        <f ca="1">IF(ROWS($1:20)&gt;COUNT(Dong),"",IF(OFFSET(TH!K$1,SMALL(Dong,ROWS($1:20)),)="331",OFFSET(TH!I$1,SMALL(Dong,ROWS($1:20)),),0))</f>
        <v>0</v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1173128513</v>
      </c>
      <c r="H51" s="35">
        <f ca="1">SUM(H14:H50)</f>
        <v>1173128513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498" t="s">
        <v>77</v>
      </c>
      <c r="F56" s="498"/>
      <c r="G56" s="498"/>
      <c r="H56" s="498"/>
      <c r="I56" s="498"/>
      <c r="J56" s="498"/>
    </row>
    <row r="57" spans="1:10" s="26" customFormat="1" ht="14.25" customHeight="1">
      <c r="A57" s="498" t="s">
        <v>26</v>
      </c>
      <c r="B57" s="498"/>
      <c r="C57" s="498"/>
      <c r="D57" s="498"/>
      <c r="E57" s="498" t="s">
        <v>27</v>
      </c>
      <c r="F57" s="498"/>
      <c r="G57" s="498"/>
      <c r="H57" s="498"/>
      <c r="I57" s="498"/>
      <c r="J57" s="498"/>
    </row>
    <row r="58" spans="1:10" s="26" customFormat="1" ht="14.25" customHeight="1">
      <c r="A58" s="498" t="s">
        <v>28</v>
      </c>
      <c r="B58" s="498"/>
      <c r="C58" s="498"/>
      <c r="D58" s="498"/>
      <c r="E58" s="498" t="s">
        <v>28</v>
      </c>
      <c r="F58" s="498"/>
      <c r="G58" s="498"/>
      <c r="H58" s="498"/>
      <c r="I58" s="498"/>
      <c r="J58" s="498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66" t="str">
        <f ca="1">"CHI PHÍ XÂY DỰNG TRÀ VINH   " &amp; TEXT(NOW(),"dd/MM/yyyy")</f>
        <v>CHI PHÍ XÂY DỰNG TRÀ VINH   29/12/2015</v>
      </c>
      <c r="B1" s="466"/>
      <c r="C1" s="466"/>
      <c r="D1" s="466"/>
      <c r="E1" s="466"/>
      <c r="F1" s="466"/>
      <c r="G1" s="466"/>
      <c r="H1" s="466"/>
      <c r="I1" s="466"/>
      <c r="J1" s="466"/>
      <c r="K1" s="466"/>
      <c r="L1" s="305"/>
    </row>
    <row r="3" spans="1:12" s="145" customFormat="1" ht="19.5" customHeight="1">
      <c r="A3" s="467" t="s">
        <v>79</v>
      </c>
      <c r="B3" s="467" t="s">
        <v>360</v>
      </c>
      <c r="C3" s="467" t="s">
        <v>361</v>
      </c>
      <c r="D3" s="467" t="s">
        <v>362</v>
      </c>
      <c r="E3" s="468" t="s">
        <v>363</v>
      </c>
      <c r="F3" s="469"/>
      <c r="G3" s="470"/>
      <c r="H3" s="468" t="s">
        <v>364</v>
      </c>
      <c r="I3" s="470"/>
      <c r="J3" s="471" t="s">
        <v>365</v>
      </c>
      <c r="K3" s="467" t="s">
        <v>366</v>
      </c>
      <c r="L3" s="199"/>
    </row>
    <row r="4" spans="1:12" s="148" customFormat="1" ht="19.5" customHeight="1">
      <c r="A4" s="467"/>
      <c r="B4" s="467"/>
      <c r="C4" s="467"/>
      <c r="D4" s="467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2"/>
      <c r="K4" s="467"/>
      <c r="L4" s="306"/>
    </row>
    <row r="5" spans="1:12" ht="17.25" customHeight="1">
      <c r="A5" s="438">
        <v>16</v>
      </c>
      <c r="B5" s="438" t="s">
        <v>111</v>
      </c>
      <c r="C5" s="452" t="s">
        <v>394</v>
      </c>
      <c r="D5" s="462">
        <v>41871</v>
      </c>
      <c r="E5" s="444">
        <v>2200000000</v>
      </c>
      <c r="F5" s="444">
        <f>2508700000</f>
        <v>2508700000</v>
      </c>
      <c r="G5" s="172">
        <f>IF(I5&gt;0,I5,0)</f>
        <v>752610000</v>
      </c>
      <c r="H5" s="444">
        <v>1858000000</v>
      </c>
      <c r="I5" s="172">
        <v>752610000</v>
      </c>
      <c r="J5" s="173">
        <v>41905</v>
      </c>
      <c r="K5" s="327" t="s">
        <v>373</v>
      </c>
    </row>
    <row r="6" spans="1:12" s="180" customFormat="1" ht="17.25" customHeight="1">
      <c r="A6" s="438"/>
      <c r="B6" s="438"/>
      <c r="C6" s="461"/>
      <c r="D6" s="461"/>
      <c r="E6" s="445"/>
      <c r="F6" s="445"/>
      <c r="G6" s="172">
        <f t="shared" ref="G6:G16" si="0">IF(I6&gt;0,I6,0)</f>
        <v>0</v>
      </c>
      <c r="H6" s="445"/>
      <c r="I6" s="185">
        <v>-200000000</v>
      </c>
      <c r="J6" s="186">
        <v>41907</v>
      </c>
      <c r="K6" s="187" t="s">
        <v>391</v>
      </c>
      <c r="L6" s="308"/>
    </row>
    <row r="7" spans="1:12" ht="17.25" customHeight="1">
      <c r="A7" s="438"/>
      <c r="B7" s="438"/>
      <c r="C7" s="461"/>
      <c r="D7" s="461"/>
      <c r="E7" s="445"/>
      <c r="F7" s="445"/>
      <c r="G7" s="172">
        <f t="shared" si="0"/>
        <v>500000000</v>
      </c>
      <c r="H7" s="445"/>
      <c r="I7" s="172">
        <v>500000000</v>
      </c>
      <c r="J7" s="173">
        <v>41942</v>
      </c>
      <c r="K7" s="327" t="s">
        <v>373</v>
      </c>
    </row>
    <row r="8" spans="1:12" ht="17.25" customHeight="1">
      <c r="A8" s="438"/>
      <c r="B8" s="438"/>
      <c r="C8" s="461"/>
      <c r="D8" s="461"/>
      <c r="E8" s="445"/>
      <c r="F8" s="445"/>
      <c r="G8" s="172">
        <f t="shared" si="0"/>
        <v>0</v>
      </c>
      <c r="H8" s="445"/>
      <c r="I8" s="185">
        <v>-100000000</v>
      </c>
      <c r="J8" s="186">
        <v>41951</v>
      </c>
      <c r="K8" s="187" t="s">
        <v>391</v>
      </c>
    </row>
    <row r="9" spans="1:12" ht="17.25" customHeight="1">
      <c r="A9" s="438"/>
      <c r="B9" s="438"/>
      <c r="C9" s="461"/>
      <c r="D9" s="461"/>
      <c r="E9" s="445"/>
      <c r="F9" s="445"/>
      <c r="G9" s="172">
        <f t="shared" si="0"/>
        <v>500000000</v>
      </c>
      <c r="H9" s="445"/>
      <c r="I9" s="172">
        <v>500000000</v>
      </c>
      <c r="J9" s="173">
        <v>42010</v>
      </c>
      <c r="K9" s="327" t="s">
        <v>373</v>
      </c>
    </row>
    <row r="10" spans="1:12" ht="17.25" customHeight="1">
      <c r="A10" s="438"/>
      <c r="B10" s="438"/>
      <c r="C10" s="461" t="s">
        <v>395</v>
      </c>
      <c r="D10" s="473">
        <v>42139</v>
      </c>
      <c r="E10" s="474">
        <f>308700000+501400000</f>
        <v>810100000</v>
      </c>
      <c r="F10" s="474">
        <f>184000000+317400000</f>
        <v>501400000</v>
      </c>
      <c r="G10" s="172">
        <f t="shared" si="0"/>
        <v>0</v>
      </c>
      <c r="H10" s="445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38"/>
      <c r="B11" s="438"/>
      <c r="C11" s="461"/>
      <c r="D11" s="473"/>
      <c r="E11" s="474"/>
      <c r="F11" s="474"/>
      <c r="G11" s="172">
        <f t="shared" si="0"/>
        <v>251000000</v>
      </c>
      <c r="H11" s="445"/>
      <c r="I11" s="172">
        <v>251000000</v>
      </c>
      <c r="J11" s="173">
        <v>42094</v>
      </c>
      <c r="K11" s="327" t="s">
        <v>373</v>
      </c>
    </row>
    <row r="12" spans="1:12" ht="17.25" customHeight="1">
      <c r="A12" s="438"/>
      <c r="B12" s="438"/>
      <c r="C12" s="461"/>
      <c r="D12" s="473"/>
      <c r="E12" s="474"/>
      <c r="F12" s="474"/>
      <c r="G12" s="172">
        <f t="shared" si="0"/>
        <v>200000000</v>
      </c>
      <c r="H12" s="445"/>
      <c r="I12" s="172">
        <v>200000000</v>
      </c>
      <c r="J12" s="173">
        <v>42170</v>
      </c>
      <c r="K12" s="327" t="s">
        <v>373</v>
      </c>
    </row>
    <row r="13" spans="1:12" ht="17.25" customHeight="1">
      <c r="A13" s="438"/>
      <c r="B13" s="438"/>
      <c r="C13" s="461"/>
      <c r="D13" s="473"/>
      <c r="E13" s="474"/>
      <c r="F13" s="474"/>
      <c r="G13" s="172">
        <f t="shared" si="0"/>
        <v>400000000</v>
      </c>
      <c r="H13" s="445"/>
      <c r="I13" s="172">
        <v>400000000</v>
      </c>
      <c r="J13" s="173">
        <v>42199</v>
      </c>
      <c r="K13" s="327" t="s">
        <v>373</v>
      </c>
    </row>
    <row r="14" spans="1:12" ht="17.25" customHeight="1">
      <c r="A14" s="438"/>
      <c r="B14" s="438"/>
      <c r="C14" s="461"/>
      <c r="D14" s="473"/>
      <c r="E14" s="474"/>
      <c r="F14" s="474"/>
      <c r="G14" s="172">
        <f t="shared" si="0"/>
        <v>0</v>
      </c>
      <c r="H14" s="445"/>
      <c r="I14" s="185">
        <v>-200000000</v>
      </c>
      <c r="J14" s="173">
        <v>42202</v>
      </c>
      <c r="K14" s="187" t="s">
        <v>391</v>
      </c>
    </row>
    <row r="15" spans="1:12" ht="17.25" customHeight="1">
      <c r="A15" s="438"/>
      <c r="B15" s="438"/>
      <c r="C15" s="461"/>
      <c r="D15" s="473"/>
      <c r="E15" s="474"/>
      <c r="F15" s="474"/>
      <c r="G15" s="172">
        <f t="shared" si="0"/>
        <v>0</v>
      </c>
      <c r="H15" s="445"/>
      <c r="I15" s="151"/>
      <c r="J15" s="173"/>
      <c r="K15" s="327"/>
    </row>
    <row r="16" spans="1:12" ht="17.25" customHeight="1">
      <c r="A16" s="438"/>
      <c r="B16" s="438"/>
      <c r="C16" s="461"/>
      <c r="D16" s="473"/>
      <c r="E16" s="474"/>
      <c r="F16" s="474"/>
      <c r="G16" s="172">
        <f t="shared" si="0"/>
        <v>0</v>
      </c>
      <c r="H16" s="445"/>
      <c r="I16" s="151"/>
      <c r="J16" s="326"/>
      <c r="K16" s="325"/>
    </row>
    <row r="17" spans="1:12" s="161" customFormat="1" ht="18" customHeight="1">
      <c r="A17" s="438"/>
      <c r="B17" s="438"/>
      <c r="C17" s="442" t="s">
        <v>94</v>
      </c>
      <c r="D17" s="443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4"/>
    </row>
    <row r="18" spans="1:12" s="161" customFormat="1" ht="18" customHeight="1">
      <c r="A18" s="438"/>
      <c r="B18" s="438"/>
      <c r="C18" s="442" t="s">
        <v>380</v>
      </c>
      <c r="D18" s="443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4"/>
    </row>
    <row r="19" spans="1:12" ht="17.25" customHeight="1">
      <c r="C19" s="505" t="s">
        <v>748</v>
      </c>
      <c r="D19" s="505"/>
      <c r="E19" s="158">
        <f>F17-H17</f>
        <v>761400000</v>
      </c>
      <c r="G19" s="505" t="s">
        <v>749</v>
      </c>
      <c r="H19" s="505"/>
      <c r="I19" s="158">
        <f>E19*10%</f>
        <v>76140000</v>
      </c>
      <c r="J19" s="158"/>
      <c r="K19" s="158"/>
    </row>
    <row r="20" spans="1:12" ht="17.25" customHeight="1">
      <c r="C20" s="505" t="s">
        <v>749</v>
      </c>
      <c r="D20" s="505"/>
      <c r="E20" s="158">
        <f>E19*10%</f>
        <v>76140000</v>
      </c>
      <c r="G20" s="442" t="s">
        <v>380</v>
      </c>
      <c r="H20" s="443"/>
      <c r="I20" s="158">
        <f>I18+I19-J18</f>
        <v>208795000</v>
      </c>
      <c r="K20" s="202"/>
    </row>
  </sheetData>
  <autoFilter ref="A4:M18">
    <filterColumn colId="5"/>
    <filterColumn colId="6"/>
    <filterColumn colId="8"/>
  </autoFilter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6" customWidth="1"/>
    <col min="2" max="2" width="32.85546875" style="344" customWidth="1"/>
    <col min="3" max="3" width="7.42578125" style="344" customWidth="1"/>
    <col min="4" max="4" width="10.85546875" style="377" customWidth="1"/>
    <col min="5" max="5" width="11.5703125" style="378" customWidth="1"/>
    <col min="6" max="6" width="17" style="378" customWidth="1"/>
    <col min="7" max="7" width="10.85546875" style="377" customWidth="1"/>
    <col min="8" max="8" width="10.7109375" style="378" customWidth="1"/>
    <col min="9" max="9" width="16.85546875" style="378" customWidth="1"/>
    <col min="10" max="10" width="10.85546875" style="377" customWidth="1"/>
    <col min="11" max="11" width="15.85546875" style="378" customWidth="1"/>
    <col min="12" max="12" width="10.140625" style="377" customWidth="1"/>
    <col min="13" max="13" width="15" style="378" customWidth="1"/>
    <col min="14" max="14" width="14.42578125" style="344" customWidth="1"/>
    <col min="15" max="16384" width="9.140625" style="344"/>
  </cols>
  <sheetData>
    <row r="2" spans="1:14" s="330" customFormat="1" ht="32.25" customHeight="1">
      <c r="A2" s="506" t="s">
        <v>892</v>
      </c>
      <c r="B2" s="507" t="s">
        <v>893</v>
      </c>
      <c r="C2" s="507" t="s">
        <v>80</v>
      </c>
      <c r="D2" s="511" t="s">
        <v>894</v>
      </c>
      <c r="E2" s="511"/>
      <c r="F2" s="511"/>
      <c r="G2" s="511" t="s">
        <v>895</v>
      </c>
      <c r="H2" s="511"/>
      <c r="I2" s="511"/>
      <c r="J2" s="511" t="s">
        <v>896</v>
      </c>
      <c r="K2" s="511"/>
      <c r="L2" s="511" t="s">
        <v>897</v>
      </c>
      <c r="M2" s="511"/>
      <c r="N2" s="507" t="s">
        <v>366</v>
      </c>
    </row>
    <row r="3" spans="1:14" s="330" customFormat="1" ht="32.25" customHeight="1">
      <c r="A3" s="506"/>
      <c r="B3" s="507"/>
      <c r="C3" s="507"/>
      <c r="D3" s="331" t="s">
        <v>898</v>
      </c>
      <c r="E3" s="332" t="s">
        <v>899</v>
      </c>
      <c r="F3" s="332" t="s">
        <v>900</v>
      </c>
      <c r="G3" s="331" t="s">
        <v>898</v>
      </c>
      <c r="H3" s="332" t="s">
        <v>899</v>
      </c>
      <c r="I3" s="332" t="s">
        <v>900</v>
      </c>
      <c r="J3" s="331" t="s">
        <v>898</v>
      </c>
      <c r="K3" s="332" t="s">
        <v>900</v>
      </c>
      <c r="L3" s="331" t="s">
        <v>898</v>
      </c>
      <c r="M3" s="332" t="s">
        <v>900</v>
      </c>
      <c r="N3" s="507"/>
    </row>
    <row r="4" spans="1:14" s="330" customFormat="1" ht="32.25" customHeight="1">
      <c r="A4" s="512" t="s">
        <v>901</v>
      </c>
      <c r="B4" s="512"/>
      <c r="C4" s="512"/>
      <c r="D4" s="333"/>
      <c r="E4" s="334"/>
      <c r="F4" s="335"/>
      <c r="G4" s="333"/>
      <c r="H4" s="334"/>
      <c r="I4" s="335"/>
      <c r="J4" s="333"/>
      <c r="K4" s="334"/>
      <c r="L4" s="333"/>
      <c r="M4" s="334"/>
      <c r="N4" s="335"/>
    </row>
    <row r="5" spans="1:14" ht="32.25" customHeight="1">
      <c r="A5" s="336">
        <v>1</v>
      </c>
      <c r="B5" s="337" t="s">
        <v>902</v>
      </c>
      <c r="C5" s="338" t="s">
        <v>903</v>
      </c>
      <c r="D5" s="339">
        <v>175.89</v>
      </c>
      <c r="E5" s="340">
        <v>157313</v>
      </c>
      <c r="F5" s="340">
        <f>D5*E5</f>
        <v>27669783.569999997</v>
      </c>
      <c r="G5" s="339">
        <v>175.89</v>
      </c>
      <c r="H5" s="340">
        <v>157313</v>
      </c>
      <c r="I5" s="340">
        <f>G5*H5</f>
        <v>27669783.569999997</v>
      </c>
      <c r="J5" s="339">
        <f>MAX(D5-G5,0)</f>
        <v>0</v>
      </c>
      <c r="K5" s="340">
        <f>MAX(F5-I5,0)</f>
        <v>0</v>
      </c>
      <c r="L5" s="341">
        <f>MAX(G5-D5,0)</f>
        <v>0</v>
      </c>
      <c r="M5" s="342">
        <f>MAX(I5-F5,0)</f>
        <v>0</v>
      </c>
      <c r="N5" s="343"/>
    </row>
    <row r="6" spans="1:14" ht="32.25" customHeight="1">
      <c r="A6" s="345">
        <v>2</v>
      </c>
      <c r="B6" s="346" t="s">
        <v>904</v>
      </c>
      <c r="C6" s="338" t="s">
        <v>903</v>
      </c>
      <c r="D6" s="341">
        <v>117.26</v>
      </c>
      <c r="E6" s="342">
        <v>124076</v>
      </c>
      <c r="F6" s="340">
        <f t="shared" ref="F6:F69" si="0">D6*E6</f>
        <v>14549151.76</v>
      </c>
      <c r="G6" s="341">
        <v>117.26</v>
      </c>
      <c r="H6" s="342">
        <v>124076</v>
      </c>
      <c r="I6" s="340">
        <f t="shared" ref="I6:I69" si="1">G6*H6</f>
        <v>14549151.76</v>
      </c>
      <c r="J6" s="339">
        <f t="shared" ref="J6:J69" si="2">MAX(D6-G6,0)</f>
        <v>0</v>
      </c>
      <c r="K6" s="340">
        <f t="shared" ref="K6:K69" si="3">MAX(F6-I6,0)</f>
        <v>0</v>
      </c>
      <c r="L6" s="341">
        <f t="shared" ref="L6:L69" si="4">MAX(G6-D6,0)</f>
        <v>0</v>
      </c>
      <c r="M6" s="342">
        <f t="shared" ref="M6:M69" si="5">MAX(I6-F6,0)</f>
        <v>0</v>
      </c>
      <c r="N6" s="343"/>
    </row>
    <row r="7" spans="1:14" ht="32.25" customHeight="1">
      <c r="A7" s="345">
        <v>3</v>
      </c>
      <c r="B7" s="346" t="s">
        <v>905</v>
      </c>
      <c r="C7" s="343" t="s">
        <v>906</v>
      </c>
      <c r="D7" s="341">
        <v>164</v>
      </c>
      <c r="E7" s="342">
        <v>91683</v>
      </c>
      <c r="F7" s="340">
        <f t="shared" si="0"/>
        <v>15036012</v>
      </c>
      <c r="G7" s="341">
        <v>164</v>
      </c>
      <c r="H7" s="342">
        <v>91683</v>
      </c>
      <c r="I7" s="340">
        <f t="shared" si="1"/>
        <v>15036012</v>
      </c>
      <c r="J7" s="339">
        <f t="shared" si="2"/>
        <v>0</v>
      </c>
      <c r="K7" s="340">
        <f t="shared" si="3"/>
        <v>0</v>
      </c>
      <c r="L7" s="341">
        <f t="shared" si="4"/>
        <v>0</v>
      </c>
      <c r="M7" s="342">
        <f t="shared" si="5"/>
        <v>0</v>
      </c>
      <c r="N7" s="343"/>
    </row>
    <row r="8" spans="1:14" ht="32.25" customHeight="1">
      <c r="A8" s="345">
        <v>4</v>
      </c>
      <c r="B8" s="346" t="s">
        <v>907</v>
      </c>
      <c r="C8" s="343" t="s">
        <v>906</v>
      </c>
      <c r="D8" s="341">
        <v>164</v>
      </c>
      <c r="E8" s="342">
        <v>218411</v>
      </c>
      <c r="F8" s="340">
        <f t="shared" si="0"/>
        <v>35819404</v>
      </c>
      <c r="G8" s="341">
        <v>164</v>
      </c>
      <c r="H8" s="342">
        <v>218411</v>
      </c>
      <c r="I8" s="340">
        <f t="shared" si="1"/>
        <v>35819404</v>
      </c>
      <c r="J8" s="339">
        <f t="shared" si="2"/>
        <v>0</v>
      </c>
      <c r="K8" s="340">
        <f t="shared" si="3"/>
        <v>0</v>
      </c>
      <c r="L8" s="341">
        <f t="shared" si="4"/>
        <v>0</v>
      </c>
      <c r="M8" s="342">
        <f t="shared" si="5"/>
        <v>0</v>
      </c>
      <c r="N8" s="343"/>
    </row>
    <row r="9" spans="1:14" s="355" customFormat="1" ht="32.25" customHeight="1">
      <c r="A9" s="347">
        <v>5</v>
      </c>
      <c r="B9" s="348" t="s">
        <v>908</v>
      </c>
      <c r="C9" s="349" t="s">
        <v>903</v>
      </c>
      <c r="D9" s="350">
        <v>8.52</v>
      </c>
      <c r="E9" s="351">
        <v>1283592</v>
      </c>
      <c r="F9" s="352">
        <f t="shared" si="0"/>
        <v>10936203.84</v>
      </c>
      <c r="G9" s="350">
        <v>15.3</v>
      </c>
      <c r="H9" s="351">
        <v>1283592</v>
      </c>
      <c r="I9" s="352">
        <f t="shared" si="1"/>
        <v>19638957.600000001</v>
      </c>
      <c r="J9" s="353">
        <f t="shared" si="2"/>
        <v>0</v>
      </c>
      <c r="K9" s="352">
        <f t="shared" si="3"/>
        <v>0</v>
      </c>
      <c r="L9" s="350">
        <f t="shared" si="4"/>
        <v>6.7800000000000011</v>
      </c>
      <c r="M9" s="351">
        <f t="shared" si="5"/>
        <v>8702753.7600000016</v>
      </c>
      <c r="N9" s="354" t="s">
        <v>909</v>
      </c>
    </row>
    <row r="10" spans="1:14" ht="32.25" customHeight="1">
      <c r="A10" s="345">
        <v>6</v>
      </c>
      <c r="B10" s="346" t="s">
        <v>910</v>
      </c>
      <c r="C10" s="338" t="s">
        <v>903</v>
      </c>
      <c r="D10" s="341">
        <v>57.847999999999999</v>
      </c>
      <c r="E10" s="342">
        <v>1795808</v>
      </c>
      <c r="F10" s="340">
        <f t="shared" si="0"/>
        <v>103883901.184</v>
      </c>
      <c r="G10" s="341">
        <v>57.847999999999999</v>
      </c>
      <c r="H10" s="342">
        <v>1795808</v>
      </c>
      <c r="I10" s="340">
        <f t="shared" si="1"/>
        <v>103883901.184</v>
      </c>
      <c r="J10" s="339">
        <f t="shared" si="2"/>
        <v>0</v>
      </c>
      <c r="K10" s="340">
        <f t="shared" si="3"/>
        <v>0</v>
      </c>
      <c r="L10" s="341">
        <f t="shared" si="4"/>
        <v>0</v>
      </c>
      <c r="M10" s="342">
        <f t="shared" si="5"/>
        <v>0</v>
      </c>
      <c r="N10" s="343"/>
    </row>
    <row r="11" spans="1:14" s="355" customFormat="1" ht="32.25" customHeight="1">
      <c r="A11" s="347">
        <v>7</v>
      </c>
      <c r="B11" s="348" t="s">
        <v>911</v>
      </c>
      <c r="C11" s="349" t="s">
        <v>903</v>
      </c>
      <c r="D11" s="350">
        <v>117.29</v>
      </c>
      <c r="E11" s="351">
        <v>2327897</v>
      </c>
      <c r="F11" s="352">
        <f t="shared" si="0"/>
        <v>273039039.13</v>
      </c>
      <c r="G11" s="350">
        <v>111.60599999999999</v>
      </c>
      <c r="H11" s="351">
        <v>2327897</v>
      </c>
      <c r="I11" s="352">
        <f t="shared" si="1"/>
        <v>259807272.58199999</v>
      </c>
      <c r="J11" s="353">
        <f t="shared" si="2"/>
        <v>5.6840000000000117</v>
      </c>
      <c r="K11" s="352">
        <f t="shared" si="3"/>
        <v>13231766.548000008</v>
      </c>
      <c r="L11" s="350">
        <f t="shared" si="4"/>
        <v>0</v>
      </c>
      <c r="M11" s="351">
        <f t="shared" si="5"/>
        <v>0</v>
      </c>
      <c r="N11" s="354" t="s">
        <v>912</v>
      </c>
    </row>
    <row r="12" spans="1:14" ht="32.25" customHeight="1">
      <c r="A12" s="345">
        <v>8</v>
      </c>
      <c r="B12" s="346" t="s">
        <v>913</v>
      </c>
      <c r="C12" s="338" t="s">
        <v>903</v>
      </c>
      <c r="D12" s="341">
        <v>9.8870000000000005</v>
      </c>
      <c r="E12" s="342">
        <v>2654775</v>
      </c>
      <c r="F12" s="340">
        <f t="shared" si="0"/>
        <v>26247760.425000001</v>
      </c>
      <c r="G12" s="341">
        <v>9.8870000000000005</v>
      </c>
      <c r="H12" s="342">
        <v>2654775</v>
      </c>
      <c r="I12" s="340">
        <f t="shared" si="1"/>
        <v>26247760.425000001</v>
      </c>
      <c r="J12" s="339">
        <f t="shared" si="2"/>
        <v>0</v>
      </c>
      <c r="K12" s="340">
        <f t="shared" si="3"/>
        <v>0</v>
      </c>
      <c r="L12" s="341">
        <f t="shared" si="4"/>
        <v>0</v>
      </c>
      <c r="M12" s="342">
        <f t="shared" si="5"/>
        <v>0</v>
      </c>
      <c r="N12" s="343"/>
    </row>
    <row r="13" spans="1:14" s="355" customFormat="1" ht="32.25" customHeight="1">
      <c r="A13" s="347">
        <v>9</v>
      </c>
      <c r="B13" s="348" t="s">
        <v>914</v>
      </c>
      <c r="C13" s="349" t="s">
        <v>903</v>
      </c>
      <c r="D13" s="350">
        <v>273.89999999999998</v>
      </c>
      <c r="E13" s="351">
        <v>1788057</v>
      </c>
      <c r="F13" s="352">
        <f t="shared" si="0"/>
        <v>489748812.29999995</v>
      </c>
      <c r="G13" s="350">
        <v>393.9</v>
      </c>
      <c r="H13" s="351">
        <v>1788057</v>
      </c>
      <c r="I13" s="352">
        <f t="shared" si="1"/>
        <v>704315652.29999995</v>
      </c>
      <c r="J13" s="353">
        <f t="shared" si="2"/>
        <v>0</v>
      </c>
      <c r="K13" s="352">
        <f t="shared" si="3"/>
        <v>0</v>
      </c>
      <c r="L13" s="350">
        <f t="shared" si="4"/>
        <v>120</v>
      </c>
      <c r="M13" s="351">
        <f t="shared" si="5"/>
        <v>214566840</v>
      </c>
      <c r="N13" s="354" t="s">
        <v>915</v>
      </c>
    </row>
    <row r="14" spans="1:14" ht="32.25" customHeight="1">
      <c r="A14" s="345">
        <v>10</v>
      </c>
      <c r="B14" s="346" t="s">
        <v>916</v>
      </c>
      <c r="C14" s="343" t="s">
        <v>917</v>
      </c>
      <c r="D14" s="341">
        <v>3.0333000000000001</v>
      </c>
      <c r="E14" s="342">
        <v>16065408</v>
      </c>
      <c r="F14" s="340">
        <f t="shared" si="0"/>
        <v>48731202.086400002</v>
      </c>
      <c r="G14" s="341">
        <v>3.0333000000000001</v>
      </c>
      <c r="H14" s="342">
        <v>16065408</v>
      </c>
      <c r="I14" s="340">
        <f t="shared" si="1"/>
        <v>48731202.086400002</v>
      </c>
      <c r="J14" s="339">
        <f t="shared" si="2"/>
        <v>0</v>
      </c>
      <c r="K14" s="340">
        <f t="shared" si="3"/>
        <v>0</v>
      </c>
      <c r="L14" s="341">
        <f t="shared" si="4"/>
        <v>0</v>
      </c>
      <c r="M14" s="342">
        <f t="shared" si="5"/>
        <v>0</v>
      </c>
      <c r="N14" s="343"/>
    </row>
    <row r="15" spans="1:14" s="355" customFormat="1" ht="32.25" customHeight="1">
      <c r="A15" s="347">
        <v>11</v>
      </c>
      <c r="B15" s="348" t="s">
        <v>918</v>
      </c>
      <c r="C15" s="354" t="s">
        <v>917</v>
      </c>
      <c r="D15" s="350">
        <v>12</v>
      </c>
      <c r="E15" s="351">
        <v>21613723</v>
      </c>
      <c r="F15" s="352">
        <f t="shared" si="0"/>
        <v>259364676</v>
      </c>
      <c r="G15" s="350">
        <v>10.863200000000001</v>
      </c>
      <c r="H15" s="351">
        <v>21613723</v>
      </c>
      <c r="I15" s="352">
        <f t="shared" si="1"/>
        <v>234794195.69360003</v>
      </c>
      <c r="J15" s="353">
        <f t="shared" si="2"/>
        <v>1.1367999999999991</v>
      </c>
      <c r="K15" s="352">
        <f t="shared" si="3"/>
        <v>24570480.306399971</v>
      </c>
      <c r="L15" s="350">
        <f t="shared" si="4"/>
        <v>0</v>
      </c>
      <c r="M15" s="351">
        <f t="shared" si="5"/>
        <v>0</v>
      </c>
      <c r="N15" s="354" t="s">
        <v>919</v>
      </c>
    </row>
    <row r="16" spans="1:14" s="355" customFormat="1" ht="32.25" customHeight="1">
      <c r="A16" s="347">
        <v>12</v>
      </c>
      <c r="B16" s="348" t="s">
        <v>920</v>
      </c>
      <c r="C16" s="354" t="s">
        <v>917</v>
      </c>
      <c r="D16" s="350">
        <v>1.32</v>
      </c>
      <c r="E16" s="351">
        <v>17821387</v>
      </c>
      <c r="F16" s="352">
        <f t="shared" si="0"/>
        <v>23524230.84</v>
      </c>
      <c r="G16" s="350">
        <v>2.5865</v>
      </c>
      <c r="H16" s="351">
        <v>17821387</v>
      </c>
      <c r="I16" s="352">
        <f t="shared" si="1"/>
        <v>46095017.475500003</v>
      </c>
      <c r="J16" s="353">
        <f t="shared" si="2"/>
        <v>0</v>
      </c>
      <c r="K16" s="352">
        <f t="shared" si="3"/>
        <v>0</v>
      </c>
      <c r="L16" s="350">
        <f t="shared" si="4"/>
        <v>1.2665</v>
      </c>
      <c r="M16" s="351">
        <f t="shared" si="5"/>
        <v>22570786.635500003</v>
      </c>
      <c r="N16" s="354"/>
    </row>
    <row r="17" spans="1:14" ht="32.25" customHeight="1">
      <c r="A17" s="345">
        <v>13</v>
      </c>
      <c r="B17" s="346" t="s">
        <v>921</v>
      </c>
      <c r="C17" s="343" t="s">
        <v>922</v>
      </c>
      <c r="D17" s="341">
        <v>29.303999999999998</v>
      </c>
      <c r="E17" s="342">
        <v>21993359</v>
      </c>
      <c r="F17" s="340">
        <f t="shared" si="0"/>
        <v>644493392.13599992</v>
      </c>
      <c r="G17" s="341">
        <v>29.303999999999998</v>
      </c>
      <c r="H17" s="342">
        <v>21993359</v>
      </c>
      <c r="I17" s="340">
        <f t="shared" si="1"/>
        <v>644493392.13599992</v>
      </c>
      <c r="J17" s="339">
        <f t="shared" si="2"/>
        <v>0</v>
      </c>
      <c r="K17" s="340">
        <f t="shared" si="3"/>
        <v>0</v>
      </c>
      <c r="L17" s="341">
        <f t="shared" si="4"/>
        <v>0</v>
      </c>
      <c r="M17" s="342">
        <f t="shared" si="5"/>
        <v>0</v>
      </c>
      <c r="N17" s="343"/>
    </row>
    <row r="18" spans="1:14" s="355" customFormat="1" ht="32.25" customHeight="1">
      <c r="A18" s="347">
        <v>14</v>
      </c>
      <c r="B18" s="348" t="s">
        <v>923</v>
      </c>
      <c r="C18" s="354" t="s">
        <v>922</v>
      </c>
      <c r="D18" s="350">
        <v>16.456</v>
      </c>
      <c r="E18" s="351">
        <v>23112893</v>
      </c>
      <c r="F18" s="352">
        <f t="shared" si="0"/>
        <v>380345767.208</v>
      </c>
      <c r="G18" s="350">
        <v>16.0001</v>
      </c>
      <c r="H18" s="351">
        <v>23112893</v>
      </c>
      <c r="I18" s="352">
        <f t="shared" si="1"/>
        <v>369808599.28929996</v>
      </c>
      <c r="J18" s="353">
        <f t="shared" si="2"/>
        <v>0.45589999999999975</v>
      </c>
      <c r="K18" s="352">
        <f t="shared" si="3"/>
        <v>10537167.918700039</v>
      </c>
      <c r="L18" s="350">
        <f t="shared" si="4"/>
        <v>0</v>
      </c>
      <c r="M18" s="351">
        <f t="shared" si="5"/>
        <v>0</v>
      </c>
      <c r="N18" s="354"/>
    </row>
    <row r="19" spans="1:14" s="355" customFormat="1" ht="32.25" customHeight="1">
      <c r="A19" s="347">
        <v>15</v>
      </c>
      <c r="B19" s="348" t="s">
        <v>924</v>
      </c>
      <c r="C19" s="354" t="s">
        <v>922</v>
      </c>
      <c r="D19" s="350">
        <v>1.9770000000000001</v>
      </c>
      <c r="E19" s="351">
        <v>22795827</v>
      </c>
      <c r="F19" s="352">
        <f t="shared" si="0"/>
        <v>45067349.979000002</v>
      </c>
      <c r="G19" s="350">
        <v>2.2210000000000001</v>
      </c>
      <c r="H19" s="351">
        <v>22795827</v>
      </c>
      <c r="I19" s="352">
        <f t="shared" si="1"/>
        <v>50629531.767000005</v>
      </c>
      <c r="J19" s="353">
        <f t="shared" si="2"/>
        <v>0</v>
      </c>
      <c r="K19" s="352">
        <f t="shared" si="3"/>
        <v>0</v>
      </c>
      <c r="L19" s="350">
        <f t="shared" si="4"/>
        <v>0.24399999999999999</v>
      </c>
      <c r="M19" s="351">
        <f t="shared" si="5"/>
        <v>5562181.7880000025</v>
      </c>
      <c r="N19" s="354"/>
    </row>
    <row r="20" spans="1:14" ht="32.25" customHeight="1">
      <c r="A20" s="345">
        <v>16</v>
      </c>
      <c r="B20" s="346" t="s">
        <v>925</v>
      </c>
      <c r="C20" s="343" t="s">
        <v>922</v>
      </c>
      <c r="D20" s="341">
        <v>35.539200000000001</v>
      </c>
      <c r="E20" s="342">
        <v>22329835</v>
      </c>
      <c r="F20" s="340">
        <f t="shared" si="0"/>
        <v>793584472.03200006</v>
      </c>
      <c r="G20" s="341">
        <v>35.539200000000001</v>
      </c>
      <c r="H20" s="342">
        <v>22329835</v>
      </c>
      <c r="I20" s="340">
        <f t="shared" si="1"/>
        <v>793584472.03200006</v>
      </c>
      <c r="J20" s="339">
        <f t="shared" si="2"/>
        <v>0</v>
      </c>
      <c r="K20" s="340">
        <f t="shared" si="3"/>
        <v>0</v>
      </c>
      <c r="L20" s="341">
        <f t="shared" si="4"/>
        <v>0</v>
      </c>
      <c r="M20" s="342">
        <f t="shared" si="5"/>
        <v>0</v>
      </c>
      <c r="N20" s="343"/>
    </row>
    <row r="21" spans="1:14" ht="32.25" customHeight="1">
      <c r="A21" s="345">
        <v>17</v>
      </c>
      <c r="B21" s="346" t="s">
        <v>926</v>
      </c>
      <c r="C21" s="343" t="s">
        <v>903</v>
      </c>
      <c r="D21" s="341">
        <v>750.8</v>
      </c>
      <c r="E21" s="342">
        <v>118811</v>
      </c>
      <c r="F21" s="340">
        <f t="shared" si="0"/>
        <v>89203298.799999997</v>
      </c>
      <c r="G21" s="341">
        <v>750.8</v>
      </c>
      <c r="H21" s="342">
        <v>118811</v>
      </c>
      <c r="I21" s="340">
        <f t="shared" si="1"/>
        <v>89203298.799999997</v>
      </c>
      <c r="J21" s="339">
        <f t="shared" si="2"/>
        <v>0</v>
      </c>
      <c r="K21" s="340">
        <f t="shared" si="3"/>
        <v>0</v>
      </c>
      <c r="L21" s="341">
        <f t="shared" si="4"/>
        <v>0</v>
      </c>
      <c r="M21" s="342">
        <f t="shared" si="5"/>
        <v>0</v>
      </c>
      <c r="N21" s="343"/>
    </row>
    <row r="22" spans="1:14" ht="32.25" customHeight="1">
      <c r="A22" s="345">
        <v>18</v>
      </c>
      <c r="B22" s="346" t="s">
        <v>927</v>
      </c>
      <c r="C22" s="343" t="s">
        <v>928</v>
      </c>
      <c r="D22" s="341">
        <v>27.39</v>
      </c>
      <c r="E22" s="342">
        <v>682496</v>
      </c>
      <c r="F22" s="340">
        <f t="shared" si="0"/>
        <v>18693565.440000001</v>
      </c>
      <c r="G22" s="341">
        <v>27.39</v>
      </c>
      <c r="H22" s="342">
        <v>682496</v>
      </c>
      <c r="I22" s="340">
        <f t="shared" si="1"/>
        <v>18693565.440000001</v>
      </c>
      <c r="J22" s="339">
        <f t="shared" si="2"/>
        <v>0</v>
      </c>
      <c r="K22" s="340">
        <f t="shared" si="3"/>
        <v>0</v>
      </c>
      <c r="L22" s="341">
        <f t="shared" si="4"/>
        <v>0</v>
      </c>
      <c r="M22" s="342">
        <f t="shared" si="5"/>
        <v>0</v>
      </c>
      <c r="N22" s="343"/>
    </row>
    <row r="23" spans="1:14" s="355" customFormat="1" ht="32.25" customHeight="1">
      <c r="A23" s="347">
        <v>19</v>
      </c>
      <c r="B23" s="348" t="s">
        <v>929</v>
      </c>
      <c r="C23" s="354" t="s">
        <v>903</v>
      </c>
      <c r="D23" s="350">
        <v>19.8</v>
      </c>
      <c r="E23" s="351">
        <v>2600494</v>
      </c>
      <c r="F23" s="352">
        <f t="shared" si="0"/>
        <v>51489781.200000003</v>
      </c>
      <c r="G23" s="350">
        <v>27.84</v>
      </c>
      <c r="H23" s="351">
        <v>2600494</v>
      </c>
      <c r="I23" s="352">
        <f t="shared" si="1"/>
        <v>72397752.959999993</v>
      </c>
      <c r="J23" s="353">
        <f t="shared" si="2"/>
        <v>0</v>
      </c>
      <c r="K23" s="352">
        <f t="shared" si="3"/>
        <v>0</v>
      </c>
      <c r="L23" s="350">
        <f t="shared" si="4"/>
        <v>8.0399999999999991</v>
      </c>
      <c r="M23" s="351">
        <f t="shared" si="5"/>
        <v>20907971.75999999</v>
      </c>
      <c r="N23" s="354" t="s">
        <v>930</v>
      </c>
    </row>
    <row r="24" spans="1:14" s="355" customFormat="1" ht="32.25" customHeight="1">
      <c r="A24" s="347">
        <v>20</v>
      </c>
      <c r="B24" s="348" t="s">
        <v>931</v>
      </c>
      <c r="C24" s="354" t="s">
        <v>903</v>
      </c>
      <c r="D24" s="350">
        <v>105.6</v>
      </c>
      <c r="E24" s="351">
        <v>1537033</v>
      </c>
      <c r="F24" s="352">
        <f t="shared" si="0"/>
        <v>162310684.79999998</v>
      </c>
      <c r="G24" s="350">
        <v>315.94450000000001</v>
      </c>
      <c r="H24" s="351">
        <v>1537033</v>
      </c>
      <c r="I24" s="352">
        <f t="shared" si="1"/>
        <v>485617122.66850001</v>
      </c>
      <c r="J24" s="353">
        <f t="shared" si="2"/>
        <v>0</v>
      </c>
      <c r="K24" s="352">
        <f t="shared" si="3"/>
        <v>0</v>
      </c>
      <c r="L24" s="350">
        <f t="shared" si="4"/>
        <v>210.34450000000001</v>
      </c>
      <c r="M24" s="351">
        <f t="shared" si="5"/>
        <v>323306437.86849999</v>
      </c>
      <c r="N24" s="354"/>
    </row>
    <row r="25" spans="1:14" s="355" customFormat="1" ht="32.25" customHeight="1">
      <c r="A25" s="347">
        <v>21</v>
      </c>
      <c r="B25" s="348" t="s">
        <v>932</v>
      </c>
      <c r="C25" s="354" t="s">
        <v>933</v>
      </c>
      <c r="D25" s="350">
        <v>726</v>
      </c>
      <c r="E25" s="351">
        <v>81113</v>
      </c>
      <c r="F25" s="352">
        <f t="shared" si="0"/>
        <v>58888038</v>
      </c>
      <c r="G25" s="350">
        <v>414.95800000000003</v>
      </c>
      <c r="H25" s="351">
        <v>81113</v>
      </c>
      <c r="I25" s="352">
        <f t="shared" si="1"/>
        <v>33658488.254000001</v>
      </c>
      <c r="J25" s="353">
        <f t="shared" si="2"/>
        <v>311.04199999999997</v>
      </c>
      <c r="K25" s="352">
        <f t="shared" si="3"/>
        <v>25229549.745999999</v>
      </c>
      <c r="L25" s="350">
        <f t="shared" si="4"/>
        <v>0</v>
      </c>
      <c r="M25" s="351">
        <f t="shared" si="5"/>
        <v>0</v>
      </c>
      <c r="N25" s="354"/>
    </row>
    <row r="26" spans="1:14" s="355" customFormat="1" ht="32.25" customHeight="1">
      <c r="A26" s="347">
        <v>22</v>
      </c>
      <c r="B26" s="348" t="s">
        <v>934</v>
      </c>
      <c r="C26" s="354" t="s">
        <v>933</v>
      </c>
      <c r="D26" s="350">
        <v>2106</v>
      </c>
      <c r="E26" s="351">
        <v>187552</v>
      </c>
      <c r="F26" s="352">
        <f t="shared" si="0"/>
        <v>394984512</v>
      </c>
      <c r="G26" s="350">
        <v>1530.55</v>
      </c>
      <c r="H26" s="351">
        <v>100000</v>
      </c>
      <c r="I26" s="352">
        <f t="shared" si="1"/>
        <v>153055000</v>
      </c>
      <c r="J26" s="353">
        <f t="shared" si="2"/>
        <v>575.45000000000005</v>
      </c>
      <c r="K26" s="352">
        <f t="shared" si="3"/>
        <v>241929512</v>
      </c>
      <c r="L26" s="350">
        <f t="shared" si="4"/>
        <v>0</v>
      </c>
      <c r="M26" s="351">
        <f t="shared" si="5"/>
        <v>0</v>
      </c>
      <c r="N26" s="354"/>
    </row>
    <row r="27" spans="1:14" s="355" customFormat="1" ht="32.25" customHeight="1">
      <c r="A27" s="347">
        <v>23</v>
      </c>
      <c r="B27" s="348" t="s">
        <v>935</v>
      </c>
      <c r="C27" s="354" t="s">
        <v>933</v>
      </c>
      <c r="D27" s="350">
        <v>1320</v>
      </c>
      <c r="E27" s="351">
        <v>302602</v>
      </c>
      <c r="F27" s="352">
        <f t="shared" si="0"/>
        <v>399434640</v>
      </c>
      <c r="G27" s="350">
        <v>1866</v>
      </c>
      <c r="H27" s="351">
        <v>120000</v>
      </c>
      <c r="I27" s="352">
        <f t="shared" si="1"/>
        <v>223920000</v>
      </c>
      <c r="J27" s="353">
        <f t="shared" si="2"/>
        <v>0</v>
      </c>
      <c r="K27" s="352">
        <f t="shared" si="3"/>
        <v>175514640</v>
      </c>
      <c r="L27" s="350">
        <f t="shared" si="4"/>
        <v>546</v>
      </c>
      <c r="M27" s="351">
        <f t="shared" si="5"/>
        <v>0</v>
      </c>
      <c r="N27" s="354"/>
    </row>
    <row r="28" spans="1:14" s="355" customFormat="1" ht="32.25" customHeight="1">
      <c r="A28" s="347">
        <v>24</v>
      </c>
      <c r="B28" s="348" t="s">
        <v>936</v>
      </c>
      <c r="C28" s="354" t="s">
        <v>933</v>
      </c>
      <c r="D28" s="350">
        <v>1452</v>
      </c>
      <c r="E28" s="351">
        <v>83662</v>
      </c>
      <c r="F28" s="352">
        <f t="shared" si="0"/>
        <v>121477224</v>
      </c>
      <c r="G28" s="350">
        <v>335.55799999999999</v>
      </c>
      <c r="H28" s="351">
        <v>83662</v>
      </c>
      <c r="I28" s="352">
        <f t="shared" si="1"/>
        <v>28073453.395999998</v>
      </c>
      <c r="J28" s="353">
        <f t="shared" si="2"/>
        <v>1116.442</v>
      </c>
      <c r="K28" s="352">
        <f t="shared" si="3"/>
        <v>93403770.604000002</v>
      </c>
      <c r="L28" s="350">
        <f t="shared" si="4"/>
        <v>0</v>
      </c>
      <c r="M28" s="351">
        <f t="shared" si="5"/>
        <v>0</v>
      </c>
      <c r="N28" s="354"/>
    </row>
    <row r="29" spans="1:14" s="355" customFormat="1" ht="32.25" customHeight="1">
      <c r="A29" s="347">
        <v>25</v>
      </c>
      <c r="B29" s="348" t="s">
        <v>937</v>
      </c>
      <c r="C29" s="354" t="s">
        <v>933</v>
      </c>
      <c r="D29" s="350">
        <v>1452</v>
      </c>
      <c r="E29" s="351">
        <v>59365</v>
      </c>
      <c r="F29" s="352">
        <f t="shared" si="0"/>
        <v>86197980</v>
      </c>
      <c r="G29" s="350">
        <v>335.55799999999999</v>
      </c>
      <c r="H29" s="351">
        <v>29710</v>
      </c>
      <c r="I29" s="352">
        <f t="shared" si="1"/>
        <v>9969428.1799999997</v>
      </c>
      <c r="J29" s="353">
        <f t="shared" si="2"/>
        <v>1116.442</v>
      </c>
      <c r="K29" s="352">
        <f t="shared" si="3"/>
        <v>76228551.819999993</v>
      </c>
      <c r="L29" s="350">
        <f t="shared" si="4"/>
        <v>0</v>
      </c>
      <c r="M29" s="351">
        <f t="shared" si="5"/>
        <v>0</v>
      </c>
      <c r="N29" s="354"/>
    </row>
    <row r="30" spans="1:14" s="355" customFormat="1" ht="32.25" customHeight="1">
      <c r="A30" s="356">
        <v>26</v>
      </c>
      <c r="B30" s="357" t="s">
        <v>938</v>
      </c>
      <c r="C30" s="358" t="s">
        <v>933</v>
      </c>
      <c r="D30" s="359">
        <v>96</v>
      </c>
      <c r="E30" s="360">
        <v>443907</v>
      </c>
      <c r="F30" s="361">
        <f t="shared" si="0"/>
        <v>42615072</v>
      </c>
      <c r="G30" s="359">
        <v>621.87249999999995</v>
      </c>
      <c r="H30" s="360">
        <v>443907</v>
      </c>
      <c r="I30" s="361">
        <f t="shared" si="1"/>
        <v>276053555.85749996</v>
      </c>
      <c r="J30" s="362">
        <f t="shared" si="2"/>
        <v>0</v>
      </c>
      <c r="K30" s="361">
        <f t="shared" si="3"/>
        <v>0</v>
      </c>
      <c r="L30" s="359">
        <f t="shared" si="4"/>
        <v>525.87249999999995</v>
      </c>
      <c r="M30" s="360">
        <f t="shared" si="5"/>
        <v>233438483.85749996</v>
      </c>
      <c r="N30" s="358"/>
    </row>
    <row r="31" spans="1:14" s="330" customFormat="1" ht="32.25" customHeight="1">
      <c r="A31" s="506" t="s">
        <v>94</v>
      </c>
      <c r="B31" s="506"/>
      <c r="C31" s="506"/>
      <c r="D31" s="331"/>
      <c r="E31" s="332"/>
      <c r="F31" s="332">
        <f>SUM(F5:F30)</f>
        <v>4617335954.7304001</v>
      </c>
      <c r="G31" s="331"/>
      <c r="H31" s="332"/>
      <c r="I31" s="332">
        <f t="shared" ref="I31:M31" si="6">SUM(I5:I30)</f>
        <v>4785745971.4568005</v>
      </c>
      <c r="J31" s="331"/>
      <c r="K31" s="332">
        <f t="shared" si="6"/>
        <v>660645438.94309998</v>
      </c>
      <c r="L31" s="331"/>
      <c r="M31" s="332">
        <f t="shared" si="6"/>
        <v>829055455.66949999</v>
      </c>
      <c r="N31" s="363"/>
    </row>
    <row r="32" spans="1:14" s="330" customFormat="1" ht="32.25" customHeight="1">
      <c r="A32" s="508" t="s">
        <v>939</v>
      </c>
      <c r="B32" s="509"/>
      <c r="C32" s="510"/>
      <c r="D32" s="364"/>
      <c r="E32" s="365"/>
      <c r="F32" s="365"/>
      <c r="G32" s="364"/>
      <c r="H32" s="365"/>
      <c r="I32" s="365"/>
      <c r="J32" s="364"/>
      <c r="K32" s="365"/>
      <c r="L32" s="364"/>
      <c r="M32" s="365"/>
      <c r="N32" s="366"/>
    </row>
    <row r="33" spans="1:14" ht="32.25" customHeight="1">
      <c r="A33" s="345">
        <v>1</v>
      </c>
      <c r="B33" s="337" t="s">
        <v>902</v>
      </c>
      <c r="C33" s="343" t="s">
        <v>903</v>
      </c>
      <c r="D33" s="341">
        <v>152.4016</v>
      </c>
      <c r="E33" s="342">
        <v>157313</v>
      </c>
      <c r="F33" s="340">
        <f t="shared" si="0"/>
        <v>23974752.900800001</v>
      </c>
      <c r="G33" s="341">
        <v>152.4016</v>
      </c>
      <c r="H33" s="342">
        <v>157313</v>
      </c>
      <c r="I33" s="340">
        <f t="shared" si="1"/>
        <v>23974752.900800001</v>
      </c>
      <c r="J33" s="339">
        <f t="shared" si="2"/>
        <v>0</v>
      </c>
      <c r="K33" s="340">
        <f t="shared" si="3"/>
        <v>0</v>
      </c>
      <c r="L33" s="341">
        <f t="shared" si="4"/>
        <v>0</v>
      </c>
      <c r="M33" s="342">
        <f t="shared" si="5"/>
        <v>0</v>
      </c>
      <c r="N33" s="343"/>
    </row>
    <row r="34" spans="1:14" ht="32.25" customHeight="1">
      <c r="A34" s="345">
        <v>2</v>
      </c>
      <c r="B34" s="346" t="s">
        <v>940</v>
      </c>
      <c r="C34" s="343" t="s">
        <v>903</v>
      </c>
      <c r="D34" s="341">
        <v>101.6011</v>
      </c>
      <c r="E34" s="342">
        <v>124076</v>
      </c>
      <c r="F34" s="340">
        <f t="shared" si="0"/>
        <v>12606258.0836</v>
      </c>
      <c r="G34" s="341">
        <v>101.6011</v>
      </c>
      <c r="H34" s="342">
        <v>124076</v>
      </c>
      <c r="I34" s="340">
        <f t="shared" si="1"/>
        <v>12606258.0836</v>
      </c>
      <c r="J34" s="339">
        <f t="shared" si="2"/>
        <v>0</v>
      </c>
      <c r="K34" s="340">
        <f t="shared" si="3"/>
        <v>0</v>
      </c>
      <c r="L34" s="341">
        <f t="shared" si="4"/>
        <v>0</v>
      </c>
      <c r="M34" s="342">
        <f t="shared" si="5"/>
        <v>0</v>
      </c>
      <c r="N34" s="343"/>
    </row>
    <row r="35" spans="1:14" ht="32.25" customHeight="1">
      <c r="A35" s="345">
        <v>3</v>
      </c>
      <c r="B35" s="346" t="s">
        <v>941</v>
      </c>
      <c r="C35" s="343" t="s">
        <v>942</v>
      </c>
      <c r="D35" s="341">
        <v>68.45</v>
      </c>
      <c r="E35" s="342">
        <v>1206690</v>
      </c>
      <c r="F35" s="340">
        <f t="shared" si="0"/>
        <v>82597930.5</v>
      </c>
      <c r="G35" s="341">
        <v>68.45</v>
      </c>
      <c r="H35" s="342">
        <v>1206690</v>
      </c>
      <c r="I35" s="340">
        <f t="shared" si="1"/>
        <v>82597930.5</v>
      </c>
      <c r="J35" s="339">
        <f t="shared" si="2"/>
        <v>0</v>
      </c>
      <c r="K35" s="340">
        <f t="shared" si="3"/>
        <v>0</v>
      </c>
      <c r="L35" s="341">
        <f t="shared" si="4"/>
        <v>0</v>
      </c>
      <c r="M35" s="342">
        <f t="shared" si="5"/>
        <v>0</v>
      </c>
      <c r="N35" s="343"/>
    </row>
    <row r="36" spans="1:14" s="355" customFormat="1" ht="32.25" customHeight="1">
      <c r="A36" s="347">
        <v>4</v>
      </c>
      <c r="B36" s="348" t="s">
        <v>943</v>
      </c>
      <c r="C36" s="354" t="s">
        <v>903</v>
      </c>
      <c r="D36" s="350">
        <v>6.8959999999999999</v>
      </c>
      <c r="E36" s="351">
        <v>1283592</v>
      </c>
      <c r="F36" s="352">
        <f t="shared" si="0"/>
        <v>8851650.432</v>
      </c>
      <c r="G36" s="350">
        <v>9.4559999999999995</v>
      </c>
      <c r="H36" s="351">
        <v>1283592</v>
      </c>
      <c r="I36" s="352">
        <f t="shared" si="1"/>
        <v>12137645.952</v>
      </c>
      <c r="J36" s="353">
        <f t="shared" si="2"/>
        <v>0</v>
      </c>
      <c r="K36" s="352">
        <f t="shared" si="3"/>
        <v>0</v>
      </c>
      <c r="L36" s="350">
        <f t="shared" si="4"/>
        <v>2.5599999999999996</v>
      </c>
      <c r="M36" s="351">
        <f t="shared" si="5"/>
        <v>3285995.5199999996</v>
      </c>
      <c r="N36" s="354"/>
    </row>
    <row r="37" spans="1:14" ht="32.25" customHeight="1">
      <c r="A37" s="345">
        <v>5</v>
      </c>
      <c r="B37" s="346" t="s">
        <v>944</v>
      </c>
      <c r="C37" s="343" t="s">
        <v>903</v>
      </c>
      <c r="D37" s="341">
        <v>19.751200000000001</v>
      </c>
      <c r="E37" s="342">
        <v>1684611</v>
      </c>
      <c r="F37" s="340">
        <f t="shared" si="0"/>
        <v>33273088.783199999</v>
      </c>
      <c r="G37" s="341">
        <v>19.751200000000001</v>
      </c>
      <c r="H37" s="342">
        <v>1684611</v>
      </c>
      <c r="I37" s="340">
        <f t="shared" si="1"/>
        <v>33273088.783199999</v>
      </c>
      <c r="J37" s="339">
        <f t="shared" si="2"/>
        <v>0</v>
      </c>
      <c r="K37" s="340">
        <f t="shared" si="3"/>
        <v>0</v>
      </c>
      <c r="L37" s="341">
        <f t="shared" si="4"/>
        <v>0</v>
      </c>
      <c r="M37" s="342">
        <f t="shared" si="5"/>
        <v>0</v>
      </c>
      <c r="N37" s="343"/>
    </row>
    <row r="38" spans="1:14" ht="32.25" customHeight="1">
      <c r="A38" s="345">
        <v>6</v>
      </c>
      <c r="B38" s="346" t="s">
        <v>945</v>
      </c>
      <c r="C38" s="343" t="s">
        <v>903</v>
      </c>
      <c r="D38" s="341">
        <v>15.7469</v>
      </c>
      <c r="E38" s="342">
        <v>2216701</v>
      </c>
      <c r="F38" s="340">
        <f t="shared" si="0"/>
        <v>34906168.976900004</v>
      </c>
      <c r="G38" s="341">
        <v>15.7469</v>
      </c>
      <c r="H38" s="342">
        <v>2216701</v>
      </c>
      <c r="I38" s="340">
        <f t="shared" si="1"/>
        <v>34906168.976900004</v>
      </c>
      <c r="J38" s="339">
        <f t="shared" si="2"/>
        <v>0</v>
      </c>
      <c r="K38" s="340">
        <f t="shared" si="3"/>
        <v>0</v>
      </c>
      <c r="L38" s="341">
        <f t="shared" si="4"/>
        <v>0</v>
      </c>
      <c r="M38" s="342">
        <f t="shared" si="5"/>
        <v>0</v>
      </c>
      <c r="N38" s="343"/>
    </row>
    <row r="39" spans="1:14" ht="32.25" customHeight="1">
      <c r="A39" s="345">
        <v>7</v>
      </c>
      <c r="B39" s="346" t="s">
        <v>913</v>
      </c>
      <c r="C39" s="338" t="s">
        <v>903</v>
      </c>
      <c r="D39" s="341">
        <v>3.2669999999999999</v>
      </c>
      <c r="E39" s="342">
        <v>2543579</v>
      </c>
      <c r="F39" s="340">
        <f t="shared" si="0"/>
        <v>8309872.5929999994</v>
      </c>
      <c r="G39" s="341">
        <v>3.2669999999999999</v>
      </c>
      <c r="H39" s="342">
        <v>2543579</v>
      </c>
      <c r="I39" s="340">
        <f t="shared" si="1"/>
        <v>8309872.5929999994</v>
      </c>
      <c r="J39" s="339">
        <f t="shared" si="2"/>
        <v>0</v>
      </c>
      <c r="K39" s="340">
        <f t="shared" si="3"/>
        <v>0</v>
      </c>
      <c r="L39" s="341">
        <f t="shared" si="4"/>
        <v>0</v>
      </c>
      <c r="M39" s="342">
        <f t="shared" si="5"/>
        <v>0</v>
      </c>
      <c r="N39" s="343"/>
    </row>
    <row r="40" spans="1:14" ht="32.25" customHeight="1">
      <c r="A40" s="345">
        <v>8</v>
      </c>
      <c r="B40" s="346" t="s">
        <v>946</v>
      </c>
      <c r="C40" s="338" t="s">
        <v>903</v>
      </c>
      <c r="D40" s="341">
        <v>8.8181999999999992</v>
      </c>
      <c r="E40" s="342">
        <v>2261508</v>
      </c>
      <c r="F40" s="340">
        <f t="shared" si="0"/>
        <v>19942429.845599998</v>
      </c>
      <c r="G40" s="341">
        <v>8.8181999999999992</v>
      </c>
      <c r="H40" s="342">
        <v>2261508</v>
      </c>
      <c r="I40" s="340">
        <f t="shared" si="1"/>
        <v>19942429.845599998</v>
      </c>
      <c r="J40" s="339">
        <f t="shared" si="2"/>
        <v>0</v>
      </c>
      <c r="K40" s="340">
        <f t="shared" si="3"/>
        <v>0</v>
      </c>
      <c r="L40" s="341">
        <f t="shared" si="4"/>
        <v>0</v>
      </c>
      <c r="M40" s="342">
        <f t="shared" si="5"/>
        <v>0</v>
      </c>
      <c r="N40" s="343"/>
    </row>
    <row r="41" spans="1:14" ht="32.25" customHeight="1">
      <c r="A41" s="345">
        <v>9</v>
      </c>
      <c r="B41" s="346" t="s">
        <v>947</v>
      </c>
      <c r="C41" s="343" t="s">
        <v>917</v>
      </c>
      <c r="D41" s="341">
        <v>0.68440000000000001</v>
      </c>
      <c r="E41" s="342">
        <v>16065408</v>
      </c>
      <c r="F41" s="340">
        <f t="shared" si="0"/>
        <v>10995165.235200001</v>
      </c>
      <c r="G41" s="341">
        <v>0.68440000000000001</v>
      </c>
      <c r="H41" s="342">
        <v>16065408</v>
      </c>
      <c r="I41" s="340">
        <f t="shared" si="1"/>
        <v>10995165.235200001</v>
      </c>
      <c r="J41" s="339">
        <f t="shared" si="2"/>
        <v>0</v>
      </c>
      <c r="K41" s="340">
        <f t="shared" si="3"/>
        <v>0</v>
      </c>
      <c r="L41" s="341">
        <f t="shared" si="4"/>
        <v>0</v>
      </c>
      <c r="M41" s="342">
        <f t="shared" si="5"/>
        <v>0</v>
      </c>
      <c r="N41" s="343"/>
    </row>
    <row r="42" spans="1:14" ht="32.25" customHeight="1">
      <c r="A42" s="345">
        <v>10</v>
      </c>
      <c r="B42" s="346" t="s">
        <v>948</v>
      </c>
      <c r="C42" s="343" t="s">
        <v>917</v>
      </c>
      <c r="D42" s="341">
        <v>2.9308999999999998</v>
      </c>
      <c r="E42" s="342">
        <v>21613723</v>
      </c>
      <c r="F42" s="340">
        <f t="shared" si="0"/>
        <v>63347660.740699999</v>
      </c>
      <c r="G42" s="341">
        <v>2.9308999999999998</v>
      </c>
      <c r="H42" s="342">
        <v>21613723</v>
      </c>
      <c r="I42" s="340">
        <f t="shared" si="1"/>
        <v>63347660.740699999</v>
      </c>
      <c r="J42" s="339">
        <f t="shared" si="2"/>
        <v>0</v>
      </c>
      <c r="K42" s="340">
        <f t="shared" si="3"/>
        <v>0</v>
      </c>
      <c r="L42" s="341">
        <f t="shared" si="4"/>
        <v>0</v>
      </c>
      <c r="M42" s="342">
        <f t="shared" si="5"/>
        <v>0</v>
      </c>
      <c r="N42" s="343"/>
    </row>
    <row r="43" spans="1:14" ht="32.25" customHeight="1">
      <c r="A43" s="345">
        <v>11</v>
      </c>
      <c r="B43" s="346" t="s">
        <v>949</v>
      </c>
      <c r="C43" s="343" t="s">
        <v>917</v>
      </c>
      <c r="D43" s="341">
        <v>1.1357999999999999</v>
      </c>
      <c r="E43" s="342">
        <v>17821387</v>
      </c>
      <c r="F43" s="340">
        <f t="shared" si="0"/>
        <v>20241531.354599997</v>
      </c>
      <c r="G43" s="341">
        <v>1.1357999999999999</v>
      </c>
      <c r="H43" s="342">
        <v>17821387</v>
      </c>
      <c r="I43" s="340">
        <f t="shared" si="1"/>
        <v>20241531.354599997</v>
      </c>
      <c r="J43" s="339">
        <f t="shared" si="2"/>
        <v>0</v>
      </c>
      <c r="K43" s="340">
        <f t="shared" si="3"/>
        <v>0</v>
      </c>
      <c r="L43" s="341">
        <f t="shared" si="4"/>
        <v>0</v>
      </c>
      <c r="M43" s="342">
        <f t="shared" si="5"/>
        <v>0</v>
      </c>
      <c r="N43" s="343"/>
    </row>
    <row r="44" spans="1:14" ht="32.25" customHeight="1">
      <c r="A44" s="345">
        <v>12</v>
      </c>
      <c r="B44" s="346" t="s">
        <v>950</v>
      </c>
      <c r="C44" s="343" t="s">
        <v>917</v>
      </c>
      <c r="D44" s="341">
        <v>1.7662</v>
      </c>
      <c r="E44" s="342">
        <v>17572894</v>
      </c>
      <c r="F44" s="340">
        <f t="shared" si="0"/>
        <v>31037245.382800002</v>
      </c>
      <c r="G44" s="341">
        <v>1.7662</v>
      </c>
      <c r="H44" s="342">
        <v>17572894</v>
      </c>
      <c r="I44" s="340">
        <f t="shared" si="1"/>
        <v>31037245.382800002</v>
      </c>
      <c r="J44" s="339">
        <f t="shared" si="2"/>
        <v>0</v>
      </c>
      <c r="K44" s="340">
        <f t="shared" si="3"/>
        <v>0</v>
      </c>
      <c r="L44" s="341">
        <f t="shared" si="4"/>
        <v>0</v>
      </c>
      <c r="M44" s="342">
        <f t="shared" si="5"/>
        <v>0</v>
      </c>
      <c r="N44" s="343"/>
    </row>
    <row r="45" spans="1:14" ht="32.25" customHeight="1">
      <c r="A45" s="345">
        <v>13</v>
      </c>
      <c r="B45" s="346" t="s">
        <v>921</v>
      </c>
      <c r="C45" s="343" t="s">
        <v>922</v>
      </c>
      <c r="D45" s="341">
        <v>0.58109999999999995</v>
      </c>
      <c r="E45" s="342">
        <v>24512504</v>
      </c>
      <c r="F45" s="340">
        <f t="shared" si="0"/>
        <v>14244216.074399998</v>
      </c>
      <c r="G45" s="341">
        <v>0.58109999999999995</v>
      </c>
      <c r="H45" s="342">
        <v>24512504</v>
      </c>
      <c r="I45" s="340">
        <f t="shared" si="1"/>
        <v>14244216.074399998</v>
      </c>
      <c r="J45" s="339">
        <f t="shared" si="2"/>
        <v>0</v>
      </c>
      <c r="K45" s="340">
        <f t="shared" si="3"/>
        <v>0</v>
      </c>
      <c r="L45" s="341">
        <f t="shared" si="4"/>
        <v>0</v>
      </c>
      <c r="M45" s="342">
        <f t="shared" si="5"/>
        <v>0</v>
      </c>
      <c r="N45" s="343"/>
    </row>
    <row r="46" spans="1:14" ht="32.25" customHeight="1">
      <c r="A46" s="345">
        <v>14</v>
      </c>
      <c r="B46" s="346" t="s">
        <v>951</v>
      </c>
      <c r="C46" s="343" t="s">
        <v>922</v>
      </c>
      <c r="D46" s="341">
        <v>1.7214</v>
      </c>
      <c r="E46" s="342">
        <v>25684686</v>
      </c>
      <c r="F46" s="340">
        <f t="shared" si="0"/>
        <v>44213618.480400003</v>
      </c>
      <c r="G46" s="341">
        <v>1.7214</v>
      </c>
      <c r="H46" s="342">
        <v>25684686</v>
      </c>
      <c r="I46" s="340">
        <f t="shared" si="1"/>
        <v>44213618.480400003</v>
      </c>
      <c r="J46" s="339">
        <f t="shared" si="2"/>
        <v>0</v>
      </c>
      <c r="K46" s="340">
        <f t="shared" si="3"/>
        <v>0</v>
      </c>
      <c r="L46" s="341">
        <f t="shared" si="4"/>
        <v>0</v>
      </c>
      <c r="M46" s="342">
        <f t="shared" si="5"/>
        <v>0</v>
      </c>
      <c r="N46" s="343"/>
    </row>
    <row r="47" spans="1:14" ht="32.25" customHeight="1">
      <c r="A47" s="345">
        <v>15</v>
      </c>
      <c r="B47" s="346" t="s">
        <v>952</v>
      </c>
      <c r="C47" s="343" t="s">
        <v>922</v>
      </c>
      <c r="D47" s="341">
        <v>0.68940000000000001</v>
      </c>
      <c r="E47" s="342">
        <v>25367620</v>
      </c>
      <c r="F47" s="340">
        <f t="shared" si="0"/>
        <v>17488437.228</v>
      </c>
      <c r="G47" s="341">
        <v>0.68940000000000001</v>
      </c>
      <c r="H47" s="342">
        <v>25367620</v>
      </c>
      <c r="I47" s="340">
        <f t="shared" si="1"/>
        <v>17488437.228</v>
      </c>
      <c r="J47" s="339">
        <f t="shared" si="2"/>
        <v>0</v>
      </c>
      <c r="K47" s="340">
        <f t="shared" si="3"/>
        <v>0</v>
      </c>
      <c r="L47" s="341">
        <f t="shared" si="4"/>
        <v>0</v>
      </c>
      <c r="M47" s="342">
        <f t="shared" si="5"/>
        <v>0</v>
      </c>
      <c r="N47" s="343"/>
    </row>
    <row r="48" spans="1:14" ht="32.25" customHeight="1">
      <c r="A48" s="345">
        <v>16</v>
      </c>
      <c r="B48" s="346" t="s">
        <v>953</v>
      </c>
      <c r="C48" s="343" t="s">
        <v>922</v>
      </c>
      <c r="D48" s="341">
        <v>0.61509999999999998</v>
      </c>
      <c r="E48" s="342">
        <v>27010598</v>
      </c>
      <c r="F48" s="340">
        <f t="shared" si="0"/>
        <v>16614218.829799999</v>
      </c>
      <c r="G48" s="341">
        <v>0.61509999999999998</v>
      </c>
      <c r="H48" s="342">
        <v>27010598</v>
      </c>
      <c r="I48" s="340">
        <f t="shared" si="1"/>
        <v>16614218.829799999</v>
      </c>
      <c r="J48" s="339">
        <f t="shared" si="2"/>
        <v>0</v>
      </c>
      <c r="K48" s="340">
        <f t="shared" si="3"/>
        <v>0</v>
      </c>
      <c r="L48" s="341">
        <f t="shared" si="4"/>
        <v>0</v>
      </c>
      <c r="M48" s="342">
        <f t="shared" si="5"/>
        <v>0</v>
      </c>
      <c r="N48" s="343"/>
    </row>
    <row r="49" spans="1:14" ht="32.25" customHeight="1">
      <c r="A49" s="345">
        <v>17</v>
      </c>
      <c r="B49" s="346" t="s">
        <v>954</v>
      </c>
      <c r="C49" s="343" t="s">
        <v>903</v>
      </c>
      <c r="D49" s="341">
        <v>20.3</v>
      </c>
      <c r="E49" s="342">
        <v>1676247</v>
      </c>
      <c r="F49" s="340">
        <f t="shared" si="0"/>
        <v>34027814.100000001</v>
      </c>
      <c r="G49" s="341">
        <v>20.3</v>
      </c>
      <c r="H49" s="342">
        <v>1676247</v>
      </c>
      <c r="I49" s="340">
        <f t="shared" si="1"/>
        <v>34027814.100000001</v>
      </c>
      <c r="J49" s="339">
        <f t="shared" si="2"/>
        <v>0</v>
      </c>
      <c r="K49" s="340">
        <f t="shared" si="3"/>
        <v>0</v>
      </c>
      <c r="L49" s="341">
        <f t="shared" si="4"/>
        <v>0</v>
      </c>
      <c r="M49" s="342">
        <f t="shared" si="5"/>
        <v>0</v>
      </c>
      <c r="N49" s="343"/>
    </row>
    <row r="50" spans="1:14" s="355" customFormat="1" ht="32.25" customHeight="1">
      <c r="A50" s="347">
        <v>18</v>
      </c>
      <c r="B50" s="348" t="s">
        <v>955</v>
      </c>
      <c r="C50" s="354" t="s">
        <v>933</v>
      </c>
      <c r="D50" s="350">
        <v>13.65</v>
      </c>
      <c r="E50" s="351">
        <v>200476</v>
      </c>
      <c r="F50" s="352">
        <f t="shared" si="0"/>
        <v>2736497.4</v>
      </c>
      <c r="G50" s="350">
        <v>10.92</v>
      </c>
      <c r="H50" s="351">
        <v>100000</v>
      </c>
      <c r="I50" s="352">
        <f t="shared" si="1"/>
        <v>1092000</v>
      </c>
      <c r="J50" s="353">
        <f t="shared" si="2"/>
        <v>2.7300000000000004</v>
      </c>
      <c r="K50" s="352">
        <f t="shared" si="3"/>
        <v>1644497.4</v>
      </c>
      <c r="L50" s="350">
        <f t="shared" si="4"/>
        <v>0</v>
      </c>
      <c r="M50" s="351">
        <f t="shared" si="5"/>
        <v>0</v>
      </c>
      <c r="N50" s="354"/>
    </row>
    <row r="51" spans="1:14" s="355" customFormat="1" ht="32.25" customHeight="1">
      <c r="A51" s="347">
        <v>19</v>
      </c>
      <c r="B51" s="348" t="s">
        <v>934</v>
      </c>
      <c r="C51" s="354" t="s">
        <v>933</v>
      </c>
      <c r="D51" s="350">
        <v>21</v>
      </c>
      <c r="E51" s="351">
        <v>187552</v>
      </c>
      <c r="F51" s="352">
        <f t="shared" si="0"/>
        <v>3938592</v>
      </c>
      <c r="G51" s="350">
        <v>21</v>
      </c>
      <c r="H51" s="351">
        <v>100000</v>
      </c>
      <c r="I51" s="352">
        <f t="shared" si="1"/>
        <v>2100000</v>
      </c>
      <c r="J51" s="353">
        <f t="shared" si="2"/>
        <v>0</v>
      </c>
      <c r="K51" s="352">
        <f t="shared" si="3"/>
        <v>1838592</v>
      </c>
      <c r="L51" s="350">
        <f t="shared" si="4"/>
        <v>0</v>
      </c>
      <c r="M51" s="351">
        <f t="shared" si="5"/>
        <v>0</v>
      </c>
      <c r="N51" s="354"/>
    </row>
    <row r="52" spans="1:14" s="355" customFormat="1" ht="32.25" customHeight="1">
      <c r="A52" s="347">
        <v>20</v>
      </c>
      <c r="B52" s="348" t="s">
        <v>956</v>
      </c>
      <c r="C52" s="354" t="s">
        <v>933</v>
      </c>
      <c r="D52" s="350">
        <v>168.35</v>
      </c>
      <c r="E52" s="351">
        <v>424279</v>
      </c>
      <c r="F52" s="352">
        <f t="shared" si="0"/>
        <v>71427369.649999991</v>
      </c>
      <c r="G52" s="350">
        <v>184.73</v>
      </c>
      <c r="H52" s="351">
        <v>100000</v>
      </c>
      <c r="I52" s="352">
        <f t="shared" si="1"/>
        <v>18473000</v>
      </c>
      <c r="J52" s="353">
        <f t="shared" si="2"/>
        <v>0</v>
      </c>
      <c r="K52" s="352">
        <f t="shared" si="3"/>
        <v>52954369.649999991</v>
      </c>
      <c r="L52" s="350">
        <f t="shared" si="4"/>
        <v>16.379999999999995</v>
      </c>
      <c r="M52" s="351">
        <f t="shared" si="5"/>
        <v>0</v>
      </c>
      <c r="N52" s="354"/>
    </row>
    <row r="53" spans="1:14" s="355" customFormat="1" ht="32.25" customHeight="1">
      <c r="A53" s="347">
        <v>21</v>
      </c>
      <c r="B53" s="348" t="s">
        <v>957</v>
      </c>
      <c r="C53" s="354" t="s">
        <v>933</v>
      </c>
      <c r="D53" s="350">
        <v>48</v>
      </c>
      <c r="E53" s="351">
        <v>287331</v>
      </c>
      <c r="F53" s="352">
        <f t="shared" si="0"/>
        <v>13791888</v>
      </c>
      <c r="G53" s="350">
        <v>124.746</v>
      </c>
      <c r="H53" s="351">
        <v>120000</v>
      </c>
      <c r="I53" s="352">
        <f t="shared" si="1"/>
        <v>14969520</v>
      </c>
      <c r="J53" s="353">
        <f t="shared" si="2"/>
        <v>0</v>
      </c>
      <c r="K53" s="352">
        <f t="shared" si="3"/>
        <v>0</v>
      </c>
      <c r="L53" s="350">
        <f t="shared" si="4"/>
        <v>76.745999999999995</v>
      </c>
      <c r="M53" s="351">
        <f t="shared" si="5"/>
        <v>1177632</v>
      </c>
      <c r="N53" s="354"/>
    </row>
    <row r="54" spans="1:14" s="355" customFormat="1" ht="32.25" customHeight="1">
      <c r="A54" s="347">
        <v>22</v>
      </c>
      <c r="B54" s="348" t="s">
        <v>958</v>
      </c>
      <c r="C54" s="354" t="s">
        <v>922</v>
      </c>
      <c r="D54" s="350">
        <v>0.98909999999999998</v>
      </c>
      <c r="E54" s="351">
        <v>29502844</v>
      </c>
      <c r="F54" s="352">
        <f t="shared" si="0"/>
        <v>29181263.000399999</v>
      </c>
      <c r="G54" s="350">
        <v>1.1416999999999999</v>
      </c>
      <c r="H54" s="351">
        <v>29502844</v>
      </c>
      <c r="I54" s="352">
        <f t="shared" si="1"/>
        <v>33683396.994800001</v>
      </c>
      <c r="J54" s="353">
        <f t="shared" si="2"/>
        <v>0</v>
      </c>
      <c r="K54" s="352">
        <f t="shared" si="3"/>
        <v>0</v>
      </c>
      <c r="L54" s="350">
        <f t="shared" si="4"/>
        <v>0.15259999999999996</v>
      </c>
      <c r="M54" s="351">
        <f t="shared" si="5"/>
        <v>4502133.9944000021</v>
      </c>
      <c r="N54" s="354"/>
    </row>
    <row r="55" spans="1:14" s="355" customFormat="1" ht="32.25" customHeight="1">
      <c r="A55" s="347">
        <v>23</v>
      </c>
      <c r="B55" s="348" t="s">
        <v>959</v>
      </c>
      <c r="C55" s="354" t="s">
        <v>922</v>
      </c>
      <c r="D55" s="350">
        <v>0.98909999999999998</v>
      </c>
      <c r="E55" s="351">
        <v>1748576</v>
      </c>
      <c r="F55" s="352">
        <f t="shared" si="0"/>
        <v>1729516.5215999999</v>
      </c>
      <c r="G55" s="350">
        <v>1.1416999999999999</v>
      </c>
      <c r="H55" s="351">
        <v>1748576</v>
      </c>
      <c r="I55" s="352">
        <f t="shared" si="1"/>
        <v>1996349.2191999999</v>
      </c>
      <c r="J55" s="353">
        <f t="shared" si="2"/>
        <v>0</v>
      </c>
      <c r="K55" s="352">
        <f t="shared" si="3"/>
        <v>0</v>
      </c>
      <c r="L55" s="350">
        <f t="shared" si="4"/>
        <v>0.15259999999999996</v>
      </c>
      <c r="M55" s="351">
        <f t="shared" si="5"/>
        <v>266832.69760000007</v>
      </c>
      <c r="N55" s="354"/>
    </row>
    <row r="56" spans="1:14" s="355" customFormat="1" ht="32.25" customHeight="1">
      <c r="A56" s="347">
        <v>24</v>
      </c>
      <c r="B56" s="348" t="s">
        <v>960</v>
      </c>
      <c r="C56" s="354" t="s">
        <v>917</v>
      </c>
      <c r="D56" s="350">
        <v>2.1560000000000001</v>
      </c>
      <c r="E56" s="351">
        <v>16515504</v>
      </c>
      <c r="F56" s="352">
        <f t="shared" si="0"/>
        <v>35607426.624000005</v>
      </c>
      <c r="G56" s="350">
        <v>2.1560000000000001</v>
      </c>
      <c r="H56" s="351">
        <v>26515504</v>
      </c>
      <c r="I56" s="352">
        <f t="shared" si="1"/>
        <v>57167426.624000005</v>
      </c>
      <c r="J56" s="353">
        <f t="shared" si="2"/>
        <v>0</v>
      </c>
      <c r="K56" s="352">
        <f t="shared" si="3"/>
        <v>0</v>
      </c>
      <c r="L56" s="350">
        <f t="shared" si="4"/>
        <v>0</v>
      </c>
      <c r="M56" s="351">
        <f t="shared" si="5"/>
        <v>21560000</v>
      </c>
      <c r="N56" s="354"/>
    </row>
    <row r="57" spans="1:14" s="355" customFormat="1" ht="32.25" customHeight="1">
      <c r="A57" s="347">
        <v>25</v>
      </c>
      <c r="B57" s="348" t="s">
        <v>961</v>
      </c>
      <c r="C57" s="354" t="s">
        <v>903</v>
      </c>
      <c r="D57" s="350">
        <v>32.798999999999999</v>
      </c>
      <c r="E57" s="351">
        <v>1537033</v>
      </c>
      <c r="F57" s="352">
        <f t="shared" si="0"/>
        <v>50413145.366999999</v>
      </c>
      <c r="G57" s="350">
        <v>33.911999999999999</v>
      </c>
      <c r="H57" s="351">
        <v>1537033</v>
      </c>
      <c r="I57" s="352">
        <f t="shared" si="1"/>
        <v>52123863.096000001</v>
      </c>
      <c r="J57" s="353">
        <f t="shared" si="2"/>
        <v>0</v>
      </c>
      <c r="K57" s="352">
        <f t="shared" si="3"/>
        <v>0</v>
      </c>
      <c r="L57" s="350">
        <f t="shared" si="4"/>
        <v>1.1129999999999995</v>
      </c>
      <c r="M57" s="351">
        <f t="shared" si="5"/>
        <v>1710717.7290000021</v>
      </c>
      <c r="N57" s="354"/>
    </row>
    <row r="58" spans="1:14" s="355" customFormat="1" ht="32.25" customHeight="1">
      <c r="A58" s="347">
        <v>26</v>
      </c>
      <c r="B58" s="348" t="s">
        <v>962</v>
      </c>
      <c r="C58" s="354" t="s">
        <v>933</v>
      </c>
      <c r="D58" s="350">
        <v>182</v>
      </c>
      <c r="E58" s="351">
        <v>191935</v>
      </c>
      <c r="F58" s="352">
        <f t="shared" si="0"/>
        <v>34932170</v>
      </c>
      <c r="G58" s="350">
        <v>0</v>
      </c>
      <c r="H58" s="351">
        <v>191935</v>
      </c>
      <c r="I58" s="352">
        <f t="shared" si="1"/>
        <v>0</v>
      </c>
      <c r="J58" s="353">
        <f t="shared" si="2"/>
        <v>182</v>
      </c>
      <c r="K58" s="352">
        <f t="shared" si="3"/>
        <v>34932170</v>
      </c>
      <c r="L58" s="350">
        <f t="shared" si="4"/>
        <v>0</v>
      </c>
      <c r="M58" s="351">
        <f t="shared" si="5"/>
        <v>0</v>
      </c>
      <c r="N58" s="354"/>
    </row>
    <row r="59" spans="1:14" ht="32.25" customHeight="1">
      <c r="A59" s="345">
        <v>27</v>
      </c>
      <c r="B59" s="346" t="s">
        <v>932</v>
      </c>
      <c r="C59" s="343" t="s">
        <v>933</v>
      </c>
      <c r="D59" s="341">
        <v>655.98</v>
      </c>
      <c r="E59" s="342">
        <v>81113</v>
      </c>
      <c r="F59" s="340">
        <f t="shared" si="0"/>
        <v>53208505.740000002</v>
      </c>
      <c r="G59" s="341">
        <v>655.98</v>
      </c>
      <c r="H59" s="342">
        <v>81113</v>
      </c>
      <c r="I59" s="340">
        <f t="shared" si="1"/>
        <v>53208505.740000002</v>
      </c>
      <c r="J59" s="339">
        <f t="shared" si="2"/>
        <v>0</v>
      </c>
      <c r="K59" s="340">
        <f t="shared" si="3"/>
        <v>0</v>
      </c>
      <c r="L59" s="341">
        <f t="shared" si="4"/>
        <v>0</v>
      </c>
      <c r="M59" s="342">
        <f t="shared" si="5"/>
        <v>0</v>
      </c>
      <c r="N59" s="343"/>
    </row>
    <row r="60" spans="1:14" ht="32.25" customHeight="1">
      <c r="A60" s="345">
        <v>28</v>
      </c>
      <c r="B60" s="346" t="s">
        <v>963</v>
      </c>
      <c r="C60" s="343" t="s">
        <v>933</v>
      </c>
      <c r="D60" s="341">
        <v>50.468000000000004</v>
      </c>
      <c r="E60" s="342">
        <v>57407</v>
      </c>
      <c r="F60" s="340">
        <f t="shared" si="0"/>
        <v>2897216.4760000003</v>
      </c>
      <c r="G60" s="341">
        <v>50.468000000000004</v>
      </c>
      <c r="H60" s="342">
        <v>57407</v>
      </c>
      <c r="I60" s="340">
        <f t="shared" si="1"/>
        <v>2897216.4760000003</v>
      </c>
      <c r="J60" s="339">
        <f t="shared" si="2"/>
        <v>0</v>
      </c>
      <c r="K60" s="340">
        <f t="shared" si="3"/>
        <v>0</v>
      </c>
      <c r="L60" s="341">
        <f t="shared" si="4"/>
        <v>0</v>
      </c>
      <c r="M60" s="342">
        <f t="shared" si="5"/>
        <v>0</v>
      </c>
      <c r="N60" s="343"/>
    </row>
    <row r="61" spans="1:14" ht="32.25" customHeight="1">
      <c r="A61" s="345">
        <v>29</v>
      </c>
      <c r="B61" s="346" t="s">
        <v>964</v>
      </c>
      <c r="C61" s="343" t="s">
        <v>965</v>
      </c>
      <c r="D61" s="341">
        <v>68.2</v>
      </c>
      <c r="E61" s="342">
        <v>81305</v>
      </c>
      <c r="F61" s="340">
        <f t="shared" si="0"/>
        <v>5545001</v>
      </c>
      <c r="G61" s="341">
        <v>68.2</v>
      </c>
      <c r="H61" s="342">
        <v>81305</v>
      </c>
      <c r="I61" s="340">
        <f t="shared" si="1"/>
        <v>5545001</v>
      </c>
      <c r="J61" s="339">
        <f t="shared" si="2"/>
        <v>0</v>
      </c>
      <c r="K61" s="340">
        <f t="shared" si="3"/>
        <v>0</v>
      </c>
      <c r="L61" s="341">
        <f t="shared" si="4"/>
        <v>0</v>
      </c>
      <c r="M61" s="342">
        <f t="shared" si="5"/>
        <v>0</v>
      </c>
      <c r="N61" s="343"/>
    </row>
    <row r="62" spans="1:14" ht="32.25" customHeight="1">
      <c r="A62" s="345">
        <v>30</v>
      </c>
      <c r="B62" s="346" t="s">
        <v>966</v>
      </c>
      <c r="C62" s="343" t="s">
        <v>965</v>
      </c>
      <c r="D62" s="341">
        <v>68.2</v>
      </c>
      <c r="E62" s="342">
        <v>64868</v>
      </c>
      <c r="F62" s="340">
        <f t="shared" si="0"/>
        <v>4423997.6000000006</v>
      </c>
      <c r="G62" s="341">
        <v>68.2</v>
      </c>
      <c r="H62" s="342">
        <v>64868</v>
      </c>
      <c r="I62" s="340">
        <f t="shared" si="1"/>
        <v>4423997.6000000006</v>
      </c>
      <c r="J62" s="339">
        <f t="shared" si="2"/>
        <v>0</v>
      </c>
      <c r="K62" s="340">
        <f t="shared" si="3"/>
        <v>0</v>
      </c>
      <c r="L62" s="341">
        <f t="shared" si="4"/>
        <v>0</v>
      </c>
      <c r="M62" s="342">
        <f t="shared" si="5"/>
        <v>0</v>
      </c>
      <c r="N62" s="343"/>
    </row>
    <row r="63" spans="1:14" ht="32.25" customHeight="1">
      <c r="A63" s="345">
        <v>31</v>
      </c>
      <c r="B63" s="346" t="s">
        <v>967</v>
      </c>
      <c r="C63" s="343" t="s">
        <v>933</v>
      </c>
      <c r="D63" s="341">
        <v>136.78800000000001</v>
      </c>
      <c r="E63" s="342">
        <v>47287</v>
      </c>
      <c r="F63" s="340">
        <f t="shared" si="0"/>
        <v>6468294.1560000004</v>
      </c>
      <c r="G63" s="341">
        <v>136.78800000000001</v>
      </c>
      <c r="H63" s="342">
        <v>47287</v>
      </c>
      <c r="I63" s="340">
        <f t="shared" si="1"/>
        <v>6468294.1560000004</v>
      </c>
      <c r="J63" s="339">
        <f t="shared" si="2"/>
        <v>0</v>
      </c>
      <c r="K63" s="340">
        <f t="shared" si="3"/>
        <v>0</v>
      </c>
      <c r="L63" s="341">
        <f t="shared" si="4"/>
        <v>0</v>
      </c>
      <c r="M63" s="342">
        <f t="shared" si="5"/>
        <v>0</v>
      </c>
      <c r="N63" s="343"/>
    </row>
    <row r="64" spans="1:14" ht="32.25" customHeight="1">
      <c r="A64" s="345">
        <v>32</v>
      </c>
      <c r="B64" s="346" t="s">
        <v>927</v>
      </c>
      <c r="C64" s="343" t="s">
        <v>917</v>
      </c>
      <c r="D64" s="341">
        <v>2.0299999999999998</v>
      </c>
      <c r="E64" s="342">
        <v>682496</v>
      </c>
      <c r="F64" s="340">
        <f t="shared" si="0"/>
        <v>1385466.8799999999</v>
      </c>
      <c r="G64" s="341">
        <v>2.0299999999999998</v>
      </c>
      <c r="H64" s="342">
        <v>682496</v>
      </c>
      <c r="I64" s="340">
        <f t="shared" si="1"/>
        <v>1385466.8799999999</v>
      </c>
      <c r="J64" s="339">
        <f t="shared" si="2"/>
        <v>0</v>
      </c>
      <c r="K64" s="340">
        <f t="shared" si="3"/>
        <v>0</v>
      </c>
      <c r="L64" s="341">
        <f t="shared" si="4"/>
        <v>0</v>
      </c>
      <c r="M64" s="342">
        <f t="shared" si="5"/>
        <v>0</v>
      </c>
      <c r="N64" s="343"/>
    </row>
    <row r="65" spans="1:14" s="355" customFormat="1" ht="32.25" customHeight="1">
      <c r="A65" s="347">
        <v>33</v>
      </c>
      <c r="B65" s="348" t="s">
        <v>968</v>
      </c>
      <c r="C65" s="354" t="s">
        <v>933</v>
      </c>
      <c r="D65" s="350">
        <v>676.58</v>
      </c>
      <c r="E65" s="351">
        <v>81113</v>
      </c>
      <c r="F65" s="352">
        <f t="shared" si="0"/>
        <v>54879433.540000007</v>
      </c>
      <c r="G65" s="350">
        <v>672.73099999999999</v>
      </c>
      <c r="H65" s="351">
        <v>81113</v>
      </c>
      <c r="I65" s="352">
        <f t="shared" si="1"/>
        <v>54567229.603</v>
      </c>
      <c r="J65" s="353">
        <f t="shared" si="2"/>
        <v>3.8490000000000464</v>
      </c>
      <c r="K65" s="352">
        <f t="shared" si="3"/>
        <v>312203.93700000644</v>
      </c>
      <c r="L65" s="350">
        <f t="shared" si="4"/>
        <v>0</v>
      </c>
      <c r="M65" s="351">
        <f t="shared" si="5"/>
        <v>0</v>
      </c>
      <c r="N65" s="354"/>
    </row>
    <row r="66" spans="1:14" ht="32.25" customHeight="1">
      <c r="A66" s="345">
        <v>34</v>
      </c>
      <c r="B66" s="346" t="s">
        <v>969</v>
      </c>
      <c r="C66" s="343" t="s">
        <v>933</v>
      </c>
      <c r="D66" s="341">
        <v>136.78800000000001</v>
      </c>
      <c r="E66" s="342">
        <v>76892</v>
      </c>
      <c r="F66" s="340">
        <f t="shared" si="0"/>
        <v>10517902.896000002</v>
      </c>
      <c r="G66" s="341">
        <v>136.78800000000001</v>
      </c>
      <c r="H66" s="342">
        <v>76892</v>
      </c>
      <c r="I66" s="340">
        <f t="shared" si="1"/>
        <v>10517902.896000002</v>
      </c>
      <c r="J66" s="339">
        <f t="shared" si="2"/>
        <v>0</v>
      </c>
      <c r="K66" s="340">
        <f t="shared" si="3"/>
        <v>0</v>
      </c>
      <c r="L66" s="341">
        <f t="shared" si="4"/>
        <v>0</v>
      </c>
      <c r="M66" s="342">
        <f t="shared" si="5"/>
        <v>0</v>
      </c>
      <c r="N66" s="343"/>
    </row>
    <row r="67" spans="1:14" s="355" customFormat="1" ht="32.25" customHeight="1">
      <c r="A67" s="347">
        <v>35</v>
      </c>
      <c r="B67" s="348" t="s">
        <v>970</v>
      </c>
      <c r="C67" s="354" t="s">
        <v>933</v>
      </c>
      <c r="D67" s="350">
        <v>813.35799999999995</v>
      </c>
      <c r="E67" s="351">
        <v>83662</v>
      </c>
      <c r="F67" s="352">
        <f t="shared" si="0"/>
        <v>68047156.995999992</v>
      </c>
      <c r="G67" s="350">
        <v>758.178</v>
      </c>
      <c r="H67" s="351">
        <v>83740</v>
      </c>
      <c r="I67" s="352">
        <f t="shared" si="1"/>
        <v>63489825.719999999</v>
      </c>
      <c r="J67" s="353">
        <f t="shared" si="2"/>
        <v>55.17999999999995</v>
      </c>
      <c r="K67" s="352">
        <f t="shared" si="3"/>
        <v>4557331.2759999931</v>
      </c>
      <c r="L67" s="350">
        <f t="shared" si="4"/>
        <v>0</v>
      </c>
      <c r="M67" s="351">
        <f t="shared" si="5"/>
        <v>0</v>
      </c>
      <c r="N67" s="354"/>
    </row>
    <row r="68" spans="1:14" s="355" customFormat="1" ht="32.25" customHeight="1">
      <c r="A68" s="347">
        <v>36</v>
      </c>
      <c r="B68" s="348" t="s">
        <v>937</v>
      </c>
      <c r="C68" s="354" t="s">
        <v>933</v>
      </c>
      <c r="D68" s="350">
        <v>813.35799999999995</v>
      </c>
      <c r="E68" s="351">
        <v>59365</v>
      </c>
      <c r="F68" s="352">
        <f t="shared" si="0"/>
        <v>48284997.669999994</v>
      </c>
      <c r="G68" s="350">
        <v>758.178</v>
      </c>
      <c r="H68" s="351">
        <v>29710</v>
      </c>
      <c r="I68" s="352">
        <f t="shared" si="1"/>
        <v>22525468.379999999</v>
      </c>
      <c r="J68" s="353">
        <f t="shared" si="2"/>
        <v>55.17999999999995</v>
      </c>
      <c r="K68" s="352">
        <f t="shared" si="3"/>
        <v>25759529.289999995</v>
      </c>
      <c r="L68" s="350">
        <f t="shared" si="4"/>
        <v>0</v>
      </c>
      <c r="M68" s="351">
        <f t="shared" si="5"/>
        <v>0</v>
      </c>
      <c r="N68" s="354"/>
    </row>
    <row r="69" spans="1:14" ht="32.25" customHeight="1">
      <c r="A69" s="345">
        <v>37</v>
      </c>
      <c r="B69" s="346" t="s">
        <v>971</v>
      </c>
      <c r="C69" s="343" t="s">
        <v>942</v>
      </c>
      <c r="D69" s="341">
        <v>0.48</v>
      </c>
      <c r="E69" s="342">
        <v>14072168</v>
      </c>
      <c r="F69" s="340">
        <f t="shared" si="0"/>
        <v>6754640.6399999997</v>
      </c>
      <c r="G69" s="341">
        <v>0.48</v>
      </c>
      <c r="H69" s="342">
        <v>14072168</v>
      </c>
      <c r="I69" s="340">
        <f t="shared" si="1"/>
        <v>6754640.6399999997</v>
      </c>
      <c r="J69" s="339">
        <f t="shared" si="2"/>
        <v>0</v>
      </c>
      <c r="K69" s="340">
        <f t="shared" si="3"/>
        <v>0</v>
      </c>
      <c r="L69" s="341">
        <f t="shared" si="4"/>
        <v>0</v>
      </c>
      <c r="M69" s="342">
        <f t="shared" si="5"/>
        <v>0</v>
      </c>
      <c r="N69" s="343"/>
    </row>
    <row r="70" spans="1:14" ht="32.25" customHeight="1">
      <c r="A70" s="345">
        <v>38</v>
      </c>
      <c r="B70" s="346" t="s">
        <v>972</v>
      </c>
      <c r="C70" s="343" t="s">
        <v>906</v>
      </c>
      <c r="D70" s="341">
        <v>8</v>
      </c>
      <c r="E70" s="342">
        <v>44770</v>
      </c>
      <c r="F70" s="340">
        <f t="shared" ref="F70:F133" si="7">D70*E70</f>
        <v>358160</v>
      </c>
      <c r="G70" s="341">
        <v>8</v>
      </c>
      <c r="H70" s="342">
        <v>44770</v>
      </c>
      <c r="I70" s="340">
        <f t="shared" ref="I70:I133" si="8">G70*H70</f>
        <v>358160</v>
      </c>
      <c r="J70" s="339">
        <f t="shared" ref="J70:J133" si="9">MAX(D70-G70,0)</f>
        <v>0</v>
      </c>
      <c r="K70" s="340">
        <f t="shared" ref="K70:K133" si="10">MAX(F70-I70,0)</f>
        <v>0</v>
      </c>
      <c r="L70" s="341">
        <f t="shared" ref="L70:L133" si="11">MAX(G70-D70,0)</f>
        <v>0</v>
      </c>
      <c r="M70" s="342">
        <f t="shared" ref="M70:M133" si="12">MAX(I70-F70,0)</f>
        <v>0</v>
      </c>
      <c r="N70" s="343"/>
    </row>
    <row r="71" spans="1:14" s="355" customFormat="1" ht="32.25" customHeight="1">
      <c r="A71" s="347">
        <v>39</v>
      </c>
      <c r="B71" s="348" t="s">
        <v>929</v>
      </c>
      <c r="C71" s="354" t="s">
        <v>903</v>
      </c>
      <c r="D71" s="350"/>
      <c r="E71" s="351"/>
      <c r="F71" s="352">
        <f t="shared" si="7"/>
        <v>0</v>
      </c>
      <c r="G71" s="350">
        <v>7.68</v>
      </c>
      <c r="H71" s="351">
        <v>2602936</v>
      </c>
      <c r="I71" s="352">
        <f t="shared" si="8"/>
        <v>19990548.48</v>
      </c>
      <c r="J71" s="353">
        <f t="shared" si="9"/>
        <v>0</v>
      </c>
      <c r="K71" s="352">
        <f t="shared" si="10"/>
        <v>0</v>
      </c>
      <c r="L71" s="350">
        <f t="shared" si="11"/>
        <v>7.68</v>
      </c>
      <c r="M71" s="351">
        <f t="shared" si="12"/>
        <v>19990548.48</v>
      </c>
      <c r="N71" s="354"/>
    </row>
    <row r="72" spans="1:14" s="330" customFormat="1" ht="32.25" customHeight="1">
      <c r="A72" s="506" t="s">
        <v>94</v>
      </c>
      <c r="B72" s="506"/>
      <c r="C72" s="506"/>
      <c r="D72" s="331"/>
      <c r="E72" s="332"/>
      <c r="F72" s="332">
        <f>SUM(F33:F71)</f>
        <v>983200701.69799995</v>
      </c>
      <c r="G72" s="331"/>
      <c r="H72" s="332"/>
      <c r="I72" s="332">
        <f t="shared" ref="I72:M72" si="13">SUM(I33:I71)</f>
        <v>913695868.5660001</v>
      </c>
      <c r="J72" s="331"/>
      <c r="K72" s="332">
        <f t="shared" si="13"/>
        <v>121998693.55299997</v>
      </c>
      <c r="L72" s="331"/>
      <c r="M72" s="332">
        <f t="shared" si="13"/>
        <v>52493860.421000004</v>
      </c>
      <c r="N72" s="363"/>
    </row>
    <row r="73" spans="1:14" ht="32.25" customHeight="1">
      <c r="A73" s="506" t="s">
        <v>973</v>
      </c>
      <c r="B73" s="506"/>
      <c r="C73" s="506"/>
      <c r="D73" s="341"/>
      <c r="E73" s="342"/>
      <c r="F73" s="340"/>
      <c r="G73" s="341"/>
      <c r="H73" s="342"/>
      <c r="I73" s="340"/>
      <c r="J73" s="339"/>
      <c r="K73" s="340"/>
      <c r="L73" s="341"/>
      <c r="M73" s="342"/>
      <c r="N73" s="343"/>
    </row>
    <row r="74" spans="1:14" ht="32.25" customHeight="1">
      <c r="A74" s="345">
        <v>1</v>
      </c>
      <c r="B74" s="346" t="s">
        <v>902</v>
      </c>
      <c r="C74" s="343" t="s">
        <v>903</v>
      </c>
      <c r="D74" s="341">
        <v>125.4838</v>
      </c>
      <c r="E74" s="342">
        <v>157460</v>
      </c>
      <c r="F74" s="340">
        <f t="shared" si="7"/>
        <v>19758679.148000002</v>
      </c>
      <c r="G74" s="341">
        <v>125.4838</v>
      </c>
      <c r="H74" s="342">
        <v>157460</v>
      </c>
      <c r="I74" s="340">
        <f t="shared" si="8"/>
        <v>19758679.148000002</v>
      </c>
      <c r="J74" s="339">
        <f t="shared" si="9"/>
        <v>0</v>
      </c>
      <c r="K74" s="340">
        <f t="shared" si="10"/>
        <v>0</v>
      </c>
      <c r="L74" s="341">
        <f t="shared" si="11"/>
        <v>0</v>
      </c>
      <c r="M74" s="342">
        <f t="shared" si="12"/>
        <v>0</v>
      </c>
      <c r="N74" s="343"/>
    </row>
    <row r="75" spans="1:14" ht="32.25" customHeight="1">
      <c r="A75" s="345">
        <v>2</v>
      </c>
      <c r="B75" s="346" t="s">
        <v>904</v>
      </c>
      <c r="C75" s="343" t="s">
        <v>903</v>
      </c>
      <c r="D75" s="341">
        <v>83.656000000000006</v>
      </c>
      <c r="E75" s="342">
        <v>124194</v>
      </c>
      <c r="F75" s="340">
        <f t="shared" si="7"/>
        <v>10389573.264</v>
      </c>
      <c r="G75" s="341">
        <v>83.656000000000006</v>
      </c>
      <c r="H75" s="342">
        <v>124194</v>
      </c>
      <c r="I75" s="340">
        <f t="shared" si="8"/>
        <v>10389573.264</v>
      </c>
      <c r="J75" s="339">
        <f t="shared" si="9"/>
        <v>0</v>
      </c>
      <c r="K75" s="340">
        <f t="shared" si="10"/>
        <v>0</v>
      </c>
      <c r="L75" s="341">
        <f t="shared" si="11"/>
        <v>0</v>
      </c>
      <c r="M75" s="342">
        <f t="shared" si="12"/>
        <v>0</v>
      </c>
      <c r="N75" s="343"/>
    </row>
    <row r="76" spans="1:14" ht="32.25" customHeight="1">
      <c r="A76" s="345">
        <v>3</v>
      </c>
      <c r="B76" s="346" t="s">
        <v>941</v>
      </c>
      <c r="C76" s="343" t="s">
        <v>903</v>
      </c>
      <c r="D76" s="341">
        <v>61.75</v>
      </c>
      <c r="E76" s="342">
        <v>1207823</v>
      </c>
      <c r="F76" s="340">
        <f t="shared" si="7"/>
        <v>74583070.25</v>
      </c>
      <c r="G76" s="341">
        <v>61.75</v>
      </c>
      <c r="H76" s="342">
        <v>1207823</v>
      </c>
      <c r="I76" s="340">
        <f t="shared" si="8"/>
        <v>74583070.25</v>
      </c>
      <c r="J76" s="339">
        <f t="shared" si="9"/>
        <v>0</v>
      </c>
      <c r="K76" s="340">
        <f t="shared" si="10"/>
        <v>0</v>
      </c>
      <c r="L76" s="341">
        <f t="shared" si="11"/>
        <v>0</v>
      </c>
      <c r="M76" s="342">
        <f t="shared" si="12"/>
        <v>0</v>
      </c>
      <c r="N76" s="343"/>
    </row>
    <row r="77" spans="1:14" s="355" customFormat="1" ht="32.25" customHeight="1">
      <c r="A77" s="347">
        <v>4</v>
      </c>
      <c r="B77" s="348" t="s">
        <v>974</v>
      </c>
      <c r="C77" s="354" t="s">
        <v>903</v>
      </c>
      <c r="D77" s="350">
        <v>5.6779999999999999</v>
      </c>
      <c r="E77" s="351">
        <v>1284797</v>
      </c>
      <c r="F77" s="352">
        <f t="shared" si="7"/>
        <v>7295077.3659999995</v>
      </c>
      <c r="G77" s="350">
        <v>9.0380000000000003</v>
      </c>
      <c r="H77" s="351">
        <v>1284797</v>
      </c>
      <c r="I77" s="352">
        <f t="shared" si="8"/>
        <v>11611995.286</v>
      </c>
      <c r="J77" s="353">
        <f t="shared" si="9"/>
        <v>0</v>
      </c>
      <c r="K77" s="352">
        <f t="shared" si="10"/>
        <v>0</v>
      </c>
      <c r="L77" s="350">
        <f t="shared" si="11"/>
        <v>3.3600000000000003</v>
      </c>
      <c r="M77" s="351">
        <f t="shared" si="12"/>
        <v>4316917.9200000009</v>
      </c>
      <c r="N77" s="354"/>
    </row>
    <row r="78" spans="1:14" ht="32.25" customHeight="1">
      <c r="A78" s="345">
        <v>5</v>
      </c>
      <c r="B78" s="346" t="s">
        <v>975</v>
      </c>
      <c r="C78" s="343" t="s">
        <v>903</v>
      </c>
      <c r="D78" s="341">
        <v>14.7072</v>
      </c>
      <c r="E78" s="342">
        <v>1686193</v>
      </c>
      <c r="F78" s="340">
        <f t="shared" si="7"/>
        <v>24799177.689600002</v>
      </c>
      <c r="G78" s="341">
        <v>14.7072</v>
      </c>
      <c r="H78" s="342">
        <v>1686193</v>
      </c>
      <c r="I78" s="340">
        <f t="shared" si="8"/>
        <v>24799177.689600002</v>
      </c>
      <c r="J78" s="339">
        <f t="shared" si="9"/>
        <v>0</v>
      </c>
      <c r="K78" s="340">
        <f t="shared" si="10"/>
        <v>0</v>
      </c>
      <c r="L78" s="341">
        <f t="shared" si="11"/>
        <v>0</v>
      </c>
      <c r="M78" s="342">
        <f t="shared" si="12"/>
        <v>0</v>
      </c>
      <c r="N78" s="343"/>
    </row>
    <row r="79" spans="1:14" ht="32.25" customHeight="1">
      <c r="A79" s="345">
        <v>6</v>
      </c>
      <c r="B79" s="346" t="s">
        <v>976</v>
      </c>
      <c r="C79" s="343" t="s">
        <v>903</v>
      </c>
      <c r="D79" s="341">
        <v>15.308999999999999</v>
      </c>
      <c r="E79" s="342">
        <v>2218781</v>
      </c>
      <c r="F79" s="340">
        <f t="shared" si="7"/>
        <v>33967318.328999996</v>
      </c>
      <c r="G79" s="341">
        <v>15.308999999999999</v>
      </c>
      <c r="H79" s="342">
        <v>2218781</v>
      </c>
      <c r="I79" s="340">
        <f t="shared" si="8"/>
        <v>33967318.328999996</v>
      </c>
      <c r="J79" s="339">
        <f t="shared" si="9"/>
        <v>0</v>
      </c>
      <c r="K79" s="340">
        <f t="shared" si="10"/>
        <v>0</v>
      </c>
      <c r="L79" s="341">
        <f t="shared" si="11"/>
        <v>0</v>
      </c>
      <c r="M79" s="342">
        <f t="shared" si="12"/>
        <v>0</v>
      </c>
      <c r="N79" s="343"/>
    </row>
    <row r="80" spans="1:14" ht="32.25" customHeight="1">
      <c r="A80" s="345">
        <v>7</v>
      </c>
      <c r="B80" s="346" t="s">
        <v>977</v>
      </c>
      <c r="C80" s="343" t="s">
        <v>903</v>
      </c>
      <c r="D80" s="341">
        <v>2.6027</v>
      </c>
      <c r="E80" s="342">
        <v>2545968</v>
      </c>
      <c r="F80" s="340">
        <f t="shared" si="7"/>
        <v>6626390.9135999996</v>
      </c>
      <c r="G80" s="341">
        <v>2.6027</v>
      </c>
      <c r="H80" s="342">
        <v>2545968</v>
      </c>
      <c r="I80" s="340">
        <f t="shared" si="8"/>
        <v>6626390.9135999996</v>
      </c>
      <c r="J80" s="339">
        <f t="shared" si="9"/>
        <v>0</v>
      </c>
      <c r="K80" s="340">
        <f t="shared" si="10"/>
        <v>0</v>
      </c>
      <c r="L80" s="341">
        <f t="shared" si="11"/>
        <v>0</v>
      </c>
      <c r="M80" s="342">
        <f t="shared" si="12"/>
        <v>0</v>
      </c>
      <c r="N80" s="343"/>
    </row>
    <row r="81" spans="1:14" ht="32.25" customHeight="1">
      <c r="A81" s="345">
        <v>8</v>
      </c>
      <c r="B81" s="346" t="s">
        <v>946</v>
      </c>
      <c r="C81" s="343" t="s">
        <v>903</v>
      </c>
      <c r="D81" s="341">
        <v>6.16</v>
      </c>
      <c r="E81" s="342">
        <v>2263632</v>
      </c>
      <c r="F81" s="340">
        <f t="shared" si="7"/>
        <v>13943973.120000001</v>
      </c>
      <c r="G81" s="341">
        <v>6.16</v>
      </c>
      <c r="H81" s="342">
        <v>2263632</v>
      </c>
      <c r="I81" s="340">
        <f t="shared" si="8"/>
        <v>13943973.120000001</v>
      </c>
      <c r="J81" s="339">
        <f t="shared" si="9"/>
        <v>0</v>
      </c>
      <c r="K81" s="340">
        <f t="shared" si="10"/>
        <v>0</v>
      </c>
      <c r="L81" s="341">
        <f t="shared" si="11"/>
        <v>0</v>
      </c>
      <c r="M81" s="342">
        <f t="shared" si="12"/>
        <v>0</v>
      </c>
      <c r="N81" s="343"/>
    </row>
    <row r="82" spans="1:14" ht="32.25" customHeight="1">
      <c r="A82" s="345">
        <v>9</v>
      </c>
      <c r="B82" s="346" t="s">
        <v>947</v>
      </c>
      <c r="C82" s="343" t="s">
        <v>917</v>
      </c>
      <c r="D82" s="341">
        <v>0.63859999999999995</v>
      </c>
      <c r="E82" s="342">
        <v>16080494</v>
      </c>
      <c r="F82" s="340">
        <f t="shared" si="7"/>
        <v>10269003.4684</v>
      </c>
      <c r="G82" s="341">
        <v>0.63859999999999995</v>
      </c>
      <c r="H82" s="342">
        <v>16080494</v>
      </c>
      <c r="I82" s="340">
        <f t="shared" si="8"/>
        <v>10269003.4684</v>
      </c>
      <c r="J82" s="339">
        <f t="shared" si="9"/>
        <v>0</v>
      </c>
      <c r="K82" s="340">
        <f t="shared" si="10"/>
        <v>0</v>
      </c>
      <c r="L82" s="341">
        <f t="shared" si="11"/>
        <v>0</v>
      </c>
      <c r="M82" s="342">
        <f t="shared" si="12"/>
        <v>0</v>
      </c>
      <c r="N82" s="343"/>
    </row>
    <row r="83" spans="1:14" ht="32.25" customHeight="1">
      <c r="A83" s="345">
        <v>10</v>
      </c>
      <c r="B83" s="346" t="s">
        <v>978</v>
      </c>
      <c r="C83" s="343" t="s">
        <v>917</v>
      </c>
      <c r="D83" s="341">
        <v>2.9556</v>
      </c>
      <c r="E83" s="342">
        <v>21634016</v>
      </c>
      <c r="F83" s="340">
        <f t="shared" si="7"/>
        <v>63941497.689599998</v>
      </c>
      <c r="G83" s="341">
        <v>2.9556</v>
      </c>
      <c r="H83" s="342">
        <v>21634016</v>
      </c>
      <c r="I83" s="340">
        <f t="shared" si="8"/>
        <v>63941497.689599998</v>
      </c>
      <c r="J83" s="339">
        <f t="shared" si="9"/>
        <v>0</v>
      </c>
      <c r="K83" s="340">
        <f t="shared" si="10"/>
        <v>0</v>
      </c>
      <c r="L83" s="341">
        <f t="shared" si="11"/>
        <v>0</v>
      </c>
      <c r="M83" s="342">
        <f t="shared" si="12"/>
        <v>0</v>
      </c>
      <c r="N83" s="343"/>
    </row>
    <row r="84" spans="1:14" ht="32.25" customHeight="1">
      <c r="A84" s="345">
        <v>11</v>
      </c>
      <c r="B84" s="346" t="s">
        <v>949</v>
      </c>
      <c r="C84" s="343" t="s">
        <v>917</v>
      </c>
      <c r="D84" s="341">
        <v>0.67759999999999998</v>
      </c>
      <c r="E84" s="342">
        <v>17838122</v>
      </c>
      <c r="F84" s="340">
        <f t="shared" si="7"/>
        <v>12087111.4672</v>
      </c>
      <c r="G84" s="341">
        <v>0.67759999999999998</v>
      </c>
      <c r="H84" s="342">
        <v>17838122</v>
      </c>
      <c r="I84" s="340">
        <f t="shared" si="8"/>
        <v>12087111.4672</v>
      </c>
      <c r="J84" s="339">
        <f t="shared" si="9"/>
        <v>0</v>
      </c>
      <c r="K84" s="340">
        <f t="shared" si="10"/>
        <v>0</v>
      </c>
      <c r="L84" s="341">
        <f t="shared" si="11"/>
        <v>0</v>
      </c>
      <c r="M84" s="342">
        <f t="shared" si="12"/>
        <v>0</v>
      </c>
      <c r="N84" s="343"/>
    </row>
    <row r="85" spans="1:14" ht="32.25" customHeight="1">
      <c r="A85" s="345">
        <v>12</v>
      </c>
      <c r="B85" s="346" t="s">
        <v>979</v>
      </c>
      <c r="C85" s="343" t="s">
        <v>917</v>
      </c>
      <c r="D85" s="341">
        <v>1.19</v>
      </c>
      <c r="E85" s="342">
        <v>17589393</v>
      </c>
      <c r="F85" s="340">
        <f t="shared" si="7"/>
        <v>20931377.669999998</v>
      </c>
      <c r="G85" s="341">
        <v>1.19</v>
      </c>
      <c r="H85" s="342">
        <v>17589393</v>
      </c>
      <c r="I85" s="340">
        <f t="shared" si="8"/>
        <v>20931377.669999998</v>
      </c>
      <c r="J85" s="339">
        <f t="shared" si="9"/>
        <v>0</v>
      </c>
      <c r="K85" s="340">
        <f t="shared" si="10"/>
        <v>0</v>
      </c>
      <c r="L85" s="341">
        <f t="shared" si="11"/>
        <v>0</v>
      </c>
      <c r="M85" s="342">
        <f t="shared" si="12"/>
        <v>0</v>
      </c>
      <c r="N85" s="343"/>
    </row>
    <row r="86" spans="1:14" ht="32.25" customHeight="1">
      <c r="A86" s="345">
        <v>13</v>
      </c>
      <c r="B86" s="346" t="s">
        <v>980</v>
      </c>
      <c r="C86" s="343" t="s">
        <v>981</v>
      </c>
      <c r="D86" s="341">
        <v>0.37490000000000001</v>
      </c>
      <c r="E86" s="342">
        <v>21961313</v>
      </c>
      <c r="F86" s="340">
        <f t="shared" si="7"/>
        <v>8233296.2437000005</v>
      </c>
      <c r="G86" s="341">
        <v>0.37490000000000001</v>
      </c>
      <c r="H86" s="342">
        <v>21961313</v>
      </c>
      <c r="I86" s="340">
        <f t="shared" si="8"/>
        <v>8233296.2437000005</v>
      </c>
      <c r="J86" s="339">
        <f t="shared" si="9"/>
        <v>0</v>
      </c>
      <c r="K86" s="340">
        <f t="shared" si="10"/>
        <v>0</v>
      </c>
      <c r="L86" s="341">
        <f t="shared" si="11"/>
        <v>0</v>
      </c>
      <c r="M86" s="342">
        <f t="shared" si="12"/>
        <v>0</v>
      </c>
      <c r="N86" s="343"/>
    </row>
    <row r="87" spans="1:14" ht="32.25" customHeight="1">
      <c r="A87" s="345">
        <v>14</v>
      </c>
      <c r="B87" s="346" t="s">
        <v>982</v>
      </c>
      <c r="C87" s="343" t="s">
        <v>981</v>
      </c>
      <c r="D87" s="341">
        <v>2.5287999999999999</v>
      </c>
      <c r="E87" s="342">
        <v>23134596</v>
      </c>
      <c r="F87" s="340">
        <f t="shared" si="7"/>
        <v>58502766.364799999</v>
      </c>
      <c r="G87" s="341">
        <v>2.5287999999999999</v>
      </c>
      <c r="H87" s="342">
        <v>23134596</v>
      </c>
      <c r="I87" s="340">
        <f t="shared" si="8"/>
        <v>58502766.364799999</v>
      </c>
      <c r="J87" s="339">
        <f t="shared" si="9"/>
        <v>0</v>
      </c>
      <c r="K87" s="340">
        <f t="shared" si="10"/>
        <v>0</v>
      </c>
      <c r="L87" s="341">
        <f t="shared" si="11"/>
        <v>0</v>
      </c>
      <c r="M87" s="342">
        <f t="shared" si="12"/>
        <v>0</v>
      </c>
      <c r="N87" s="343"/>
    </row>
    <row r="88" spans="1:14" ht="32.25" customHeight="1">
      <c r="A88" s="345">
        <v>15</v>
      </c>
      <c r="B88" s="346" t="s">
        <v>983</v>
      </c>
      <c r="C88" s="343" t="s">
        <v>981</v>
      </c>
      <c r="D88" s="341">
        <v>0.89800000000000002</v>
      </c>
      <c r="E88" s="342">
        <v>22817232</v>
      </c>
      <c r="F88" s="340">
        <f t="shared" si="7"/>
        <v>20489874.335999999</v>
      </c>
      <c r="G88" s="341">
        <v>0.89800000000000002</v>
      </c>
      <c r="H88" s="342">
        <v>22817232</v>
      </c>
      <c r="I88" s="340">
        <f t="shared" si="8"/>
        <v>20489874.335999999</v>
      </c>
      <c r="J88" s="339">
        <f t="shared" si="9"/>
        <v>0</v>
      </c>
      <c r="K88" s="340">
        <f t="shared" si="10"/>
        <v>0</v>
      </c>
      <c r="L88" s="341">
        <f t="shared" si="11"/>
        <v>0</v>
      </c>
      <c r="M88" s="342">
        <f t="shared" si="12"/>
        <v>0</v>
      </c>
      <c r="N88" s="343"/>
    </row>
    <row r="89" spans="1:14" ht="32.25" customHeight="1">
      <c r="A89" s="345">
        <v>16</v>
      </c>
      <c r="B89" s="346" t="s">
        <v>984</v>
      </c>
      <c r="C89" s="343" t="s">
        <v>981</v>
      </c>
      <c r="D89" s="341">
        <v>0.47820000000000001</v>
      </c>
      <c r="E89" s="342">
        <v>24461752</v>
      </c>
      <c r="F89" s="340">
        <f t="shared" si="7"/>
        <v>11697609.806400001</v>
      </c>
      <c r="G89" s="341">
        <v>0.47820000000000001</v>
      </c>
      <c r="H89" s="342">
        <v>24461752</v>
      </c>
      <c r="I89" s="340">
        <f t="shared" si="8"/>
        <v>11697609.806400001</v>
      </c>
      <c r="J89" s="339">
        <f t="shared" si="9"/>
        <v>0</v>
      </c>
      <c r="K89" s="340">
        <f t="shared" si="10"/>
        <v>0</v>
      </c>
      <c r="L89" s="341">
        <f t="shared" si="11"/>
        <v>0</v>
      </c>
      <c r="M89" s="342">
        <f t="shared" si="12"/>
        <v>0</v>
      </c>
      <c r="N89" s="343"/>
    </row>
    <row r="90" spans="1:14" ht="32.25" customHeight="1">
      <c r="A90" s="345">
        <v>17</v>
      </c>
      <c r="B90" s="346" t="s">
        <v>929</v>
      </c>
      <c r="C90" s="343" t="s">
        <v>903</v>
      </c>
      <c r="D90" s="341">
        <v>6.8520000000000003</v>
      </c>
      <c r="E90" s="342">
        <v>2602936</v>
      </c>
      <c r="F90" s="340">
        <f t="shared" si="7"/>
        <v>17835317.471999999</v>
      </c>
      <c r="G90" s="341">
        <v>6.8520000000000003</v>
      </c>
      <c r="H90" s="342">
        <v>2602936</v>
      </c>
      <c r="I90" s="340">
        <f t="shared" si="8"/>
        <v>17835317.471999999</v>
      </c>
      <c r="J90" s="339">
        <f t="shared" si="9"/>
        <v>0</v>
      </c>
      <c r="K90" s="340">
        <f t="shared" si="10"/>
        <v>0</v>
      </c>
      <c r="L90" s="341">
        <f t="shared" si="11"/>
        <v>0</v>
      </c>
      <c r="M90" s="342">
        <f t="shared" si="12"/>
        <v>0</v>
      </c>
      <c r="N90" s="343"/>
    </row>
    <row r="91" spans="1:14" s="355" customFormat="1" ht="32.25" customHeight="1">
      <c r="A91" s="347">
        <v>18</v>
      </c>
      <c r="B91" s="348" t="s">
        <v>961</v>
      </c>
      <c r="C91" s="354" t="s">
        <v>903</v>
      </c>
      <c r="D91" s="350">
        <v>39.2395</v>
      </c>
      <c r="E91" s="351">
        <v>1538476</v>
      </c>
      <c r="F91" s="352">
        <f t="shared" si="7"/>
        <v>60369029.001999997</v>
      </c>
      <c r="G91" s="350">
        <v>39.266500000000001</v>
      </c>
      <c r="H91" s="351">
        <v>1538476</v>
      </c>
      <c r="I91" s="352">
        <f t="shared" si="8"/>
        <v>60410567.854000002</v>
      </c>
      <c r="J91" s="353">
        <f t="shared" si="9"/>
        <v>0</v>
      </c>
      <c r="K91" s="352">
        <f t="shared" si="10"/>
        <v>0</v>
      </c>
      <c r="L91" s="350">
        <f t="shared" si="11"/>
        <v>2.7000000000001023E-2</v>
      </c>
      <c r="M91" s="351">
        <f t="shared" si="12"/>
        <v>41538.852000005543</v>
      </c>
      <c r="N91" s="354"/>
    </row>
    <row r="92" spans="1:14" s="355" customFormat="1" ht="32.25" customHeight="1">
      <c r="A92" s="347">
        <v>19</v>
      </c>
      <c r="B92" s="348" t="s">
        <v>985</v>
      </c>
      <c r="C92" s="354" t="s">
        <v>933</v>
      </c>
      <c r="D92" s="350">
        <v>337.60500000000002</v>
      </c>
      <c r="E92" s="351">
        <v>81190</v>
      </c>
      <c r="F92" s="352">
        <f t="shared" si="7"/>
        <v>27410149.950000003</v>
      </c>
      <c r="G92" s="350">
        <v>352.86500000000001</v>
      </c>
      <c r="H92" s="351">
        <v>81190</v>
      </c>
      <c r="I92" s="352">
        <f t="shared" si="8"/>
        <v>28649109.350000001</v>
      </c>
      <c r="J92" s="353">
        <f t="shared" si="9"/>
        <v>0</v>
      </c>
      <c r="K92" s="352">
        <f t="shared" si="10"/>
        <v>0</v>
      </c>
      <c r="L92" s="350">
        <f t="shared" si="11"/>
        <v>15.259999999999991</v>
      </c>
      <c r="M92" s="351">
        <f t="shared" si="12"/>
        <v>1238959.3999999985</v>
      </c>
      <c r="N92" s="354"/>
    </row>
    <row r="93" spans="1:14" ht="32.25" customHeight="1">
      <c r="A93" s="345">
        <v>20</v>
      </c>
      <c r="B93" s="346" t="s">
        <v>986</v>
      </c>
      <c r="C93" s="343" t="s">
        <v>933</v>
      </c>
      <c r="D93" s="341">
        <v>118.32</v>
      </c>
      <c r="E93" s="342">
        <v>76963</v>
      </c>
      <c r="F93" s="340">
        <f t="shared" si="7"/>
        <v>9106262.1600000001</v>
      </c>
      <c r="G93" s="341">
        <v>118.32</v>
      </c>
      <c r="H93" s="342">
        <v>76963</v>
      </c>
      <c r="I93" s="340">
        <f t="shared" si="8"/>
        <v>9106262.1600000001</v>
      </c>
      <c r="J93" s="339">
        <f t="shared" si="9"/>
        <v>0</v>
      </c>
      <c r="K93" s="340">
        <f t="shared" si="10"/>
        <v>0</v>
      </c>
      <c r="L93" s="341">
        <f t="shared" si="11"/>
        <v>0</v>
      </c>
      <c r="M93" s="342">
        <f t="shared" si="12"/>
        <v>0</v>
      </c>
      <c r="N93" s="343"/>
    </row>
    <row r="94" spans="1:14" ht="32.25" customHeight="1">
      <c r="A94" s="345">
        <v>21</v>
      </c>
      <c r="B94" s="346" t="s">
        <v>987</v>
      </c>
      <c r="C94" s="343" t="s">
        <v>933</v>
      </c>
      <c r="D94" s="341">
        <v>32.015999999999998</v>
      </c>
      <c r="E94" s="342">
        <v>60916</v>
      </c>
      <c r="F94" s="340">
        <f t="shared" si="7"/>
        <v>1950286.656</v>
      </c>
      <c r="G94" s="341">
        <v>32.015999999999998</v>
      </c>
      <c r="H94" s="342">
        <v>60916</v>
      </c>
      <c r="I94" s="340">
        <f t="shared" si="8"/>
        <v>1950286.656</v>
      </c>
      <c r="J94" s="339">
        <f t="shared" si="9"/>
        <v>0</v>
      </c>
      <c r="K94" s="340">
        <f t="shared" si="10"/>
        <v>0</v>
      </c>
      <c r="L94" s="341">
        <f t="shared" si="11"/>
        <v>0</v>
      </c>
      <c r="M94" s="342">
        <f t="shared" si="12"/>
        <v>0</v>
      </c>
      <c r="N94" s="343"/>
    </row>
    <row r="95" spans="1:14" ht="32.25" customHeight="1">
      <c r="A95" s="345">
        <v>22</v>
      </c>
      <c r="B95" s="346" t="s">
        <v>964</v>
      </c>
      <c r="C95" s="343" t="s">
        <v>988</v>
      </c>
      <c r="D95" s="341">
        <v>34.799999999999997</v>
      </c>
      <c r="E95" s="342">
        <v>81382</v>
      </c>
      <c r="F95" s="340">
        <f t="shared" si="7"/>
        <v>2832093.5999999996</v>
      </c>
      <c r="G95" s="341">
        <v>34.799999999999997</v>
      </c>
      <c r="H95" s="342">
        <v>81382</v>
      </c>
      <c r="I95" s="340">
        <f t="shared" si="8"/>
        <v>2832093.5999999996</v>
      </c>
      <c r="J95" s="339">
        <f t="shared" si="9"/>
        <v>0</v>
      </c>
      <c r="K95" s="340">
        <f t="shared" si="10"/>
        <v>0</v>
      </c>
      <c r="L95" s="341">
        <f t="shared" si="11"/>
        <v>0</v>
      </c>
      <c r="M95" s="342">
        <f t="shared" si="12"/>
        <v>0</v>
      </c>
      <c r="N95" s="343"/>
    </row>
    <row r="96" spans="1:14" ht="32.25" customHeight="1">
      <c r="A96" s="345">
        <v>23</v>
      </c>
      <c r="B96" s="346" t="s">
        <v>966</v>
      </c>
      <c r="C96" s="343" t="s">
        <v>988</v>
      </c>
      <c r="D96" s="341">
        <v>34.799999999999997</v>
      </c>
      <c r="E96" s="342">
        <v>64929</v>
      </c>
      <c r="F96" s="340">
        <f t="shared" si="7"/>
        <v>2259529.1999999997</v>
      </c>
      <c r="G96" s="341">
        <v>34.799999999999997</v>
      </c>
      <c r="H96" s="342">
        <v>64929</v>
      </c>
      <c r="I96" s="340">
        <f t="shared" si="8"/>
        <v>2259529.1999999997</v>
      </c>
      <c r="J96" s="339">
        <f t="shared" si="9"/>
        <v>0</v>
      </c>
      <c r="K96" s="340">
        <f t="shared" si="10"/>
        <v>0</v>
      </c>
      <c r="L96" s="341">
        <f t="shared" si="11"/>
        <v>0</v>
      </c>
      <c r="M96" s="342">
        <f t="shared" si="12"/>
        <v>0</v>
      </c>
      <c r="N96" s="343"/>
    </row>
    <row r="97" spans="1:14" ht="32.25" customHeight="1">
      <c r="A97" s="345">
        <v>24</v>
      </c>
      <c r="B97" s="346" t="s">
        <v>967</v>
      </c>
      <c r="C97" s="343" t="s">
        <v>933</v>
      </c>
      <c r="D97" s="341">
        <v>76.56</v>
      </c>
      <c r="E97" s="342">
        <v>47332</v>
      </c>
      <c r="F97" s="340">
        <f t="shared" si="7"/>
        <v>3623737.92</v>
      </c>
      <c r="G97" s="341">
        <v>76.56</v>
      </c>
      <c r="H97" s="342">
        <v>47332</v>
      </c>
      <c r="I97" s="340">
        <f t="shared" si="8"/>
        <v>3623737.92</v>
      </c>
      <c r="J97" s="339">
        <f t="shared" si="9"/>
        <v>0</v>
      </c>
      <c r="K97" s="340">
        <f t="shared" si="10"/>
        <v>0</v>
      </c>
      <c r="L97" s="341">
        <f t="shared" si="11"/>
        <v>0</v>
      </c>
      <c r="M97" s="342">
        <f t="shared" si="12"/>
        <v>0</v>
      </c>
      <c r="N97" s="343"/>
    </row>
    <row r="98" spans="1:14" ht="32.25" customHeight="1">
      <c r="A98" s="345">
        <v>25</v>
      </c>
      <c r="B98" s="346" t="s">
        <v>989</v>
      </c>
      <c r="C98" s="343" t="s">
        <v>981</v>
      </c>
      <c r="D98" s="341">
        <v>0.98340000000000005</v>
      </c>
      <c r="E98" s="342">
        <v>29530547</v>
      </c>
      <c r="F98" s="340">
        <f t="shared" si="7"/>
        <v>29040339.919800002</v>
      </c>
      <c r="G98" s="341">
        <v>0.98340000000000005</v>
      </c>
      <c r="H98" s="342">
        <v>29530547</v>
      </c>
      <c r="I98" s="340">
        <f t="shared" si="8"/>
        <v>29040339.919800002</v>
      </c>
      <c r="J98" s="339">
        <f t="shared" si="9"/>
        <v>0</v>
      </c>
      <c r="K98" s="340">
        <f t="shared" si="10"/>
        <v>0</v>
      </c>
      <c r="L98" s="341">
        <f t="shared" si="11"/>
        <v>0</v>
      </c>
      <c r="M98" s="342">
        <f t="shared" si="12"/>
        <v>0</v>
      </c>
      <c r="N98" s="343"/>
    </row>
    <row r="99" spans="1:14" ht="32.25" customHeight="1">
      <c r="A99" s="345">
        <v>26</v>
      </c>
      <c r="B99" s="346" t="s">
        <v>959</v>
      </c>
      <c r="C99" s="343" t="s">
        <v>981</v>
      </c>
      <c r="D99" s="341">
        <v>0.98340000000000005</v>
      </c>
      <c r="E99" s="342">
        <v>1750217</v>
      </c>
      <c r="F99" s="340">
        <f t="shared" si="7"/>
        <v>1721163.3978000002</v>
      </c>
      <c r="G99" s="341">
        <v>0.98340000000000005</v>
      </c>
      <c r="H99" s="342">
        <v>1750217</v>
      </c>
      <c r="I99" s="340">
        <f t="shared" si="8"/>
        <v>1721163.3978000002</v>
      </c>
      <c r="J99" s="339">
        <f t="shared" si="9"/>
        <v>0</v>
      </c>
      <c r="K99" s="340">
        <f t="shared" si="10"/>
        <v>0</v>
      </c>
      <c r="L99" s="341">
        <f t="shared" si="11"/>
        <v>0</v>
      </c>
      <c r="M99" s="342">
        <f t="shared" si="12"/>
        <v>0</v>
      </c>
      <c r="N99" s="343"/>
    </row>
    <row r="100" spans="1:14" ht="32.25" customHeight="1">
      <c r="A100" s="345">
        <v>27</v>
      </c>
      <c r="B100" s="346" t="s">
        <v>990</v>
      </c>
      <c r="C100" s="343" t="s">
        <v>917</v>
      </c>
      <c r="D100" s="341">
        <v>2.262</v>
      </c>
      <c r="E100" s="342">
        <v>16531011</v>
      </c>
      <c r="F100" s="340">
        <f t="shared" si="7"/>
        <v>37393146.881999999</v>
      </c>
      <c r="G100" s="341">
        <v>2.262</v>
      </c>
      <c r="H100" s="342">
        <v>16531011</v>
      </c>
      <c r="I100" s="340">
        <f t="shared" si="8"/>
        <v>37393146.881999999</v>
      </c>
      <c r="J100" s="339">
        <f t="shared" si="9"/>
        <v>0</v>
      </c>
      <c r="K100" s="340">
        <f t="shared" si="10"/>
        <v>0</v>
      </c>
      <c r="L100" s="341">
        <f t="shared" si="11"/>
        <v>0</v>
      </c>
      <c r="M100" s="342">
        <f t="shared" si="12"/>
        <v>0</v>
      </c>
      <c r="N100" s="343"/>
    </row>
    <row r="101" spans="1:14" s="355" customFormat="1" ht="32.25" customHeight="1">
      <c r="A101" s="347">
        <v>28</v>
      </c>
      <c r="B101" s="348" t="s">
        <v>962</v>
      </c>
      <c r="C101" s="354" t="s">
        <v>933</v>
      </c>
      <c r="D101" s="350">
        <v>208.8</v>
      </c>
      <c r="E101" s="351">
        <v>192116</v>
      </c>
      <c r="F101" s="352">
        <f t="shared" si="7"/>
        <v>40113820.800000004</v>
      </c>
      <c r="G101" s="350">
        <v>0</v>
      </c>
      <c r="H101" s="351">
        <v>192116</v>
      </c>
      <c r="I101" s="352">
        <f t="shared" si="8"/>
        <v>0</v>
      </c>
      <c r="J101" s="353">
        <f t="shared" si="9"/>
        <v>208.8</v>
      </c>
      <c r="K101" s="352">
        <f t="shared" si="10"/>
        <v>40113820.800000004</v>
      </c>
      <c r="L101" s="350">
        <f t="shared" si="11"/>
        <v>0</v>
      </c>
      <c r="M101" s="351">
        <f t="shared" si="12"/>
        <v>0</v>
      </c>
      <c r="N101" s="354"/>
    </row>
    <row r="102" spans="1:14" ht="32.25" customHeight="1">
      <c r="A102" s="345">
        <v>29</v>
      </c>
      <c r="B102" s="346" t="s">
        <v>991</v>
      </c>
      <c r="C102" s="343" t="s">
        <v>903</v>
      </c>
      <c r="D102" s="341">
        <v>25.404</v>
      </c>
      <c r="E102" s="342">
        <v>1677821</v>
      </c>
      <c r="F102" s="340">
        <f t="shared" si="7"/>
        <v>42623364.684</v>
      </c>
      <c r="G102" s="341">
        <v>25.404</v>
      </c>
      <c r="H102" s="342">
        <v>1677821</v>
      </c>
      <c r="I102" s="340">
        <f t="shared" si="8"/>
        <v>42623364.684</v>
      </c>
      <c r="J102" s="339">
        <f t="shared" si="9"/>
        <v>0</v>
      </c>
      <c r="K102" s="340">
        <f t="shared" si="10"/>
        <v>0</v>
      </c>
      <c r="L102" s="341">
        <f t="shared" si="11"/>
        <v>0</v>
      </c>
      <c r="M102" s="342">
        <f t="shared" si="12"/>
        <v>0</v>
      </c>
      <c r="N102" s="343"/>
    </row>
    <row r="103" spans="1:14" ht="32.25" customHeight="1">
      <c r="A103" s="345">
        <v>30</v>
      </c>
      <c r="B103" s="346" t="s">
        <v>992</v>
      </c>
      <c r="C103" s="343" t="s">
        <v>903</v>
      </c>
      <c r="D103" s="341">
        <v>66.12</v>
      </c>
      <c r="E103" s="342">
        <v>195422</v>
      </c>
      <c r="F103" s="340">
        <f t="shared" si="7"/>
        <v>12921302.640000001</v>
      </c>
      <c r="G103" s="341">
        <v>66.12</v>
      </c>
      <c r="H103" s="342">
        <v>195422</v>
      </c>
      <c r="I103" s="340">
        <f t="shared" si="8"/>
        <v>12921302.640000001</v>
      </c>
      <c r="J103" s="339">
        <f t="shared" si="9"/>
        <v>0</v>
      </c>
      <c r="K103" s="340">
        <f t="shared" si="10"/>
        <v>0</v>
      </c>
      <c r="L103" s="341">
        <f t="shared" si="11"/>
        <v>0</v>
      </c>
      <c r="M103" s="342">
        <f t="shared" si="12"/>
        <v>0</v>
      </c>
      <c r="N103" s="343"/>
    </row>
    <row r="104" spans="1:14" ht="32.25" customHeight="1">
      <c r="A104" s="345">
        <v>31</v>
      </c>
      <c r="B104" s="346" t="s">
        <v>927</v>
      </c>
      <c r="C104" s="343" t="s">
        <v>917</v>
      </c>
      <c r="D104" s="341">
        <v>2.4359999999999999</v>
      </c>
      <c r="E104" s="342">
        <v>683138</v>
      </c>
      <c r="F104" s="340">
        <f t="shared" si="7"/>
        <v>1664124.1680000001</v>
      </c>
      <c r="G104" s="341">
        <v>2.4359999999999999</v>
      </c>
      <c r="H104" s="342">
        <v>683138</v>
      </c>
      <c r="I104" s="340">
        <f t="shared" si="8"/>
        <v>1664124.1680000001</v>
      </c>
      <c r="J104" s="339">
        <f t="shared" si="9"/>
        <v>0</v>
      </c>
      <c r="K104" s="340">
        <f t="shared" si="10"/>
        <v>0</v>
      </c>
      <c r="L104" s="341">
        <f t="shared" si="11"/>
        <v>0</v>
      </c>
      <c r="M104" s="342">
        <f t="shared" si="12"/>
        <v>0</v>
      </c>
      <c r="N104" s="343"/>
    </row>
    <row r="105" spans="1:14" s="355" customFormat="1" ht="32.25" customHeight="1">
      <c r="A105" s="347">
        <v>32</v>
      </c>
      <c r="B105" s="348" t="s">
        <v>993</v>
      </c>
      <c r="C105" s="354" t="s">
        <v>933</v>
      </c>
      <c r="D105" s="350">
        <v>30</v>
      </c>
      <c r="E105" s="351">
        <v>424678</v>
      </c>
      <c r="F105" s="352">
        <f t="shared" si="7"/>
        <v>12740340</v>
      </c>
      <c r="G105" s="350">
        <v>30</v>
      </c>
      <c r="H105" s="351">
        <v>100000</v>
      </c>
      <c r="I105" s="352">
        <f t="shared" si="8"/>
        <v>3000000</v>
      </c>
      <c r="J105" s="353">
        <f t="shared" si="9"/>
        <v>0</v>
      </c>
      <c r="K105" s="352">
        <f t="shared" si="10"/>
        <v>9740340</v>
      </c>
      <c r="L105" s="350">
        <f t="shared" si="11"/>
        <v>0</v>
      </c>
      <c r="M105" s="351">
        <f t="shared" si="12"/>
        <v>0</v>
      </c>
      <c r="N105" s="354"/>
    </row>
    <row r="106" spans="1:14" s="355" customFormat="1" ht="32.25" customHeight="1">
      <c r="A106" s="347">
        <v>33</v>
      </c>
      <c r="B106" s="348" t="s">
        <v>994</v>
      </c>
      <c r="C106" s="354" t="s">
        <v>933</v>
      </c>
      <c r="D106" s="350">
        <v>217.08</v>
      </c>
      <c r="E106" s="351">
        <v>187728</v>
      </c>
      <c r="F106" s="352">
        <f t="shared" si="7"/>
        <v>40751994.240000002</v>
      </c>
      <c r="G106" s="350">
        <v>217.08</v>
      </c>
      <c r="H106" s="351">
        <v>100000</v>
      </c>
      <c r="I106" s="352">
        <f t="shared" si="8"/>
        <v>21708000</v>
      </c>
      <c r="J106" s="353">
        <f t="shared" si="9"/>
        <v>0</v>
      </c>
      <c r="K106" s="352">
        <f t="shared" si="10"/>
        <v>19043994.240000002</v>
      </c>
      <c r="L106" s="350">
        <f t="shared" si="11"/>
        <v>0</v>
      </c>
      <c r="M106" s="351">
        <f t="shared" si="12"/>
        <v>0</v>
      </c>
      <c r="N106" s="354"/>
    </row>
    <row r="107" spans="1:14" s="355" customFormat="1" ht="32.25" customHeight="1">
      <c r="A107" s="347">
        <v>34</v>
      </c>
      <c r="B107" s="348" t="s">
        <v>995</v>
      </c>
      <c r="C107" s="354" t="s">
        <v>933</v>
      </c>
      <c r="D107" s="350">
        <v>464.22</v>
      </c>
      <c r="E107" s="351">
        <v>302887</v>
      </c>
      <c r="F107" s="352">
        <f t="shared" si="7"/>
        <v>140606203.14000002</v>
      </c>
      <c r="G107" s="350">
        <v>464.22</v>
      </c>
      <c r="H107" s="351">
        <v>120000</v>
      </c>
      <c r="I107" s="352">
        <f t="shared" si="8"/>
        <v>55706400</v>
      </c>
      <c r="J107" s="353">
        <f t="shared" si="9"/>
        <v>0</v>
      </c>
      <c r="K107" s="352">
        <f t="shared" si="10"/>
        <v>84899803.140000015</v>
      </c>
      <c r="L107" s="350">
        <f t="shared" si="11"/>
        <v>0</v>
      </c>
      <c r="M107" s="351">
        <f t="shared" si="12"/>
        <v>0</v>
      </c>
      <c r="N107" s="354"/>
    </row>
    <row r="108" spans="1:14" s="355" customFormat="1" ht="32.25" customHeight="1">
      <c r="A108" s="347">
        <v>35</v>
      </c>
      <c r="B108" s="367" t="s">
        <v>936</v>
      </c>
      <c r="C108" s="354" t="s">
        <v>933</v>
      </c>
      <c r="D108" s="350">
        <v>455.92500000000001</v>
      </c>
      <c r="E108" s="351">
        <v>83740</v>
      </c>
      <c r="F108" s="352">
        <f t="shared" si="7"/>
        <v>38179159.5</v>
      </c>
      <c r="G108" s="350">
        <v>456.46499999999997</v>
      </c>
      <c r="H108" s="351">
        <v>83740</v>
      </c>
      <c r="I108" s="352">
        <f t="shared" si="8"/>
        <v>38224379.100000001</v>
      </c>
      <c r="J108" s="353">
        <f t="shared" si="9"/>
        <v>0</v>
      </c>
      <c r="K108" s="352">
        <f t="shared" si="10"/>
        <v>0</v>
      </c>
      <c r="L108" s="350">
        <f t="shared" si="11"/>
        <v>0.53999999999996362</v>
      </c>
      <c r="M108" s="351">
        <f t="shared" si="12"/>
        <v>45219.60000000149</v>
      </c>
      <c r="N108" s="354"/>
    </row>
    <row r="109" spans="1:14" s="355" customFormat="1" ht="32.25" customHeight="1">
      <c r="A109" s="347">
        <v>36</v>
      </c>
      <c r="B109" s="348" t="s">
        <v>996</v>
      </c>
      <c r="C109" s="354" t="s">
        <v>933</v>
      </c>
      <c r="D109" s="350">
        <v>455.92500000000001</v>
      </c>
      <c r="E109" s="368">
        <v>59420</v>
      </c>
      <c r="F109" s="352">
        <f t="shared" si="7"/>
        <v>27091063.5</v>
      </c>
      <c r="G109" s="350">
        <v>456.46499999999997</v>
      </c>
      <c r="H109" s="351">
        <v>29710</v>
      </c>
      <c r="I109" s="352">
        <f t="shared" si="8"/>
        <v>13561575.149999999</v>
      </c>
      <c r="J109" s="353">
        <f t="shared" si="9"/>
        <v>0</v>
      </c>
      <c r="K109" s="352">
        <f t="shared" si="10"/>
        <v>13529488.350000001</v>
      </c>
      <c r="L109" s="350">
        <f t="shared" si="11"/>
        <v>0.53999999999996362</v>
      </c>
      <c r="M109" s="351">
        <f t="shared" si="12"/>
        <v>0</v>
      </c>
      <c r="N109" s="354"/>
    </row>
    <row r="110" spans="1:14" ht="32.25" customHeight="1">
      <c r="A110" s="345">
        <v>37</v>
      </c>
      <c r="B110" s="346" t="s">
        <v>971</v>
      </c>
      <c r="C110" s="343" t="s">
        <v>942</v>
      </c>
      <c r="D110" s="341">
        <v>0.3</v>
      </c>
      <c r="E110" s="342">
        <v>14085381</v>
      </c>
      <c r="F110" s="340">
        <f t="shared" si="7"/>
        <v>4225614.3</v>
      </c>
      <c r="G110" s="341">
        <v>0.3</v>
      </c>
      <c r="H110" s="342">
        <v>14085381</v>
      </c>
      <c r="I110" s="340">
        <f t="shared" si="8"/>
        <v>4225614.3</v>
      </c>
      <c r="J110" s="339">
        <f t="shared" si="9"/>
        <v>0</v>
      </c>
      <c r="K110" s="340">
        <f t="shared" si="10"/>
        <v>0</v>
      </c>
      <c r="L110" s="341">
        <f t="shared" si="11"/>
        <v>0</v>
      </c>
      <c r="M110" s="342">
        <f t="shared" si="12"/>
        <v>0</v>
      </c>
      <c r="N110" s="343"/>
    </row>
    <row r="111" spans="1:14" ht="32.25" customHeight="1">
      <c r="A111" s="345">
        <v>38</v>
      </c>
      <c r="B111" s="346" t="s">
        <v>972</v>
      </c>
      <c r="C111" s="343" t="s">
        <v>997</v>
      </c>
      <c r="D111" s="341">
        <v>5</v>
      </c>
      <c r="E111" s="342">
        <v>44813</v>
      </c>
      <c r="F111" s="340">
        <f t="shared" si="7"/>
        <v>224065</v>
      </c>
      <c r="G111" s="341">
        <v>5</v>
      </c>
      <c r="H111" s="342">
        <v>44813</v>
      </c>
      <c r="I111" s="340">
        <f t="shared" si="8"/>
        <v>224065</v>
      </c>
      <c r="J111" s="339">
        <f t="shared" si="9"/>
        <v>0</v>
      </c>
      <c r="K111" s="340">
        <f t="shared" si="10"/>
        <v>0</v>
      </c>
      <c r="L111" s="341">
        <f t="shared" si="11"/>
        <v>0</v>
      </c>
      <c r="M111" s="342">
        <f t="shared" si="12"/>
        <v>0</v>
      </c>
      <c r="N111" s="343"/>
    </row>
    <row r="112" spans="1:14" s="330" customFormat="1" ht="32.25" customHeight="1">
      <c r="A112" s="506" t="s">
        <v>94</v>
      </c>
      <c r="B112" s="506"/>
      <c r="C112" s="506"/>
      <c r="D112" s="331"/>
      <c r="E112" s="332"/>
      <c r="F112" s="332">
        <f>SUM(F73:F111)</f>
        <v>952197905.25789988</v>
      </c>
      <c r="G112" s="331"/>
      <c r="H112" s="332"/>
      <c r="I112" s="332">
        <f t="shared" ref="I112" si="14">SUM(I73:I111)</f>
        <v>790513094.49989998</v>
      </c>
      <c r="J112" s="331"/>
      <c r="K112" s="332">
        <f t="shared" ref="K112" si="15">SUM(K73:K111)</f>
        <v>167327446.53</v>
      </c>
      <c r="L112" s="331"/>
      <c r="M112" s="332">
        <f t="shared" ref="M112" si="16">SUM(M73:M111)</f>
        <v>5642635.7720000064</v>
      </c>
      <c r="N112" s="363"/>
    </row>
    <row r="113" spans="1:14" ht="32.25" customHeight="1">
      <c r="A113" s="506" t="s">
        <v>998</v>
      </c>
      <c r="B113" s="506"/>
      <c r="C113" s="506"/>
      <c r="D113" s="341"/>
      <c r="E113" s="342"/>
      <c r="F113" s="340"/>
      <c r="G113" s="341"/>
      <c r="H113" s="342"/>
      <c r="I113" s="340"/>
      <c r="J113" s="339"/>
      <c r="K113" s="340"/>
      <c r="L113" s="341"/>
      <c r="M113" s="342"/>
      <c r="N113" s="343"/>
    </row>
    <row r="114" spans="1:14" s="355" customFormat="1" ht="32.25" customHeight="1">
      <c r="A114" s="347">
        <v>1</v>
      </c>
      <c r="B114" s="354" t="s">
        <v>902</v>
      </c>
      <c r="C114" s="354" t="s">
        <v>903</v>
      </c>
      <c r="D114" s="350">
        <v>219.32040000000001</v>
      </c>
      <c r="E114" s="351">
        <v>157313</v>
      </c>
      <c r="F114" s="352">
        <f t="shared" si="7"/>
        <v>34501950.085200004</v>
      </c>
      <c r="G114" s="350">
        <v>211.85059999999999</v>
      </c>
      <c r="H114" s="351">
        <v>157313</v>
      </c>
      <c r="I114" s="352">
        <f t="shared" si="8"/>
        <v>33326853.437799998</v>
      </c>
      <c r="J114" s="353">
        <f t="shared" si="9"/>
        <v>7.4698000000000206</v>
      </c>
      <c r="K114" s="352">
        <f t="shared" si="10"/>
        <v>1175096.6474000067</v>
      </c>
      <c r="L114" s="350">
        <f t="shared" si="11"/>
        <v>0</v>
      </c>
      <c r="M114" s="351">
        <f t="shared" si="12"/>
        <v>0</v>
      </c>
      <c r="N114" s="354"/>
    </row>
    <row r="115" spans="1:14" s="355" customFormat="1" ht="32.25" customHeight="1">
      <c r="A115" s="347">
        <v>2</v>
      </c>
      <c r="B115" s="354" t="s">
        <v>999</v>
      </c>
      <c r="C115" s="354" t="s">
        <v>903</v>
      </c>
      <c r="D115" s="350">
        <v>146.21360000000001</v>
      </c>
      <c r="E115" s="351">
        <v>124076</v>
      </c>
      <c r="F115" s="352">
        <f t="shared" si="7"/>
        <v>18141598.6336</v>
      </c>
      <c r="G115" s="350">
        <v>141.2337</v>
      </c>
      <c r="H115" s="351">
        <v>124076</v>
      </c>
      <c r="I115" s="352">
        <f t="shared" si="8"/>
        <v>17523712.5612</v>
      </c>
      <c r="J115" s="353">
        <f t="shared" si="9"/>
        <v>4.9799000000000149</v>
      </c>
      <c r="K115" s="352">
        <f t="shared" si="10"/>
        <v>617886.07239999995</v>
      </c>
      <c r="L115" s="350">
        <f t="shared" si="11"/>
        <v>0</v>
      </c>
      <c r="M115" s="351">
        <f t="shared" si="12"/>
        <v>0</v>
      </c>
      <c r="N115" s="354"/>
    </row>
    <row r="116" spans="1:14" s="355" customFormat="1" ht="32.25" customHeight="1">
      <c r="A116" s="347">
        <v>3</v>
      </c>
      <c r="B116" s="354" t="s">
        <v>941</v>
      </c>
      <c r="C116" s="354" t="s">
        <v>942</v>
      </c>
      <c r="D116" s="350">
        <v>109.6</v>
      </c>
      <c r="E116" s="351">
        <v>1206690</v>
      </c>
      <c r="F116" s="352">
        <f t="shared" si="7"/>
        <v>132253224</v>
      </c>
      <c r="G116" s="350">
        <v>106</v>
      </c>
      <c r="H116" s="351">
        <v>1206690</v>
      </c>
      <c r="I116" s="352">
        <f t="shared" si="8"/>
        <v>127909140</v>
      </c>
      <c r="J116" s="353">
        <f t="shared" si="9"/>
        <v>3.5999999999999943</v>
      </c>
      <c r="K116" s="352">
        <f t="shared" si="10"/>
        <v>4344084</v>
      </c>
      <c r="L116" s="350">
        <f t="shared" si="11"/>
        <v>0</v>
      </c>
      <c r="M116" s="351">
        <f t="shared" si="12"/>
        <v>0</v>
      </c>
      <c r="N116" s="354"/>
    </row>
    <row r="117" spans="1:14" s="355" customFormat="1" ht="32.25" customHeight="1">
      <c r="A117" s="347">
        <v>4</v>
      </c>
      <c r="B117" s="354" t="s">
        <v>1000</v>
      </c>
      <c r="C117" s="354" t="s">
        <v>903</v>
      </c>
      <c r="D117" s="350">
        <v>9.9239999999999995</v>
      </c>
      <c r="E117" s="351">
        <v>1283592</v>
      </c>
      <c r="F117" s="352">
        <f t="shared" si="7"/>
        <v>12738367.007999999</v>
      </c>
      <c r="G117" s="350">
        <v>16.466000000000001</v>
      </c>
      <c r="H117" s="351">
        <v>1283592</v>
      </c>
      <c r="I117" s="352">
        <f t="shared" si="8"/>
        <v>21135625.872000001</v>
      </c>
      <c r="J117" s="353">
        <f t="shared" si="9"/>
        <v>0</v>
      </c>
      <c r="K117" s="352">
        <f t="shared" si="10"/>
        <v>0</v>
      </c>
      <c r="L117" s="350">
        <f t="shared" si="11"/>
        <v>6.5420000000000016</v>
      </c>
      <c r="M117" s="351">
        <f t="shared" si="12"/>
        <v>8397258.8640000019</v>
      </c>
      <c r="N117" s="354"/>
    </row>
    <row r="118" spans="1:14" s="355" customFormat="1" ht="32.25" customHeight="1">
      <c r="A118" s="347">
        <v>5</v>
      </c>
      <c r="B118" s="354" t="s">
        <v>1001</v>
      </c>
      <c r="C118" s="354" t="s">
        <v>903</v>
      </c>
      <c r="D118" s="350">
        <v>28.216000000000001</v>
      </c>
      <c r="E118" s="351">
        <v>1684611</v>
      </c>
      <c r="F118" s="352">
        <f t="shared" si="7"/>
        <v>47532983.976000004</v>
      </c>
      <c r="G118" s="350">
        <v>27.396000000000001</v>
      </c>
      <c r="H118" s="351">
        <v>1684611</v>
      </c>
      <c r="I118" s="352">
        <f t="shared" si="8"/>
        <v>46151602.956</v>
      </c>
      <c r="J118" s="353">
        <f t="shared" si="9"/>
        <v>0.82000000000000028</v>
      </c>
      <c r="K118" s="352">
        <f t="shared" si="10"/>
        <v>1381381.0200000033</v>
      </c>
      <c r="L118" s="350">
        <f t="shared" si="11"/>
        <v>0</v>
      </c>
      <c r="M118" s="351">
        <f t="shared" si="12"/>
        <v>0</v>
      </c>
      <c r="N118" s="354"/>
    </row>
    <row r="119" spans="1:14" s="355" customFormat="1" ht="32.25" customHeight="1">
      <c r="A119" s="347">
        <v>6</v>
      </c>
      <c r="B119" s="354" t="s">
        <v>1002</v>
      </c>
      <c r="C119" s="354" t="s">
        <v>903</v>
      </c>
      <c r="D119" s="350">
        <v>24.6174</v>
      </c>
      <c r="E119" s="351">
        <v>2216701</v>
      </c>
      <c r="F119" s="352">
        <f t="shared" si="7"/>
        <v>54569415.197399996</v>
      </c>
      <c r="G119" s="350">
        <v>23.7484</v>
      </c>
      <c r="H119" s="351">
        <v>2216701</v>
      </c>
      <c r="I119" s="352">
        <f t="shared" si="8"/>
        <v>52643102.028400004</v>
      </c>
      <c r="J119" s="353">
        <f t="shared" si="9"/>
        <v>0.86899999999999977</v>
      </c>
      <c r="K119" s="352">
        <f t="shared" si="10"/>
        <v>1926313.1689999923</v>
      </c>
      <c r="L119" s="350">
        <f t="shared" si="11"/>
        <v>0</v>
      </c>
      <c r="M119" s="351">
        <f t="shared" si="12"/>
        <v>0</v>
      </c>
      <c r="N119" s="354"/>
    </row>
    <row r="120" spans="1:14" s="355" customFormat="1" ht="32.25" customHeight="1">
      <c r="A120" s="347">
        <v>7</v>
      </c>
      <c r="B120" s="354" t="s">
        <v>977</v>
      </c>
      <c r="C120" s="354" t="s">
        <v>903</v>
      </c>
      <c r="D120" s="350">
        <v>3.2490999999999999</v>
      </c>
      <c r="E120" s="351">
        <v>2543579</v>
      </c>
      <c r="F120" s="352">
        <f t="shared" si="7"/>
        <v>8264342.5288999993</v>
      </c>
      <c r="G120" s="350">
        <v>3.0779999999999998</v>
      </c>
      <c r="H120" s="351">
        <v>2543579</v>
      </c>
      <c r="I120" s="352">
        <f t="shared" si="8"/>
        <v>7829136.1619999995</v>
      </c>
      <c r="J120" s="353">
        <f t="shared" si="9"/>
        <v>0.17110000000000003</v>
      </c>
      <c r="K120" s="352">
        <f t="shared" si="10"/>
        <v>435206.36689999979</v>
      </c>
      <c r="L120" s="350">
        <f t="shared" si="11"/>
        <v>0</v>
      </c>
      <c r="M120" s="351">
        <f t="shared" si="12"/>
        <v>0</v>
      </c>
      <c r="N120" s="354"/>
    </row>
    <row r="121" spans="1:14" s="355" customFormat="1" ht="32.25" customHeight="1">
      <c r="A121" s="347">
        <v>8</v>
      </c>
      <c r="B121" s="354" t="s">
        <v>946</v>
      </c>
      <c r="C121" s="354" t="s">
        <v>903</v>
      </c>
      <c r="D121" s="350">
        <v>12.9024</v>
      </c>
      <c r="E121" s="351">
        <v>2261508</v>
      </c>
      <c r="F121" s="352">
        <f t="shared" si="7"/>
        <v>29178880.819200002</v>
      </c>
      <c r="G121" s="350">
        <v>5.9454000000000002</v>
      </c>
      <c r="H121" s="351">
        <v>2261508</v>
      </c>
      <c r="I121" s="352">
        <f t="shared" si="8"/>
        <v>13445569.6632</v>
      </c>
      <c r="J121" s="353">
        <f t="shared" si="9"/>
        <v>6.9569999999999999</v>
      </c>
      <c r="K121" s="352">
        <f t="shared" si="10"/>
        <v>15733311.156000001</v>
      </c>
      <c r="L121" s="350">
        <f t="shared" si="11"/>
        <v>0</v>
      </c>
      <c r="M121" s="351">
        <f t="shared" si="12"/>
        <v>0</v>
      </c>
      <c r="N121" s="354"/>
    </row>
    <row r="122" spans="1:14" s="355" customFormat="1" ht="32.25" customHeight="1">
      <c r="A122" s="347">
        <v>9</v>
      </c>
      <c r="B122" s="354" t="s">
        <v>1003</v>
      </c>
      <c r="C122" s="354" t="s">
        <v>917</v>
      </c>
      <c r="D122" s="350">
        <v>1.1681999999999999</v>
      </c>
      <c r="E122" s="351">
        <v>16065408</v>
      </c>
      <c r="F122" s="352">
        <f t="shared" si="7"/>
        <v>18767609.625599999</v>
      </c>
      <c r="G122" s="350">
        <v>1.1216999999999999</v>
      </c>
      <c r="H122" s="351">
        <v>16065408</v>
      </c>
      <c r="I122" s="352">
        <f t="shared" si="8"/>
        <v>18020568.1536</v>
      </c>
      <c r="J122" s="353">
        <f t="shared" si="9"/>
        <v>4.6499999999999986E-2</v>
      </c>
      <c r="K122" s="352">
        <f t="shared" si="10"/>
        <v>747041.47199999914</v>
      </c>
      <c r="L122" s="350">
        <f t="shared" si="11"/>
        <v>0</v>
      </c>
      <c r="M122" s="351">
        <f t="shared" si="12"/>
        <v>0</v>
      </c>
      <c r="N122" s="354"/>
    </row>
    <row r="123" spans="1:14" s="355" customFormat="1" ht="32.25" customHeight="1">
      <c r="A123" s="347">
        <v>10</v>
      </c>
      <c r="B123" s="354" t="s">
        <v>1004</v>
      </c>
      <c r="C123" s="354" t="s">
        <v>917</v>
      </c>
      <c r="D123" s="350">
        <v>3.2162000000000002</v>
      </c>
      <c r="E123" s="351">
        <v>21613723</v>
      </c>
      <c r="F123" s="352">
        <f t="shared" si="7"/>
        <v>69514055.912600011</v>
      </c>
      <c r="G123" s="350">
        <v>3.1038000000000001</v>
      </c>
      <c r="H123" s="351">
        <v>21613723</v>
      </c>
      <c r="I123" s="352">
        <f t="shared" si="8"/>
        <v>67084673.447400004</v>
      </c>
      <c r="J123" s="353">
        <f t="shared" si="9"/>
        <v>0.11240000000000006</v>
      </c>
      <c r="K123" s="352">
        <f t="shared" si="10"/>
        <v>2429382.465200007</v>
      </c>
      <c r="L123" s="350">
        <f t="shared" si="11"/>
        <v>0</v>
      </c>
      <c r="M123" s="351">
        <f t="shared" si="12"/>
        <v>0</v>
      </c>
      <c r="N123" s="354"/>
    </row>
    <row r="124" spans="1:14" s="355" customFormat="1" ht="32.25" customHeight="1">
      <c r="A124" s="347">
        <v>11</v>
      </c>
      <c r="B124" s="354" t="s">
        <v>949</v>
      </c>
      <c r="C124" s="354" t="s">
        <v>917</v>
      </c>
      <c r="D124" s="350">
        <v>0.86639999999999995</v>
      </c>
      <c r="E124" s="351">
        <v>17821387</v>
      </c>
      <c r="F124" s="352">
        <f t="shared" si="7"/>
        <v>15440449.696799999</v>
      </c>
      <c r="G124" s="350">
        <v>0.82079999999999997</v>
      </c>
      <c r="H124" s="351">
        <v>17821387</v>
      </c>
      <c r="I124" s="352">
        <f t="shared" si="8"/>
        <v>14627794.4496</v>
      </c>
      <c r="J124" s="353">
        <f t="shared" si="9"/>
        <v>4.5599999999999974E-2</v>
      </c>
      <c r="K124" s="352">
        <f t="shared" si="10"/>
        <v>812655.24719999917</v>
      </c>
      <c r="L124" s="350">
        <f t="shared" si="11"/>
        <v>0</v>
      </c>
      <c r="M124" s="351">
        <f t="shared" si="12"/>
        <v>0</v>
      </c>
      <c r="N124" s="354"/>
    </row>
    <row r="125" spans="1:14" s="355" customFormat="1" ht="32.25" customHeight="1">
      <c r="A125" s="347">
        <v>12</v>
      </c>
      <c r="B125" s="354" t="s">
        <v>1005</v>
      </c>
      <c r="C125" s="354" t="s">
        <v>917</v>
      </c>
      <c r="D125" s="350">
        <v>2.4527999999999999</v>
      </c>
      <c r="E125" s="351">
        <v>17572894</v>
      </c>
      <c r="F125" s="352">
        <f t="shared" si="7"/>
        <v>43102794.403200001</v>
      </c>
      <c r="G125" s="350">
        <v>2.3652000000000002</v>
      </c>
      <c r="H125" s="351">
        <v>17572894</v>
      </c>
      <c r="I125" s="352">
        <f t="shared" si="8"/>
        <v>41563408.888800003</v>
      </c>
      <c r="J125" s="353">
        <f t="shared" si="9"/>
        <v>8.7599999999999678E-2</v>
      </c>
      <c r="K125" s="352">
        <f t="shared" si="10"/>
        <v>1539385.5143999979</v>
      </c>
      <c r="L125" s="350">
        <f t="shared" si="11"/>
        <v>0</v>
      </c>
      <c r="M125" s="351">
        <f t="shared" si="12"/>
        <v>0</v>
      </c>
      <c r="N125" s="354"/>
    </row>
    <row r="126" spans="1:14" s="355" customFormat="1" ht="32.25" customHeight="1">
      <c r="A126" s="347">
        <v>13</v>
      </c>
      <c r="B126" s="354" t="s">
        <v>980</v>
      </c>
      <c r="C126" s="354" t="s">
        <v>981</v>
      </c>
      <c r="D126" s="350">
        <v>1.4698</v>
      </c>
      <c r="E126" s="351">
        <v>21993359</v>
      </c>
      <c r="F126" s="352">
        <f t="shared" si="7"/>
        <v>32325839.058200002</v>
      </c>
      <c r="G126" s="350">
        <v>1.4165000000000001</v>
      </c>
      <c r="H126" s="351">
        <v>21993359</v>
      </c>
      <c r="I126" s="352">
        <f t="shared" si="8"/>
        <v>31153593.023500003</v>
      </c>
      <c r="J126" s="353">
        <f t="shared" si="9"/>
        <v>5.3299999999999903E-2</v>
      </c>
      <c r="K126" s="352">
        <f t="shared" si="10"/>
        <v>1172246.0346999988</v>
      </c>
      <c r="L126" s="350">
        <f t="shared" si="11"/>
        <v>0</v>
      </c>
      <c r="M126" s="351">
        <f t="shared" si="12"/>
        <v>0</v>
      </c>
      <c r="N126" s="354"/>
    </row>
    <row r="127" spans="1:14" s="355" customFormat="1" ht="32.25" customHeight="1">
      <c r="A127" s="347">
        <v>14</v>
      </c>
      <c r="B127" s="354" t="s">
        <v>1006</v>
      </c>
      <c r="C127" s="354" t="s">
        <v>981</v>
      </c>
      <c r="D127" s="350">
        <v>3.7120000000000002</v>
      </c>
      <c r="E127" s="351">
        <v>23112893</v>
      </c>
      <c r="F127" s="352">
        <f t="shared" si="7"/>
        <v>85795058.816</v>
      </c>
      <c r="G127" s="350">
        <v>3.5625</v>
      </c>
      <c r="H127" s="351">
        <v>23112893</v>
      </c>
      <c r="I127" s="352">
        <f t="shared" si="8"/>
        <v>82339681.3125</v>
      </c>
      <c r="J127" s="353">
        <f t="shared" si="9"/>
        <v>0.14950000000000019</v>
      </c>
      <c r="K127" s="352">
        <f t="shared" si="10"/>
        <v>3455377.5034999996</v>
      </c>
      <c r="L127" s="350">
        <f t="shared" si="11"/>
        <v>0</v>
      </c>
      <c r="M127" s="351">
        <f t="shared" si="12"/>
        <v>0</v>
      </c>
      <c r="N127" s="354"/>
    </row>
    <row r="128" spans="1:14" s="355" customFormat="1" ht="32.25" customHeight="1">
      <c r="A128" s="347">
        <v>15</v>
      </c>
      <c r="B128" s="354" t="s">
        <v>983</v>
      </c>
      <c r="C128" s="354" t="s">
        <v>981</v>
      </c>
      <c r="D128" s="350">
        <v>1.095</v>
      </c>
      <c r="E128" s="351">
        <v>22795827</v>
      </c>
      <c r="F128" s="352">
        <f t="shared" si="7"/>
        <v>24961430.564999998</v>
      </c>
      <c r="G128" s="350">
        <v>1.0523</v>
      </c>
      <c r="H128" s="351">
        <v>22795827</v>
      </c>
      <c r="I128" s="352">
        <f t="shared" si="8"/>
        <v>23988048.752100002</v>
      </c>
      <c r="J128" s="353">
        <f t="shared" si="9"/>
        <v>4.269999999999996E-2</v>
      </c>
      <c r="K128" s="352">
        <f t="shared" si="10"/>
        <v>973381.8128999956</v>
      </c>
      <c r="L128" s="350">
        <f t="shared" si="11"/>
        <v>0</v>
      </c>
      <c r="M128" s="351">
        <f t="shared" si="12"/>
        <v>0</v>
      </c>
      <c r="N128" s="354"/>
    </row>
    <row r="129" spans="1:14" s="355" customFormat="1" ht="32.25" customHeight="1">
      <c r="A129" s="347">
        <v>16</v>
      </c>
      <c r="B129" s="354" t="s">
        <v>984</v>
      </c>
      <c r="C129" s="354" t="s">
        <v>981</v>
      </c>
      <c r="D129" s="350">
        <v>1.0525</v>
      </c>
      <c r="E129" s="351">
        <v>24438803</v>
      </c>
      <c r="F129" s="352">
        <f t="shared" si="7"/>
        <v>25721840.157499999</v>
      </c>
      <c r="G129" s="350">
        <v>1.0148999999999999</v>
      </c>
      <c r="H129" s="351">
        <v>24438803</v>
      </c>
      <c r="I129" s="352">
        <f t="shared" si="8"/>
        <v>24802941.164699998</v>
      </c>
      <c r="J129" s="353">
        <f t="shared" si="9"/>
        <v>3.7600000000000078E-2</v>
      </c>
      <c r="K129" s="352">
        <f t="shared" si="10"/>
        <v>918898.99280000106</v>
      </c>
      <c r="L129" s="350">
        <f t="shared" si="11"/>
        <v>0</v>
      </c>
      <c r="M129" s="351">
        <f t="shared" si="12"/>
        <v>0</v>
      </c>
      <c r="N129" s="354"/>
    </row>
    <row r="130" spans="1:14" s="355" customFormat="1" ht="32.25" customHeight="1">
      <c r="A130" s="347">
        <v>17</v>
      </c>
      <c r="B130" s="354" t="s">
        <v>929</v>
      </c>
      <c r="C130" s="354" t="s">
        <v>903</v>
      </c>
      <c r="D130" s="350">
        <v>6.57</v>
      </c>
      <c r="E130" s="351">
        <v>2600494</v>
      </c>
      <c r="F130" s="352">
        <f t="shared" si="7"/>
        <v>17085245.580000002</v>
      </c>
      <c r="G130" s="350">
        <v>7.16</v>
      </c>
      <c r="H130" s="351">
        <v>2600494</v>
      </c>
      <c r="I130" s="352">
        <f t="shared" si="8"/>
        <v>18619537.039999999</v>
      </c>
      <c r="J130" s="353">
        <f t="shared" si="9"/>
        <v>0</v>
      </c>
      <c r="K130" s="352">
        <f t="shared" si="10"/>
        <v>0</v>
      </c>
      <c r="L130" s="350">
        <f t="shared" si="11"/>
        <v>0.58999999999999986</v>
      </c>
      <c r="M130" s="351">
        <f t="shared" si="12"/>
        <v>1534291.4599999972</v>
      </c>
      <c r="N130" s="354"/>
    </row>
    <row r="131" spans="1:14" s="355" customFormat="1" ht="32.25" customHeight="1">
      <c r="A131" s="347">
        <v>18</v>
      </c>
      <c r="B131" s="354" t="s">
        <v>961</v>
      </c>
      <c r="C131" s="354" t="s">
        <v>903</v>
      </c>
      <c r="D131" s="350">
        <v>46.268799999999999</v>
      </c>
      <c r="E131" s="351">
        <v>1537033</v>
      </c>
      <c r="F131" s="352">
        <f t="shared" si="7"/>
        <v>71116672.470400006</v>
      </c>
      <c r="G131" s="350">
        <v>45.828899999999997</v>
      </c>
      <c r="H131" s="351">
        <v>1537033</v>
      </c>
      <c r="I131" s="352">
        <f t="shared" si="8"/>
        <v>70440531.653699994</v>
      </c>
      <c r="J131" s="353">
        <f t="shared" si="9"/>
        <v>0.43990000000000151</v>
      </c>
      <c r="K131" s="352">
        <f t="shared" si="10"/>
        <v>676140.81670001149</v>
      </c>
      <c r="L131" s="350">
        <f t="shared" si="11"/>
        <v>0</v>
      </c>
      <c r="M131" s="351">
        <f t="shared" si="12"/>
        <v>0</v>
      </c>
      <c r="N131" s="354"/>
    </row>
    <row r="132" spans="1:14" s="355" customFormat="1" ht="32.25" customHeight="1">
      <c r="A132" s="347">
        <v>19</v>
      </c>
      <c r="B132" s="354" t="s">
        <v>985</v>
      </c>
      <c r="C132" s="354" t="s">
        <v>933</v>
      </c>
      <c r="D132" s="350">
        <v>528.76</v>
      </c>
      <c r="E132" s="351">
        <v>81113</v>
      </c>
      <c r="F132" s="352">
        <f t="shared" si="7"/>
        <v>42889309.880000003</v>
      </c>
      <c r="G132" s="350">
        <v>530.74</v>
      </c>
      <c r="H132" s="351">
        <v>81113</v>
      </c>
      <c r="I132" s="352">
        <f t="shared" si="8"/>
        <v>43049913.619999997</v>
      </c>
      <c r="J132" s="353">
        <f t="shared" si="9"/>
        <v>0</v>
      </c>
      <c r="K132" s="352">
        <f t="shared" si="10"/>
        <v>0</v>
      </c>
      <c r="L132" s="350">
        <f t="shared" si="11"/>
        <v>1.9800000000000182</v>
      </c>
      <c r="M132" s="351">
        <f t="shared" si="12"/>
        <v>160603.73999999464</v>
      </c>
      <c r="N132" s="354"/>
    </row>
    <row r="133" spans="1:14" s="355" customFormat="1" ht="32.25" customHeight="1">
      <c r="A133" s="347">
        <v>20</v>
      </c>
      <c r="B133" s="354" t="s">
        <v>1007</v>
      </c>
      <c r="C133" s="354" t="s">
        <v>933</v>
      </c>
      <c r="D133" s="350">
        <v>522.20000000000005</v>
      </c>
      <c r="E133" s="351">
        <v>105194</v>
      </c>
      <c r="F133" s="352">
        <f t="shared" si="7"/>
        <v>54932306.800000004</v>
      </c>
      <c r="G133" s="350">
        <v>513.52</v>
      </c>
      <c r="H133" s="351">
        <v>105194</v>
      </c>
      <c r="I133" s="352">
        <f t="shared" si="8"/>
        <v>54019222.879999995</v>
      </c>
      <c r="J133" s="353">
        <f t="shared" si="9"/>
        <v>8.6800000000000637</v>
      </c>
      <c r="K133" s="352">
        <f t="shared" si="10"/>
        <v>913083.92000000924</v>
      </c>
      <c r="L133" s="350">
        <f t="shared" si="11"/>
        <v>0</v>
      </c>
      <c r="M133" s="351">
        <f t="shared" si="12"/>
        <v>0</v>
      </c>
      <c r="N133" s="354"/>
    </row>
    <row r="134" spans="1:14" s="355" customFormat="1" ht="32.25" customHeight="1">
      <c r="A134" s="347">
        <v>21</v>
      </c>
      <c r="B134" s="354" t="s">
        <v>986</v>
      </c>
      <c r="C134" s="354" t="s">
        <v>933</v>
      </c>
      <c r="D134" s="350">
        <v>252</v>
      </c>
      <c r="E134" s="351">
        <v>76892</v>
      </c>
      <c r="F134" s="352">
        <f t="shared" ref="F134:F151" si="17">D134*E134</f>
        <v>19376784</v>
      </c>
      <c r="G134" s="350">
        <v>243</v>
      </c>
      <c r="H134" s="351">
        <v>76892</v>
      </c>
      <c r="I134" s="352">
        <f t="shared" ref="I134:I151" si="18">G134*H134</f>
        <v>18684756</v>
      </c>
      <c r="J134" s="353">
        <f t="shared" ref="J134:J151" si="19">MAX(D134-G134,0)</f>
        <v>9</v>
      </c>
      <c r="K134" s="352">
        <f t="shared" ref="K134:K151" si="20">MAX(F134-I134,0)</f>
        <v>692028</v>
      </c>
      <c r="L134" s="350">
        <f t="shared" ref="L134:L151" si="21">MAX(G134-D134,0)</f>
        <v>0</v>
      </c>
      <c r="M134" s="351">
        <f t="shared" ref="M134:M151" si="22">MAX(I134-F134,0)</f>
        <v>0</v>
      </c>
      <c r="N134" s="354"/>
    </row>
    <row r="135" spans="1:14" s="355" customFormat="1" ht="32.25" customHeight="1">
      <c r="A135" s="347">
        <v>22</v>
      </c>
      <c r="B135" s="354" t="s">
        <v>987</v>
      </c>
      <c r="C135" s="354" t="s">
        <v>933</v>
      </c>
      <c r="D135" s="350">
        <v>84</v>
      </c>
      <c r="E135" s="351">
        <v>60860</v>
      </c>
      <c r="F135" s="352">
        <f t="shared" si="17"/>
        <v>5112240</v>
      </c>
      <c r="G135" s="350">
        <v>81</v>
      </c>
      <c r="H135" s="351">
        <v>60860</v>
      </c>
      <c r="I135" s="352">
        <f t="shared" si="18"/>
        <v>4929660</v>
      </c>
      <c r="J135" s="353">
        <f t="shared" si="19"/>
        <v>3</v>
      </c>
      <c r="K135" s="352">
        <f t="shared" si="20"/>
        <v>182580</v>
      </c>
      <c r="L135" s="350">
        <f t="shared" si="21"/>
        <v>0</v>
      </c>
      <c r="M135" s="351">
        <f t="shared" si="22"/>
        <v>0</v>
      </c>
      <c r="N135" s="354"/>
    </row>
    <row r="136" spans="1:14" s="355" customFormat="1" ht="32.25" customHeight="1">
      <c r="A136" s="347">
        <v>23</v>
      </c>
      <c r="B136" s="354" t="s">
        <v>964</v>
      </c>
      <c r="C136" s="354" t="s">
        <v>988</v>
      </c>
      <c r="D136" s="350">
        <v>83</v>
      </c>
      <c r="E136" s="351">
        <v>81305</v>
      </c>
      <c r="F136" s="352">
        <f t="shared" si="17"/>
        <v>6748315</v>
      </c>
      <c r="G136" s="350">
        <v>80</v>
      </c>
      <c r="H136" s="351">
        <v>81305</v>
      </c>
      <c r="I136" s="352">
        <f t="shared" si="18"/>
        <v>6504400</v>
      </c>
      <c r="J136" s="353">
        <f t="shared" si="19"/>
        <v>3</v>
      </c>
      <c r="K136" s="352">
        <f t="shared" si="20"/>
        <v>243915</v>
      </c>
      <c r="L136" s="350">
        <f t="shared" si="21"/>
        <v>0</v>
      </c>
      <c r="M136" s="351">
        <f t="shared" si="22"/>
        <v>0</v>
      </c>
      <c r="N136" s="354"/>
    </row>
    <row r="137" spans="1:14" s="355" customFormat="1" ht="32.25" customHeight="1">
      <c r="A137" s="347">
        <v>24</v>
      </c>
      <c r="B137" s="354" t="s">
        <v>966</v>
      </c>
      <c r="C137" s="354" t="s">
        <v>988</v>
      </c>
      <c r="D137" s="350">
        <v>83</v>
      </c>
      <c r="E137" s="351">
        <v>64868</v>
      </c>
      <c r="F137" s="352">
        <f t="shared" si="17"/>
        <v>5384044</v>
      </c>
      <c r="G137" s="350">
        <v>80</v>
      </c>
      <c r="H137" s="351">
        <v>64868</v>
      </c>
      <c r="I137" s="352">
        <f t="shared" si="18"/>
        <v>5189440</v>
      </c>
      <c r="J137" s="353">
        <f t="shared" si="19"/>
        <v>3</v>
      </c>
      <c r="K137" s="352">
        <f t="shared" si="20"/>
        <v>194604</v>
      </c>
      <c r="L137" s="350">
        <f t="shared" si="21"/>
        <v>0</v>
      </c>
      <c r="M137" s="351">
        <f t="shared" si="22"/>
        <v>0</v>
      </c>
      <c r="N137" s="354"/>
    </row>
    <row r="138" spans="1:14" s="355" customFormat="1" ht="32.25" customHeight="1">
      <c r="A138" s="347">
        <v>25</v>
      </c>
      <c r="B138" s="354" t="s">
        <v>967</v>
      </c>
      <c r="C138" s="354" t="s">
        <v>933</v>
      </c>
      <c r="D138" s="350">
        <v>168</v>
      </c>
      <c r="E138" s="351">
        <v>47287</v>
      </c>
      <c r="F138" s="352">
        <f t="shared" si="17"/>
        <v>7944216</v>
      </c>
      <c r="G138" s="350">
        <v>162</v>
      </c>
      <c r="H138" s="351">
        <v>47287</v>
      </c>
      <c r="I138" s="352">
        <f t="shared" si="18"/>
        <v>7660494</v>
      </c>
      <c r="J138" s="353">
        <f t="shared" si="19"/>
        <v>6</v>
      </c>
      <c r="K138" s="352">
        <f t="shared" si="20"/>
        <v>283722</v>
      </c>
      <c r="L138" s="350">
        <f t="shared" si="21"/>
        <v>0</v>
      </c>
      <c r="M138" s="351">
        <f t="shared" si="22"/>
        <v>0</v>
      </c>
      <c r="N138" s="354"/>
    </row>
    <row r="139" spans="1:14" s="355" customFormat="1" ht="32.25" customHeight="1">
      <c r="A139" s="347">
        <v>26</v>
      </c>
      <c r="B139" s="354" t="s">
        <v>989</v>
      </c>
      <c r="C139" s="354" t="s">
        <v>981</v>
      </c>
      <c r="D139" s="350">
        <v>1.8243</v>
      </c>
      <c r="E139" s="351">
        <v>29584362</v>
      </c>
      <c r="F139" s="352">
        <f t="shared" si="17"/>
        <v>53970751.596600004</v>
      </c>
      <c r="G139" s="350">
        <v>1.7584</v>
      </c>
      <c r="H139" s="351">
        <v>29584362</v>
      </c>
      <c r="I139" s="352">
        <f t="shared" si="18"/>
        <v>52021142.140799999</v>
      </c>
      <c r="J139" s="353">
        <f t="shared" si="19"/>
        <v>6.590000000000007E-2</v>
      </c>
      <c r="K139" s="352">
        <f t="shared" si="20"/>
        <v>1949609.4558000043</v>
      </c>
      <c r="L139" s="350">
        <f t="shared" si="21"/>
        <v>0</v>
      </c>
      <c r="M139" s="351">
        <f t="shared" si="22"/>
        <v>0</v>
      </c>
      <c r="N139" s="354"/>
    </row>
    <row r="140" spans="1:14" s="355" customFormat="1" ht="32.25" customHeight="1">
      <c r="A140" s="347">
        <v>27</v>
      </c>
      <c r="B140" s="354" t="s">
        <v>959</v>
      </c>
      <c r="C140" s="354" t="s">
        <v>981</v>
      </c>
      <c r="D140" s="350">
        <v>1.8243</v>
      </c>
      <c r="E140" s="351">
        <v>2401505</v>
      </c>
      <c r="F140" s="352">
        <f t="shared" si="17"/>
        <v>4381065.5715000005</v>
      </c>
      <c r="G140" s="350">
        <v>1.7584</v>
      </c>
      <c r="H140" s="351">
        <v>2401505</v>
      </c>
      <c r="I140" s="352">
        <f>G140*H140</f>
        <v>4222806.392</v>
      </c>
      <c r="J140" s="353">
        <f t="shared" si="19"/>
        <v>6.590000000000007E-2</v>
      </c>
      <c r="K140" s="352">
        <f t="shared" si="20"/>
        <v>158259.17950000055</v>
      </c>
      <c r="L140" s="350">
        <f t="shared" si="21"/>
        <v>0</v>
      </c>
      <c r="M140" s="351">
        <f t="shared" si="22"/>
        <v>0</v>
      </c>
      <c r="N140" s="354"/>
    </row>
    <row r="141" spans="1:14" s="355" customFormat="1" ht="32.25" customHeight="1">
      <c r="A141" s="347">
        <v>28</v>
      </c>
      <c r="B141" s="354" t="s">
        <v>1008</v>
      </c>
      <c r="C141" s="354" t="s">
        <v>917</v>
      </c>
      <c r="D141" s="350">
        <v>4.6479999999999997</v>
      </c>
      <c r="E141" s="351">
        <v>16515504</v>
      </c>
      <c r="F141" s="352">
        <f t="shared" si="17"/>
        <v>76764062.591999993</v>
      </c>
      <c r="G141" s="350">
        <v>4.4800000000000004</v>
      </c>
      <c r="H141" s="351">
        <v>26515504</v>
      </c>
      <c r="I141" s="352">
        <f t="shared" si="18"/>
        <v>118789457.92000002</v>
      </c>
      <c r="J141" s="353">
        <f t="shared" si="19"/>
        <v>0.16799999999999926</v>
      </c>
      <c r="K141" s="352">
        <f t="shared" si="20"/>
        <v>0</v>
      </c>
      <c r="L141" s="350">
        <f t="shared" si="21"/>
        <v>0</v>
      </c>
      <c r="M141" s="351">
        <f t="shared" si="22"/>
        <v>42025395.328000024</v>
      </c>
      <c r="N141" s="354"/>
    </row>
    <row r="142" spans="1:14" s="355" customFormat="1" ht="32.25" customHeight="1">
      <c r="A142" s="347">
        <v>29</v>
      </c>
      <c r="B142" s="354" t="s">
        <v>962</v>
      </c>
      <c r="C142" s="354" t="s">
        <v>933</v>
      </c>
      <c r="D142" s="350">
        <v>415</v>
      </c>
      <c r="E142" s="351">
        <v>191935</v>
      </c>
      <c r="F142" s="352">
        <f t="shared" si="17"/>
        <v>79653025</v>
      </c>
      <c r="G142" s="350">
        <v>0</v>
      </c>
      <c r="H142" s="351">
        <v>191935</v>
      </c>
      <c r="I142" s="352">
        <f t="shared" si="18"/>
        <v>0</v>
      </c>
      <c r="J142" s="353">
        <f t="shared" si="19"/>
        <v>415</v>
      </c>
      <c r="K142" s="352">
        <f t="shared" si="20"/>
        <v>79653025</v>
      </c>
      <c r="L142" s="350">
        <f t="shared" si="21"/>
        <v>0</v>
      </c>
      <c r="M142" s="351">
        <f t="shared" si="22"/>
        <v>0</v>
      </c>
      <c r="N142" s="354"/>
    </row>
    <row r="143" spans="1:14" s="355" customFormat="1" ht="32.25" customHeight="1">
      <c r="A143" s="347">
        <v>30</v>
      </c>
      <c r="B143" s="354" t="s">
        <v>954</v>
      </c>
      <c r="C143" s="354" t="s">
        <v>903</v>
      </c>
      <c r="D143" s="350">
        <v>51.46</v>
      </c>
      <c r="E143" s="351">
        <v>1676247</v>
      </c>
      <c r="F143" s="352">
        <f t="shared" si="17"/>
        <v>86259670.620000005</v>
      </c>
      <c r="G143" s="350">
        <v>49.6</v>
      </c>
      <c r="H143" s="351">
        <v>1676247</v>
      </c>
      <c r="I143" s="352">
        <f t="shared" si="18"/>
        <v>83141851.200000003</v>
      </c>
      <c r="J143" s="353">
        <f t="shared" si="19"/>
        <v>1.8599999999999994</v>
      </c>
      <c r="K143" s="352">
        <f t="shared" si="20"/>
        <v>3117819.4200000018</v>
      </c>
      <c r="L143" s="350">
        <f t="shared" si="21"/>
        <v>0</v>
      </c>
      <c r="M143" s="351">
        <f t="shared" si="22"/>
        <v>0</v>
      </c>
      <c r="N143" s="354"/>
    </row>
    <row r="144" spans="1:14" s="355" customFormat="1" ht="32.25" customHeight="1">
      <c r="A144" s="347">
        <v>31</v>
      </c>
      <c r="B144" s="354" t="s">
        <v>927</v>
      </c>
      <c r="C144" s="354" t="s">
        <v>917</v>
      </c>
      <c r="D144" s="350">
        <v>4.9800000000000004</v>
      </c>
      <c r="E144" s="351">
        <v>682496</v>
      </c>
      <c r="F144" s="352">
        <f t="shared" si="17"/>
        <v>3398830.0800000001</v>
      </c>
      <c r="G144" s="350">
        <v>4.8</v>
      </c>
      <c r="H144" s="351">
        <v>682496</v>
      </c>
      <c r="I144" s="352">
        <f t="shared" si="18"/>
        <v>3275980.7999999998</v>
      </c>
      <c r="J144" s="353">
        <f t="shared" si="19"/>
        <v>0.1800000000000006</v>
      </c>
      <c r="K144" s="352">
        <f t="shared" si="20"/>
        <v>122849.28000000026</v>
      </c>
      <c r="L144" s="350">
        <f t="shared" si="21"/>
        <v>0</v>
      </c>
      <c r="M144" s="351">
        <f t="shared" si="22"/>
        <v>0</v>
      </c>
      <c r="N144" s="354"/>
    </row>
    <row r="145" spans="1:14" s="355" customFormat="1" ht="32.25" customHeight="1">
      <c r="A145" s="347">
        <v>32</v>
      </c>
      <c r="B145" s="354" t="s">
        <v>994</v>
      </c>
      <c r="C145" s="354" t="s">
        <v>933</v>
      </c>
      <c r="D145" s="350">
        <v>506.3</v>
      </c>
      <c r="E145" s="351">
        <v>187552</v>
      </c>
      <c r="F145" s="352">
        <f t="shared" si="17"/>
        <v>94957577.600000009</v>
      </c>
      <c r="G145" s="350">
        <v>488</v>
      </c>
      <c r="H145" s="351">
        <v>100000</v>
      </c>
      <c r="I145" s="352">
        <f t="shared" si="18"/>
        <v>48800000</v>
      </c>
      <c r="J145" s="353">
        <f t="shared" si="19"/>
        <v>18.300000000000011</v>
      </c>
      <c r="K145" s="352">
        <f t="shared" si="20"/>
        <v>46157577.600000009</v>
      </c>
      <c r="L145" s="350">
        <f t="shared" si="21"/>
        <v>0</v>
      </c>
      <c r="M145" s="351">
        <f t="shared" si="22"/>
        <v>0</v>
      </c>
      <c r="N145" s="354"/>
    </row>
    <row r="146" spans="1:14" s="355" customFormat="1" ht="32.25" customHeight="1">
      <c r="A146" s="347">
        <v>33</v>
      </c>
      <c r="B146" s="354" t="s">
        <v>995</v>
      </c>
      <c r="C146" s="354" t="s">
        <v>933</v>
      </c>
      <c r="D146" s="350">
        <v>515.17999999999995</v>
      </c>
      <c r="E146" s="351">
        <v>302602</v>
      </c>
      <c r="F146" s="352">
        <f t="shared" si="17"/>
        <v>155894498.35999998</v>
      </c>
      <c r="G146" s="350">
        <v>513.95000000000005</v>
      </c>
      <c r="H146" s="351">
        <v>120000</v>
      </c>
      <c r="I146" s="352">
        <f t="shared" si="18"/>
        <v>61674000.000000007</v>
      </c>
      <c r="J146" s="353">
        <f t="shared" si="19"/>
        <v>1.2299999999999045</v>
      </c>
      <c r="K146" s="352">
        <f t="shared" si="20"/>
        <v>94220498.359999985</v>
      </c>
      <c r="L146" s="350">
        <f t="shared" si="21"/>
        <v>0</v>
      </c>
      <c r="M146" s="351">
        <f t="shared" si="22"/>
        <v>0</v>
      </c>
      <c r="N146" s="354"/>
    </row>
    <row r="147" spans="1:14" s="355" customFormat="1" ht="32.25" customHeight="1">
      <c r="A147" s="347">
        <v>34</v>
      </c>
      <c r="B147" s="354" t="s">
        <v>936</v>
      </c>
      <c r="C147" s="354" t="s">
        <v>933</v>
      </c>
      <c r="D147" s="350">
        <v>780.76</v>
      </c>
      <c r="E147" s="351">
        <v>83662</v>
      </c>
      <c r="F147" s="352">
        <f t="shared" si="17"/>
        <v>65319943.119999997</v>
      </c>
      <c r="G147" s="350">
        <v>775.01</v>
      </c>
      <c r="H147" s="351">
        <v>83662</v>
      </c>
      <c r="I147" s="352">
        <f>G147*H147</f>
        <v>64838886.619999997</v>
      </c>
      <c r="J147" s="353">
        <f t="shared" si="19"/>
        <v>5.75</v>
      </c>
      <c r="K147" s="352">
        <f t="shared" si="20"/>
        <v>481056.5</v>
      </c>
      <c r="L147" s="350">
        <f t="shared" si="21"/>
        <v>0</v>
      </c>
      <c r="M147" s="351">
        <f t="shared" si="22"/>
        <v>0</v>
      </c>
      <c r="N147" s="354"/>
    </row>
    <row r="148" spans="1:14" s="355" customFormat="1" ht="32.25" customHeight="1">
      <c r="A148" s="347">
        <v>35</v>
      </c>
      <c r="B148" s="354" t="s">
        <v>1009</v>
      </c>
      <c r="C148" s="354" t="s">
        <v>933</v>
      </c>
      <c r="D148" s="350">
        <v>780.76</v>
      </c>
      <c r="E148" s="351">
        <v>59365</v>
      </c>
      <c r="F148" s="352">
        <f t="shared" si="17"/>
        <v>46349817.399999999</v>
      </c>
      <c r="G148" s="350">
        <v>775.01</v>
      </c>
      <c r="H148" s="351">
        <v>29710</v>
      </c>
      <c r="I148" s="352">
        <f>G148*H148</f>
        <v>23025547.100000001</v>
      </c>
      <c r="J148" s="353">
        <f t="shared" si="19"/>
        <v>5.75</v>
      </c>
      <c r="K148" s="352">
        <f t="shared" si="20"/>
        <v>23324270.299999997</v>
      </c>
      <c r="L148" s="350">
        <f t="shared" si="21"/>
        <v>0</v>
      </c>
      <c r="M148" s="351">
        <f t="shared" si="22"/>
        <v>0</v>
      </c>
      <c r="N148" s="354"/>
    </row>
    <row r="149" spans="1:14" ht="32.25" customHeight="1">
      <c r="A149" s="345">
        <v>36</v>
      </c>
      <c r="B149" s="343" t="s">
        <v>971</v>
      </c>
      <c r="C149" s="343" t="s">
        <v>942</v>
      </c>
      <c r="D149" s="341">
        <v>0.6</v>
      </c>
      <c r="E149" s="342">
        <v>14072168</v>
      </c>
      <c r="F149" s="340">
        <f t="shared" si="17"/>
        <v>8443300.7999999989</v>
      </c>
      <c r="G149" s="341">
        <v>0.6</v>
      </c>
      <c r="H149" s="342">
        <v>14072168</v>
      </c>
      <c r="I149" s="340">
        <f t="shared" si="18"/>
        <v>8443300.7999999989</v>
      </c>
      <c r="J149" s="339">
        <f t="shared" si="19"/>
        <v>0</v>
      </c>
      <c r="K149" s="340">
        <f t="shared" si="20"/>
        <v>0</v>
      </c>
      <c r="L149" s="341">
        <f t="shared" si="21"/>
        <v>0</v>
      </c>
      <c r="M149" s="342">
        <f t="shared" si="22"/>
        <v>0</v>
      </c>
      <c r="N149" s="343"/>
    </row>
    <row r="150" spans="1:14" ht="32.25" customHeight="1">
      <c r="A150" s="345">
        <v>37</v>
      </c>
      <c r="B150" s="343" t="s">
        <v>972</v>
      </c>
      <c r="C150" s="343" t="s">
        <v>997</v>
      </c>
      <c r="D150" s="341">
        <v>10</v>
      </c>
      <c r="E150" s="342">
        <v>44770</v>
      </c>
      <c r="F150" s="340">
        <f t="shared" si="17"/>
        <v>447700</v>
      </c>
      <c r="G150" s="341">
        <v>10</v>
      </c>
      <c r="H150" s="342">
        <v>44770</v>
      </c>
      <c r="I150" s="340">
        <f t="shared" si="18"/>
        <v>447700</v>
      </c>
      <c r="J150" s="339">
        <f t="shared" si="19"/>
        <v>0</v>
      </c>
      <c r="K150" s="340">
        <f t="shared" si="20"/>
        <v>0</v>
      </c>
      <c r="L150" s="341">
        <f t="shared" si="21"/>
        <v>0</v>
      </c>
      <c r="M150" s="342">
        <f t="shared" si="22"/>
        <v>0</v>
      </c>
      <c r="N150" s="343"/>
    </row>
    <row r="151" spans="1:14" ht="32.25" customHeight="1">
      <c r="A151" s="345">
        <v>38</v>
      </c>
      <c r="B151" s="343"/>
      <c r="C151" s="343"/>
      <c r="D151" s="341"/>
      <c r="E151" s="342"/>
      <c r="F151" s="340">
        <f t="shared" si="17"/>
        <v>0</v>
      </c>
      <c r="G151" s="341"/>
      <c r="H151" s="342"/>
      <c r="I151" s="340">
        <f t="shared" si="18"/>
        <v>0</v>
      </c>
      <c r="J151" s="339">
        <f t="shared" si="19"/>
        <v>0</v>
      </c>
      <c r="K151" s="340">
        <f t="shared" si="20"/>
        <v>0</v>
      </c>
      <c r="L151" s="341">
        <f t="shared" si="21"/>
        <v>0</v>
      </c>
      <c r="M151" s="342">
        <f t="shared" si="22"/>
        <v>0</v>
      </c>
      <c r="N151" s="343"/>
    </row>
    <row r="152" spans="1:14" s="330" customFormat="1" ht="32.25" customHeight="1">
      <c r="A152" s="506" t="s">
        <v>94</v>
      </c>
      <c r="B152" s="506"/>
      <c r="C152" s="506"/>
      <c r="D152" s="331"/>
      <c r="E152" s="332"/>
      <c r="F152" s="332">
        <f>SUM(F113:F151)</f>
        <v>1559239216.9536996</v>
      </c>
      <c r="G152" s="331"/>
      <c r="H152" s="332"/>
      <c r="I152" s="332">
        <f t="shared" ref="I152" si="23">SUM(I113:I151)</f>
        <v>1321324080.0392997</v>
      </c>
      <c r="J152" s="331"/>
      <c r="K152" s="332">
        <f t="shared" ref="K152" si="24">SUM(K113:K151)</f>
        <v>290032686.3064</v>
      </c>
      <c r="L152" s="331"/>
      <c r="M152" s="332">
        <f t="shared" ref="M152" si="25">SUM(M113:M151)</f>
        <v>52117549.39200002</v>
      </c>
      <c r="N152" s="363"/>
    </row>
    <row r="153" spans="1:14" ht="32.25" customHeight="1">
      <c r="A153" s="506" t="s">
        <v>1010</v>
      </c>
      <c r="B153" s="506"/>
      <c r="C153" s="506"/>
      <c r="D153" s="341"/>
      <c r="E153" s="342"/>
      <c r="F153" s="340"/>
      <c r="G153" s="341"/>
      <c r="H153" s="342"/>
      <c r="I153" s="340"/>
      <c r="J153" s="339"/>
      <c r="K153" s="340"/>
      <c r="L153" s="341"/>
      <c r="M153" s="342"/>
      <c r="N153" s="343"/>
    </row>
    <row r="154" spans="1:14" ht="32.25" customHeight="1">
      <c r="A154" s="345">
        <v>1</v>
      </c>
      <c r="B154" s="343" t="s">
        <v>902</v>
      </c>
      <c r="C154" s="343" t="s">
        <v>903</v>
      </c>
      <c r="D154" s="341">
        <v>123.30240000000001</v>
      </c>
      <c r="E154" s="342">
        <v>157313</v>
      </c>
      <c r="F154" s="340">
        <f t="shared" ref="F154:F179" si="26">D154*E154</f>
        <v>19397070.451200001</v>
      </c>
      <c r="G154" s="341">
        <v>123.30240000000001</v>
      </c>
      <c r="H154" s="342">
        <v>157313</v>
      </c>
      <c r="I154" s="340">
        <f t="shared" ref="I154:I179" si="27">G154*H154</f>
        <v>19397070.451200001</v>
      </c>
      <c r="J154" s="339">
        <f t="shared" ref="J154:J179" si="28">MAX(D154-G154,0)</f>
        <v>0</v>
      </c>
      <c r="K154" s="340">
        <f t="shared" ref="K154:K179" si="29">MAX(F154-I154,0)</f>
        <v>0</v>
      </c>
      <c r="L154" s="341">
        <f t="shared" ref="L154:L179" si="30">MAX(G154-D154,0)</f>
        <v>0</v>
      </c>
      <c r="M154" s="342">
        <f t="shared" ref="M154:M179" si="31">MAX(I154-F154,0)</f>
        <v>0</v>
      </c>
      <c r="N154" s="343" t="s">
        <v>1011</v>
      </c>
    </row>
    <row r="155" spans="1:14" ht="32.25" customHeight="1">
      <c r="A155" s="345">
        <v>2</v>
      </c>
      <c r="B155" s="343" t="s">
        <v>999</v>
      </c>
      <c r="C155" s="343" t="s">
        <v>903</v>
      </c>
      <c r="D155" s="341">
        <v>41.1008</v>
      </c>
      <c r="E155" s="342">
        <v>124076</v>
      </c>
      <c r="F155" s="340">
        <f t="shared" si="26"/>
        <v>5099622.8607999999</v>
      </c>
      <c r="G155" s="341">
        <v>41.1008</v>
      </c>
      <c r="H155" s="342">
        <v>124076</v>
      </c>
      <c r="I155" s="340">
        <f t="shared" si="27"/>
        <v>5099622.8607999999</v>
      </c>
      <c r="J155" s="339">
        <f t="shared" si="28"/>
        <v>0</v>
      </c>
      <c r="K155" s="340">
        <f t="shared" si="29"/>
        <v>0</v>
      </c>
      <c r="L155" s="341">
        <f t="shared" si="30"/>
        <v>0</v>
      </c>
      <c r="M155" s="342">
        <f t="shared" si="31"/>
        <v>0</v>
      </c>
      <c r="N155" s="343"/>
    </row>
    <row r="156" spans="1:14" ht="32.25" customHeight="1">
      <c r="A156" s="345">
        <v>3</v>
      </c>
      <c r="B156" s="343" t="s">
        <v>1012</v>
      </c>
      <c r="C156" s="343" t="s">
        <v>942</v>
      </c>
      <c r="D156" s="341">
        <v>42.625</v>
      </c>
      <c r="E156" s="342">
        <v>1206690</v>
      </c>
      <c r="F156" s="340">
        <f t="shared" si="26"/>
        <v>51435161.25</v>
      </c>
      <c r="G156" s="341">
        <v>42.625</v>
      </c>
      <c r="H156" s="342">
        <v>1206690</v>
      </c>
      <c r="I156" s="340">
        <f t="shared" si="27"/>
        <v>51435161.25</v>
      </c>
      <c r="J156" s="339">
        <f t="shared" si="28"/>
        <v>0</v>
      </c>
      <c r="K156" s="340">
        <f t="shared" si="29"/>
        <v>0</v>
      </c>
      <c r="L156" s="341">
        <f t="shared" si="30"/>
        <v>0</v>
      </c>
      <c r="M156" s="342">
        <f t="shared" si="31"/>
        <v>0</v>
      </c>
      <c r="N156" s="343"/>
    </row>
    <row r="157" spans="1:14" ht="32.25" customHeight="1">
      <c r="A157" s="345">
        <v>4</v>
      </c>
      <c r="B157" s="343" t="s">
        <v>1013</v>
      </c>
      <c r="C157" s="343" t="s">
        <v>903</v>
      </c>
      <c r="D157" s="341">
        <v>3.6480000000000001</v>
      </c>
      <c r="E157" s="342">
        <v>1283592</v>
      </c>
      <c r="F157" s="340">
        <f t="shared" si="26"/>
        <v>4682543.6160000004</v>
      </c>
      <c r="G157" s="341">
        <v>3.6480000000000001</v>
      </c>
      <c r="H157" s="342">
        <v>1283592</v>
      </c>
      <c r="I157" s="340">
        <f t="shared" si="27"/>
        <v>4682543.6160000004</v>
      </c>
      <c r="J157" s="339">
        <f t="shared" si="28"/>
        <v>0</v>
      </c>
      <c r="K157" s="340">
        <f t="shared" si="29"/>
        <v>0</v>
      </c>
      <c r="L157" s="341">
        <f t="shared" si="30"/>
        <v>0</v>
      </c>
      <c r="M157" s="342">
        <f t="shared" si="31"/>
        <v>0</v>
      </c>
      <c r="N157" s="343"/>
    </row>
    <row r="158" spans="1:14" ht="32.25" customHeight="1">
      <c r="A158" s="345">
        <v>5</v>
      </c>
      <c r="B158" s="343" t="s">
        <v>1002</v>
      </c>
      <c r="C158" s="343" t="s">
        <v>903</v>
      </c>
      <c r="D158" s="341">
        <v>4.6440000000000001</v>
      </c>
      <c r="E158" s="342">
        <v>2216701</v>
      </c>
      <c r="F158" s="340">
        <f t="shared" si="26"/>
        <v>10294359.444</v>
      </c>
      <c r="G158" s="341">
        <v>4.6440000000000001</v>
      </c>
      <c r="H158" s="342">
        <v>2216701</v>
      </c>
      <c r="I158" s="340">
        <f t="shared" si="27"/>
        <v>10294359.444</v>
      </c>
      <c r="J158" s="339">
        <f t="shared" si="28"/>
        <v>0</v>
      </c>
      <c r="K158" s="340">
        <f t="shared" si="29"/>
        <v>0</v>
      </c>
      <c r="L158" s="341">
        <f t="shared" si="30"/>
        <v>0</v>
      </c>
      <c r="M158" s="342">
        <f t="shared" si="31"/>
        <v>0</v>
      </c>
      <c r="N158" s="343"/>
    </row>
    <row r="159" spans="1:14" ht="32.25" customHeight="1">
      <c r="A159" s="345">
        <v>6</v>
      </c>
      <c r="B159" s="343" t="s">
        <v>977</v>
      </c>
      <c r="C159" s="343" t="s">
        <v>903</v>
      </c>
      <c r="D159" s="341">
        <v>2</v>
      </c>
      <c r="E159" s="342">
        <v>2543579</v>
      </c>
      <c r="F159" s="340">
        <f t="shared" si="26"/>
        <v>5087158</v>
      </c>
      <c r="G159" s="341">
        <v>2</v>
      </c>
      <c r="H159" s="342">
        <v>2543579</v>
      </c>
      <c r="I159" s="340">
        <f t="shared" si="27"/>
        <v>5087158</v>
      </c>
      <c r="J159" s="339">
        <f t="shared" si="28"/>
        <v>0</v>
      </c>
      <c r="K159" s="340">
        <f t="shared" si="29"/>
        <v>0</v>
      </c>
      <c r="L159" s="341">
        <f t="shared" si="30"/>
        <v>0</v>
      </c>
      <c r="M159" s="342">
        <f t="shared" si="31"/>
        <v>0</v>
      </c>
      <c r="N159" s="343"/>
    </row>
    <row r="160" spans="1:14" ht="32.25" customHeight="1">
      <c r="A160" s="345">
        <v>7</v>
      </c>
      <c r="B160" s="343" t="s">
        <v>1014</v>
      </c>
      <c r="C160" s="343" t="s">
        <v>903</v>
      </c>
      <c r="D160" s="341">
        <v>24.95</v>
      </c>
      <c r="E160" s="342">
        <v>2522566</v>
      </c>
      <c r="F160" s="340">
        <f t="shared" si="26"/>
        <v>62938021.699999996</v>
      </c>
      <c r="G160" s="341">
        <v>24.95</v>
      </c>
      <c r="H160" s="342">
        <v>2522566</v>
      </c>
      <c r="I160" s="340">
        <f t="shared" si="27"/>
        <v>62938021.699999996</v>
      </c>
      <c r="J160" s="339">
        <f t="shared" si="28"/>
        <v>0</v>
      </c>
      <c r="K160" s="340">
        <f t="shared" si="29"/>
        <v>0</v>
      </c>
      <c r="L160" s="341">
        <f t="shared" si="30"/>
        <v>0</v>
      </c>
      <c r="M160" s="342">
        <f t="shared" si="31"/>
        <v>0</v>
      </c>
      <c r="N160" s="343"/>
    </row>
    <row r="161" spans="1:14" ht="32.25" customHeight="1">
      <c r="A161" s="345">
        <v>8</v>
      </c>
      <c r="B161" s="343" t="s">
        <v>1015</v>
      </c>
      <c r="C161" s="343" t="s">
        <v>903</v>
      </c>
      <c r="D161" s="341">
        <v>2.9580000000000002</v>
      </c>
      <c r="E161" s="342">
        <v>1944442</v>
      </c>
      <c r="F161" s="340">
        <f t="shared" si="26"/>
        <v>5751659.4360000007</v>
      </c>
      <c r="G161" s="341">
        <v>2.9580000000000002</v>
      </c>
      <c r="H161" s="342">
        <v>1944442</v>
      </c>
      <c r="I161" s="340">
        <f t="shared" si="27"/>
        <v>5751659.4360000007</v>
      </c>
      <c r="J161" s="339">
        <f t="shared" si="28"/>
        <v>0</v>
      </c>
      <c r="K161" s="340">
        <f t="shared" si="29"/>
        <v>0</v>
      </c>
      <c r="L161" s="341">
        <f t="shared" si="30"/>
        <v>0</v>
      </c>
      <c r="M161" s="342">
        <f t="shared" si="31"/>
        <v>0</v>
      </c>
      <c r="N161" s="343"/>
    </row>
    <row r="162" spans="1:14" ht="32.25" customHeight="1">
      <c r="A162" s="345">
        <v>9</v>
      </c>
      <c r="B162" s="343" t="s">
        <v>1016</v>
      </c>
      <c r="C162" s="343" t="s">
        <v>917</v>
      </c>
      <c r="D162" s="341">
        <v>0.53779999999999994</v>
      </c>
      <c r="E162" s="342">
        <v>21613723</v>
      </c>
      <c r="F162" s="340">
        <f t="shared" si="26"/>
        <v>11623860.2294</v>
      </c>
      <c r="G162" s="341">
        <v>0.53779999999999994</v>
      </c>
      <c r="H162" s="342">
        <v>21613723</v>
      </c>
      <c r="I162" s="340">
        <f t="shared" si="27"/>
        <v>11623860.2294</v>
      </c>
      <c r="J162" s="339">
        <f t="shared" si="28"/>
        <v>0</v>
      </c>
      <c r="K162" s="340">
        <f t="shared" si="29"/>
        <v>0</v>
      </c>
      <c r="L162" s="341">
        <f t="shared" si="30"/>
        <v>0</v>
      </c>
      <c r="M162" s="342">
        <f t="shared" si="31"/>
        <v>0</v>
      </c>
      <c r="N162" s="343"/>
    </row>
    <row r="163" spans="1:14" ht="32.25" customHeight="1">
      <c r="A163" s="345">
        <v>10</v>
      </c>
      <c r="B163" s="343" t="s">
        <v>949</v>
      </c>
      <c r="C163" s="343" t="s">
        <v>917</v>
      </c>
      <c r="D163" s="341">
        <v>0.4</v>
      </c>
      <c r="E163" s="342">
        <v>17821387</v>
      </c>
      <c r="F163" s="340">
        <f t="shared" si="26"/>
        <v>7128554.8000000007</v>
      </c>
      <c r="G163" s="341">
        <v>0.4</v>
      </c>
      <c r="H163" s="342">
        <v>17821387</v>
      </c>
      <c r="I163" s="340">
        <f t="shared" si="27"/>
        <v>7128554.8000000007</v>
      </c>
      <c r="J163" s="339">
        <f t="shared" si="28"/>
        <v>0</v>
      </c>
      <c r="K163" s="340">
        <f t="shared" si="29"/>
        <v>0</v>
      </c>
      <c r="L163" s="341">
        <f t="shared" si="30"/>
        <v>0</v>
      </c>
      <c r="M163" s="342">
        <f t="shared" si="31"/>
        <v>0</v>
      </c>
      <c r="N163" s="343"/>
    </row>
    <row r="164" spans="1:14" ht="32.25" customHeight="1">
      <c r="A164" s="345">
        <v>11</v>
      </c>
      <c r="B164" s="343" t="s">
        <v>1017</v>
      </c>
      <c r="C164" s="343" t="s">
        <v>917</v>
      </c>
      <c r="D164" s="341">
        <v>1.7678</v>
      </c>
      <c r="E164" s="342">
        <v>16155898</v>
      </c>
      <c r="F164" s="340">
        <f t="shared" si="26"/>
        <v>28560396.4844</v>
      </c>
      <c r="G164" s="341">
        <v>1.7678</v>
      </c>
      <c r="H164" s="342">
        <v>16155898</v>
      </c>
      <c r="I164" s="340">
        <f t="shared" si="27"/>
        <v>28560396.4844</v>
      </c>
      <c r="J164" s="339">
        <f t="shared" si="28"/>
        <v>0</v>
      </c>
      <c r="K164" s="340">
        <f t="shared" si="29"/>
        <v>0</v>
      </c>
      <c r="L164" s="341">
        <f t="shared" si="30"/>
        <v>0</v>
      </c>
      <c r="M164" s="342">
        <f t="shared" si="31"/>
        <v>0</v>
      </c>
      <c r="N164" s="343"/>
    </row>
    <row r="165" spans="1:14" ht="32.25" customHeight="1">
      <c r="A165" s="345">
        <v>12</v>
      </c>
      <c r="B165" s="343" t="s">
        <v>1018</v>
      </c>
      <c r="C165" s="343" t="s">
        <v>917</v>
      </c>
      <c r="D165" s="341">
        <v>0.29580000000000001</v>
      </c>
      <c r="E165" s="342">
        <v>17179470</v>
      </c>
      <c r="F165" s="340">
        <f t="shared" si="26"/>
        <v>5081687.2259999998</v>
      </c>
      <c r="G165" s="341">
        <v>0.29580000000000001</v>
      </c>
      <c r="H165" s="342">
        <v>17179470</v>
      </c>
      <c r="I165" s="340">
        <f t="shared" si="27"/>
        <v>5081687.2259999998</v>
      </c>
      <c r="J165" s="339">
        <f t="shared" si="28"/>
        <v>0</v>
      </c>
      <c r="K165" s="340">
        <f t="shared" si="29"/>
        <v>0</v>
      </c>
      <c r="L165" s="341">
        <f t="shared" si="30"/>
        <v>0</v>
      </c>
      <c r="M165" s="342">
        <f t="shared" si="31"/>
        <v>0</v>
      </c>
      <c r="N165" s="343"/>
    </row>
    <row r="166" spans="1:14" ht="32.25" customHeight="1">
      <c r="A166" s="345">
        <v>13</v>
      </c>
      <c r="B166" s="343" t="s">
        <v>1019</v>
      </c>
      <c r="C166" s="343" t="s">
        <v>922</v>
      </c>
      <c r="D166" s="341">
        <v>1.0991</v>
      </c>
      <c r="E166" s="342">
        <v>23112893</v>
      </c>
      <c r="F166" s="340">
        <f t="shared" si="26"/>
        <v>25403380.6963</v>
      </c>
      <c r="G166" s="341">
        <v>1.0991</v>
      </c>
      <c r="H166" s="342">
        <v>23112893</v>
      </c>
      <c r="I166" s="340">
        <f t="shared" si="27"/>
        <v>25403380.6963</v>
      </c>
      <c r="J166" s="339">
        <f t="shared" si="28"/>
        <v>0</v>
      </c>
      <c r="K166" s="340">
        <f t="shared" si="29"/>
        <v>0</v>
      </c>
      <c r="L166" s="341">
        <f t="shared" si="30"/>
        <v>0</v>
      </c>
      <c r="M166" s="342">
        <f t="shared" si="31"/>
        <v>0</v>
      </c>
      <c r="N166" s="343"/>
    </row>
    <row r="167" spans="1:14" ht="32.25" customHeight="1">
      <c r="A167" s="345">
        <v>14</v>
      </c>
      <c r="B167" s="343" t="s">
        <v>1020</v>
      </c>
      <c r="C167" s="343" t="s">
        <v>922</v>
      </c>
      <c r="D167" s="341">
        <v>0.49980000000000002</v>
      </c>
      <c r="E167" s="342">
        <v>22795827</v>
      </c>
      <c r="F167" s="340">
        <f t="shared" si="26"/>
        <v>11393354.3346</v>
      </c>
      <c r="G167" s="341">
        <v>0.49980000000000002</v>
      </c>
      <c r="H167" s="342">
        <v>22795827</v>
      </c>
      <c r="I167" s="340">
        <f t="shared" si="27"/>
        <v>11393354.3346</v>
      </c>
      <c r="J167" s="339">
        <f t="shared" si="28"/>
        <v>0</v>
      </c>
      <c r="K167" s="340">
        <f t="shared" si="29"/>
        <v>0</v>
      </c>
      <c r="L167" s="341">
        <f t="shared" si="30"/>
        <v>0</v>
      </c>
      <c r="M167" s="342">
        <f t="shared" si="31"/>
        <v>0</v>
      </c>
      <c r="N167" s="343"/>
    </row>
    <row r="168" spans="1:14" ht="32.25" customHeight="1">
      <c r="A168" s="345">
        <v>15</v>
      </c>
      <c r="B168" s="343" t="s">
        <v>1021</v>
      </c>
      <c r="C168" s="343" t="s">
        <v>922</v>
      </c>
      <c r="D168" s="341">
        <v>4.4955999999999996</v>
      </c>
      <c r="E168" s="342">
        <v>24438803</v>
      </c>
      <c r="F168" s="340">
        <f t="shared" si="26"/>
        <v>109867082.76679999</v>
      </c>
      <c r="G168" s="341">
        <v>4.4955999999999996</v>
      </c>
      <c r="H168" s="342">
        <v>24438803</v>
      </c>
      <c r="I168" s="340">
        <f t="shared" si="27"/>
        <v>109867082.76679999</v>
      </c>
      <c r="J168" s="339">
        <f t="shared" si="28"/>
        <v>0</v>
      </c>
      <c r="K168" s="340">
        <f t="shared" si="29"/>
        <v>0</v>
      </c>
      <c r="L168" s="341">
        <f t="shared" si="30"/>
        <v>0</v>
      </c>
      <c r="M168" s="342">
        <f t="shared" si="31"/>
        <v>0</v>
      </c>
      <c r="N168" s="343"/>
    </row>
    <row r="169" spans="1:14" ht="32.25" customHeight="1">
      <c r="A169" s="345">
        <v>16</v>
      </c>
      <c r="B169" s="343" t="s">
        <v>1022</v>
      </c>
      <c r="C169" s="343" t="s">
        <v>922</v>
      </c>
      <c r="D169" s="341">
        <v>0.56810000000000005</v>
      </c>
      <c r="E169" s="342">
        <v>22736885</v>
      </c>
      <c r="F169" s="340">
        <f t="shared" si="26"/>
        <v>12916824.368500002</v>
      </c>
      <c r="G169" s="341">
        <v>0.56810000000000005</v>
      </c>
      <c r="H169" s="342">
        <v>22736885</v>
      </c>
      <c r="I169" s="340">
        <f t="shared" si="27"/>
        <v>12916824.368500002</v>
      </c>
      <c r="J169" s="339">
        <f t="shared" si="28"/>
        <v>0</v>
      </c>
      <c r="K169" s="340">
        <f t="shared" si="29"/>
        <v>0</v>
      </c>
      <c r="L169" s="341">
        <f t="shared" si="30"/>
        <v>0</v>
      </c>
      <c r="M169" s="342">
        <f t="shared" si="31"/>
        <v>0</v>
      </c>
      <c r="N169" s="343"/>
    </row>
    <row r="170" spans="1:14" ht="32.25" customHeight="1">
      <c r="A170" s="345">
        <v>17</v>
      </c>
      <c r="B170" s="343" t="s">
        <v>932</v>
      </c>
      <c r="C170" s="343" t="s">
        <v>933</v>
      </c>
      <c r="D170" s="341">
        <v>147.19999999999999</v>
      </c>
      <c r="E170" s="342">
        <v>81113</v>
      </c>
      <c r="F170" s="340">
        <f t="shared" si="26"/>
        <v>11939833.6</v>
      </c>
      <c r="G170" s="341">
        <v>147.19999999999999</v>
      </c>
      <c r="H170" s="342">
        <v>81113</v>
      </c>
      <c r="I170" s="340">
        <f t="shared" si="27"/>
        <v>11939833.6</v>
      </c>
      <c r="J170" s="339">
        <f t="shared" si="28"/>
        <v>0</v>
      </c>
      <c r="K170" s="340">
        <f t="shared" si="29"/>
        <v>0</v>
      </c>
      <c r="L170" s="341">
        <f t="shared" si="30"/>
        <v>0</v>
      </c>
      <c r="M170" s="342">
        <f t="shared" si="31"/>
        <v>0</v>
      </c>
      <c r="N170" s="343"/>
    </row>
    <row r="171" spans="1:14" ht="32.25" customHeight="1">
      <c r="A171" s="345">
        <v>18</v>
      </c>
      <c r="B171" s="343" t="s">
        <v>1023</v>
      </c>
      <c r="C171" s="343" t="s">
        <v>933</v>
      </c>
      <c r="D171" s="341">
        <v>28.8</v>
      </c>
      <c r="E171" s="342">
        <v>149196</v>
      </c>
      <c r="F171" s="340">
        <f t="shared" si="26"/>
        <v>4296844.8</v>
      </c>
      <c r="G171" s="341">
        <v>28.8</v>
      </c>
      <c r="H171" s="342">
        <v>149196</v>
      </c>
      <c r="I171" s="340">
        <f t="shared" si="27"/>
        <v>4296844.8</v>
      </c>
      <c r="J171" s="339">
        <f t="shared" si="28"/>
        <v>0</v>
      </c>
      <c r="K171" s="340">
        <f t="shared" si="29"/>
        <v>0</v>
      </c>
      <c r="L171" s="341">
        <f t="shared" si="30"/>
        <v>0</v>
      </c>
      <c r="M171" s="342">
        <f t="shared" si="31"/>
        <v>0</v>
      </c>
      <c r="N171" s="343"/>
    </row>
    <row r="172" spans="1:14" ht="32.25" customHeight="1">
      <c r="A172" s="345">
        <v>19</v>
      </c>
      <c r="B172" s="343" t="s">
        <v>1007</v>
      </c>
      <c r="C172" s="343" t="s">
        <v>933</v>
      </c>
      <c r="D172" s="341">
        <v>53.78</v>
      </c>
      <c r="E172" s="342">
        <v>105194</v>
      </c>
      <c r="F172" s="340">
        <f t="shared" si="26"/>
        <v>5657333.3200000003</v>
      </c>
      <c r="G172" s="341">
        <v>53.78</v>
      </c>
      <c r="H172" s="342">
        <v>105194</v>
      </c>
      <c r="I172" s="340">
        <f t="shared" si="27"/>
        <v>5657333.3200000003</v>
      </c>
      <c r="J172" s="339">
        <f t="shared" si="28"/>
        <v>0</v>
      </c>
      <c r="K172" s="340">
        <f t="shared" si="29"/>
        <v>0</v>
      </c>
      <c r="L172" s="341">
        <f t="shared" si="30"/>
        <v>0</v>
      </c>
      <c r="M172" s="342">
        <f t="shared" si="31"/>
        <v>0</v>
      </c>
      <c r="N172" s="343"/>
    </row>
    <row r="173" spans="1:14" ht="32.25" customHeight="1">
      <c r="A173" s="345">
        <v>20</v>
      </c>
      <c r="B173" s="343" t="s">
        <v>1024</v>
      </c>
      <c r="C173" s="343" t="s">
        <v>933</v>
      </c>
      <c r="D173" s="341">
        <v>59.16</v>
      </c>
      <c r="E173" s="342">
        <v>144019</v>
      </c>
      <c r="F173" s="340">
        <f t="shared" si="26"/>
        <v>8520164.0399999991</v>
      </c>
      <c r="G173" s="341">
        <v>59.16</v>
      </c>
      <c r="H173" s="342">
        <v>144019</v>
      </c>
      <c r="I173" s="340">
        <f t="shared" si="27"/>
        <v>8520164.0399999991</v>
      </c>
      <c r="J173" s="339">
        <f t="shared" si="28"/>
        <v>0</v>
      </c>
      <c r="K173" s="340">
        <f t="shared" si="29"/>
        <v>0</v>
      </c>
      <c r="L173" s="341">
        <f t="shared" si="30"/>
        <v>0</v>
      </c>
      <c r="M173" s="342">
        <f t="shared" si="31"/>
        <v>0</v>
      </c>
      <c r="N173" s="343"/>
    </row>
    <row r="174" spans="1:14" ht="32.25" customHeight="1">
      <c r="A174" s="345">
        <v>21</v>
      </c>
      <c r="B174" s="343" t="s">
        <v>1025</v>
      </c>
      <c r="C174" s="343" t="s">
        <v>933</v>
      </c>
      <c r="D174" s="341">
        <v>29.58</v>
      </c>
      <c r="E174" s="342">
        <v>57407</v>
      </c>
      <c r="F174" s="340">
        <f t="shared" si="26"/>
        <v>1698099.0599999998</v>
      </c>
      <c r="G174" s="341">
        <v>29.58</v>
      </c>
      <c r="H174" s="342">
        <v>57407</v>
      </c>
      <c r="I174" s="340">
        <f t="shared" si="27"/>
        <v>1698099.0599999998</v>
      </c>
      <c r="J174" s="339">
        <f t="shared" si="28"/>
        <v>0</v>
      </c>
      <c r="K174" s="340">
        <f t="shared" si="29"/>
        <v>0</v>
      </c>
      <c r="L174" s="341">
        <f t="shared" si="30"/>
        <v>0</v>
      </c>
      <c r="M174" s="342">
        <f t="shared" si="31"/>
        <v>0</v>
      </c>
      <c r="N174" s="343"/>
    </row>
    <row r="175" spans="1:14" ht="32.25" customHeight="1">
      <c r="A175" s="345">
        <v>22</v>
      </c>
      <c r="B175" s="343" t="s">
        <v>994</v>
      </c>
      <c r="C175" s="343" t="s">
        <v>933</v>
      </c>
      <c r="D175" s="341">
        <v>34.1</v>
      </c>
      <c r="E175" s="342">
        <v>187552</v>
      </c>
      <c r="F175" s="340">
        <f t="shared" si="26"/>
        <v>6395523.2000000002</v>
      </c>
      <c r="G175" s="341">
        <v>34.1</v>
      </c>
      <c r="H175" s="342">
        <v>187552</v>
      </c>
      <c r="I175" s="340">
        <f t="shared" si="27"/>
        <v>6395523.2000000002</v>
      </c>
      <c r="J175" s="339">
        <f t="shared" si="28"/>
        <v>0</v>
      </c>
      <c r="K175" s="340">
        <f t="shared" si="29"/>
        <v>0</v>
      </c>
      <c r="L175" s="341">
        <f t="shared" si="30"/>
        <v>0</v>
      </c>
      <c r="M175" s="342">
        <f t="shared" si="31"/>
        <v>0</v>
      </c>
      <c r="N175" s="343"/>
    </row>
    <row r="176" spans="1:14" ht="32.25" customHeight="1">
      <c r="A176" s="345">
        <v>23</v>
      </c>
      <c r="B176" s="343" t="s">
        <v>957</v>
      </c>
      <c r="C176" s="343" t="s">
        <v>933</v>
      </c>
      <c r="D176" s="341">
        <v>103.18</v>
      </c>
      <c r="E176" s="342">
        <v>274407</v>
      </c>
      <c r="F176" s="340">
        <f t="shared" si="26"/>
        <v>28313314.260000002</v>
      </c>
      <c r="G176" s="341">
        <v>103.18</v>
      </c>
      <c r="H176" s="342">
        <v>274407</v>
      </c>
      <c r="I176" s="340">
        <f t="shared" si="27"/>
        <v>28313314.260000002</v>
      </c>
      <c r="J176" s="339">
        <f t="shared" si="28"/>
        <v>0</v>
      </c>
      <c r="K176" s="340">
        <f t="shared" si="29"/>
        <v>0</v>
      </c>
      <c r="L176" s="341">
        <f t="shared" si="30"/>
        <v>0</v>
      </c>
      <c r="M176" s="342">
        <f t="shared" si="31"/>
        <v>0</v>
      </c>
      <c r="N176" s="343"/>
    </row>
    <row r="177" spans="1:14" ht="32.25" customHeight="1">
      <c r="A177" s="345">
        <v>24</v>
      </c>
      <c r="B177" s="343" t="s">
        <v>967</v>
      </c>
      <c r="C177" s="343" t="s">
        <v>933</v>
      </c>
      <c r="D177" s="341">
        <v>68.2</v>
      </c>
      <c r="E177" s="342">
        <v>47287</v>
      </c>
      <c r="F177" s="340">
        <f t="shared" si="26"/>
        <v>3224973.4</v>
      </c>
      <c r="G177" s="341">
        <v>68.2</v>
      </c>
      <c r="H177" s="342">
        <v>47287</v>
      </c>
      <c r="I177" s="340">
        <f t="shared" si="27"/>
        <v>3224973.4</v>
      </c>
      <c r="J177" s="339">
        <f t="shared" si="28"/>
        <v>0</v>
      </c>
      <c r="K177" s="340">
        <f t="shared" si="29"/>
        <v>0</v>
      </c>
      <c r="L177" s="341">
        <f t="shared" si="30"/>
        <v>0</v>
      </c>
      <c r="M177" s="342">
        <f t="shared" si="31"/>
        <v>0</v>
      </c>
      <c r="N177" s="343"/>
    </row>
    <row r="178" spans="1:14" ht="32.25" customHeight="1">
      <c r="A178" s="345">
        <v>25</v>
      </c>
      <c r="B178" s="343" t="s">
        <v>936</v>
      </c>
      <c r="C178" s="343" t="s">
        <v>933</v>
      </c>
      <c r="D178" s="341">
        <v>90.72</v>
      </c>
      <c r="E178" s="342">
        <v>83662</v>
      </c>
      <c r="F178" s="340">
        <f t="shared" si="26"/>
        <v>7589816.6399999997</v>
      </c>
      <c r="G178" s="341">
        <v>90.72</v>
      </c>
      <c r="H178" s="342">
        <v>83662</v>
      </c>
      <c r="I178" s="340">
        <f t="shared" si="27"/>
        <v>7589816.6399999997</v>
      </c>
      <c r="J178" s="339">
        <f t="shared" si="28"/>
        <v>0</v>
      </c>
      <c r="K178" s="340">
        <f t="shared" si="29"/>
        <v>0</v>
      </c>
      <c r="L178" s="341">
        <f t="shared" si="30"/>
        <v>0</v>
      </c>
      <c r="M178" s="342">
        <f t="shared" si="31"/>
        <v>0</v>
      </c>
      <c r="N178" s="343"/>
    </row>
    <row r="179" spans="1:14" s="355" customFormat="1" ht="32.25" customHeight="1">
      <c r="A179" s="347">
        <v>26</v>
      </c>
      <c r="B179" s="354" t="s">
        <v>937</v>
      </c>
      <c r="C179" s="354" t="s">
        <v>933</v>
      </c>
      <c r="D179" s="350">
        <v>90.72</v>
      </c>
      <c r="E179" s="351">
        <v>59365</v>
      </c>
      <c r="F179" s="352">
        <f t="shared" si="26"/>
        <v>5385592.7999999998</v>
      </c>
      <c r="G179" s="350">
        <v>90.72</v>
      </c>
      <c r="H179" s="351">
        <v>29710</v>
      </c>
      <c r="I179" s="352">
        <f t="shared" si="27"/>
        <v>2695291.2</v>
      </c>
      <c r="J179" s="353">
        <f t="shared" si="28"/>
        <v>0</v>
      </c>
      <c r="K179" s="352">
        <f t="shared" si="29"/>
        <v>2690301.5999999996</v>
      </c>
      <c r="L179" s="350">
        <f t="shared" si="30"/>
        <v>0</v>
      </c>
      <c r="M179" s="351">
        <f t="shared" si="31"/>
        <v>0</v>
      </c>
      <c r="N179" s="354"/>
    </row>
    <row r="180" spans="1:14" s="330" customFormat="1" ht="32.25" customHeight="1">
      <c r="A180" s="506" t="s">
        <v>94</v>
      </c>
      <c r="B180" s="506"/>
      <c r="C180" s="506"/>
      <c r="D180" s="331"/>
      <c r="E180" s="332"/>
      <c r="F180" s="332">
        <f>SUM(F153:F179)</f>
        <v>459682232.78400004</v>
      </c>
      <c r="G180" s="331"/>
      <c r="H180" s="332"/>
      <c r="I180" s="332">
        <f>SUM(I153:I179)</f>
        <v>456991931.18400002</v>
      </c>
      <c r="J180" s="331"/>
      <c r="K180" s="332">
        <f>SUM(K153:K179)</f>
        <v>2690301.5999999996</v>
      </c>
      <c r="L180" s="331"/>
      <c r="M180" s="332">
        <f>SUM(M153:M179)</f>
        <v>0</v>
      </c>
      <c r="N180" s="363"/>
    </row>
    <row r="181" spans="1:14" ht="32.25" customHeight="1">
      <c r="A181" s="506" t="s">
        <v>1026</v>
      </c>
      <c r="B181" s="506"/>
      <c r="C181" s="506"/>
      <c r="D181" s="341"/>
      <c r="E181" s="342"/>
      <c r="F181" s="340"/>
      <c r="G181" s="341"/>
      <c r="H181" s="342"/>
      <c r="I181" s="340"/>
      <c r="J181" s="339"/>
      <c r="K181" s="340"/>
      <c r="L181" s="341"/>
      <c r="M181" s="342"/>
      <c r="N181" s="343"/>
    </row>
    <row r="182" spans="1:14" ht="32.25" customHeight="1">
      <c r="A182" s="345">
        <v>1</v>
      </c>
      <c r="B182" s="343" t="s">
        <v>1027</v>
      </c>
      <c r="C182" s="343" t="s">
        <v>903</v>
      </c>
      <c r="D182" s="341">
        <v>18.4041</v>
      </c>
      <c r="E182" s="342">
        <v>230428</v>
      </c>
      <c r="F182" s="340">
        <f t="shared" ref="F182:F199" si="32">D182*E182</f>
        <v>4240819.9547999995</v>
      </c>
      <c r="G182" s="341">
        <v>18.4041</v>
      </c>
      <c r="H182" s="342">
        <v>230428</v>
      </c>
      <c r="I182" s="340">
        <f t="shared" ref="I182:I199" si="33">G182*H182</f>
        <v>4240819.9547999995</v>
      </c>
      <c r="J182" s="339">
        <f t="shared" ref="J182:J199" si="34">MAX(D182-G182,0)</f>
        <v>0</v>
      </c>
      <c r="K182" s="340">
        <f t="shared" ref="K182:K199" si="35">MAX(F182-I182,0)</f>
        <v>0</v>
      </c>
      <c r="L182" s="341">
        <f t="shared" ref="L182:L199" si="36">MAX(G182-D182,0)</f>
        <v>0</v>
      </c>
      <c r="M182" s="342">
        <f t="shared" ref="M182:M199" si="37">MAX(I182-F182,0)</f>
        <v>0</v>
      </c>
      <c r="N182" s="343"/>
    </row>
    <row r="183" spans="1:14" s="355" customFormat="1" ht="32.25" customHeight="1">
      <c r="A183" s="347">
        <v>2</v>
      </c>
      <c r="B183" s="354" t="s">
        <v>1028</v>
      </c>
      <c r="C183" s="354" t="s">
        <v>903</v>
      </c>
      <c r="D183" s="350">
        <v>1.3</v>
      </c>
      <c r="E183" s="351">
        <v>201625</v>
      </c>
      <c r="F183" s="352">
        <f t="shared" si="32"/>
        <v>262112.5</v>
      </c>
      <c r="G183" s="350">
        <v>19.448</v>
      </c>
      <c r="H183" s="351">
        <v>201625</v>
      </c>
      <c r="I183" s="352">
        <f t="shared" si="33"/>
        <v>3921203</v>
      </c>
      <c r="J183" s="353">
        <f t="shared" si="34"/>
        <v>0</v>
      </c>
      <c r="K183" s="352">
        <f t="shared" si="35"/>
        <v>0</v>
      </c>
      <c r="L183" s="350">
        <f t="shared" si="36"/>
        <v>18.148</v>
      </c>
      <c r="M183" s="351">
        <f t="shared" si="37"/>
        <v>3659090.5</v>
      </c>
      <c r="N183" s="354"/>
    </row>
    <row r="184" spans="1:14" s="355" customFormat="1" ht="32.25" customHeight="1">
      <c r="A184" s="347">
        <v>3</v>
      </c>
      <c r="B184" s="354" t="s">
        <v>1029</v>
      </c>
      <c r="C184" s="354" t="s">
        <v>903</v>
      </c>
      <c r="D184" s="350">
        <v>12.7026</v>
      </c>
      <c r="E184" s="351">
        <v>124076</v>
      </c>
      <c r="F184" s="352">
        <f t="shared" si="32"/>
        <v>1576087.7975999999</v>
      </c>
      <c r="G184" s="350">
        <v>18.751999999999999</v>
      </c>
      <c r="H184" s="351">
        <v>124076</v>
      </c>
      <c r="I184" s="352">
        <f t="shared" si="33"/>
        <v>2326673.1519999998</v>
      </c>
      <c r="J184" s="353">
        <f t="shared" si="34"/>
        <v>0</v>
      </c>
      <c r="K184" s="352">
        <f t="shared" si="35"/>
        <v>0</v>
      </c>
      <c r="L184" s="350">
        <f t="shared" si="36"/>
        <v>6.0493999999999986</v>
      </c>
      <c r="M184" s="351">
        <f t="shared" si="37"/>
        <v>750585.35439999984</v>
      </c>
      <c r="N184" s="354"/>
    </row>
    <row r="185" spans="1:14" ht="32.25" customHeight="1">
      <c r="A185" s="345">
        <v>4</v>
      </c>
      <c r="B185" s="343" t="s">
        <v>941</v>
      </c>
      <c r="C185" s="343"/>
      <c r="D185" s="341">
        <v>8.8000000000000007</v>
      </c>
      <c r="E185" s="342">
        <v>1206690</v>
      </c>
      <c r="F185" s="340">
        <f t="shared" si="32"/>
        <v>10618872</v>
      </c>
      <c r="G185" s="341">
        <v>8.8000000000000007</v>
      </c>
      <c r="H185" s="342">
        <v>1206690</v>
      </c>
      <c r="I185" s="340">
        <f t="shared" si="33"/>
        <v>10618872</v>
      </c>
      <c r="J185" s="339">
        <f t="shared" si="34"/>
        <v>0</v>
      </c>
      <c r="K185" s="340">
        <f t="shared" si="35"/>
        <v>0</v>
      </c>
      <c r="L185" s="341">
        <f t="shared" si="36"/>
        <v>0</v>
      </c>
      <c r="M185" s="342">
        <f t="shared" si="37"/>
        <v>0</v>
      </c>
      <c r="N185" s="343"/>
    </row>
    <row r="186" spans="1:14" s="355" customFormat="1" ht="32.25" customHeight="1">
      <c r="A186" s="347">
        <v>5</v>
      </c>
      <c r="B186" s="354" t="s">
        <v>1030</v>
      </c>
      <c r="C186" s="354" t="s">
        <v>903</v>
      </c>
      <c r="D186" s="350">
        <v>1.089</v>
      </c>
      <c r="E186" s="351">
        <v>1283592</v>
      </c>
      <c r="F186" s="352">
        <f t="shared" si="32"/>
        <v>1397831.6879999998</v>
      </c>
      <c r="G186" s="350">
        <v>8.5690000000000008</v>
      </c>
      <c r="H186" s="351">
        <v>1283592</v>
      </c>
      <c r="I186" s="352">
        <f t="shared" si="33"/>
        <v>10999099.848000001</v>
      </c>
      <c r="J186" s="353">
        <f t="shared" si="34"/>
        <v>0</v>
      </c>
      <c r="K186" s="352">
        <f t="shared" si="35"/>
        <v>0</v>
      </c>
      <c r="L186" s="350">
        <f t="shared" si="36"/>
        <v>7.48</v>
      </c>
      <c r="M186" s="351">
        <f t="shared" si="37"/>
        <v>9601268.160000002</v>
      </c>
      <c r="N186" s="354"/>
    </row>
    <row r="187" spans="1:14" ht="32.25" customHeight="1">
      <c r="A187" s="345">
        <v>6</v>
      </c>
      <c r="B187" s="343" t="s">
        <v>1031</v>
      </c>
      <c r="C187" s="343" t="s">
        <v>903</v>
      </c>
      <c r="D187" s="341">
        <v>5.6870000000000003</v>
      </c>
      <c r="E187" s="342">
        <v>1684611</v>
      </c>
      <c r="F187" s="340">
        <f t="shared" si="32"/>
        <v>9580382.7570000011</v>
      </c>
      <c r="G187" s="341">
        <v>5.6870000000000003</v>
      </c>
      <c r="H187" s="342">
        <v>1684611</v>
      </c>
      <c r="I187" s="340">
        <f t="shared" si="33"/>
        <v>9580382.7570000011</v>
      </c>
      <c r="J187" s="339">
        <f t="shared" si="34"/>
        <v>0</v>
      </c>
      <c r="K187" s="340">
        <f t="shared" si="35"/>
        <v>0</v>
      </c>
      <c r="L187" s="341">
        <f t="shared" si="36"/>
        <v>0</v>
      </c>
      <c r="M187" s="342">
        <f t="shared" si="37"/>
        <v>0</v>
      </c>
      <c r="N187" s="343"/>
    </row>
    <row r="188" spans="1:14" s="355" customFormat="1" ht="32.25" customHeight="1">
      <c r="A188" s="347">
        <v>7</v>
      </c>
      <c r="B188" s="354" t="s">
        <v>1002</v>
      </c>
      <c r="C188" s="354" t="s">
        <v>903</v>
      </c>
      <c r="D188" s="350">
        <v>3</v>
      </c>
      <c r="E188" s="351">
        <v>2216701</v>
      </c>
      <c r="F188" s="352">
        <f t="shared" si="32"/>
        <v>6650103</v>
      </c>
      <c r="G188" s="350">
        <v>9.7200000000000006</v>
      </c>
      <c r="H188" s="351">
        <v>2216701</v>
      </c>
      <c r="I188" s="352">
        <f t="shared" si="33"/>
        <v>21546333.720000003</v>
      </c>
      <c r="J188" s="353">
        <f t="shared" si="34"/>
        <v>0</v>
      </c>
      <c r="K188" s="352">
        <f t="shared" si="35"/>
        <v>0</v>
      </c>
      <c r="L188" s="350">
        <f t="shared" si="36"/>
        <v>6.7200000000000006</v>
      </c>
      <c r="M188" s="351">
        <f t="shared" si="37"/>
        <v>14896230.720000003</v>
      </c>
      <c r="N188" s="354"/>
    </row>
    <row r="189" spans="1:14" s="355" customFormat="1" ht="32.25" customHeight="1">
      <c r="A189" s="347">
        <v>8</v>
      </c>
      <c r="B189" s="354" t="s">
        <v>954</v>
      </c>
      <c r="C189" s="354" t="s">
        <v>903</v>
      </c>
      <c r="D189" s="350">
        <v>39.159999999999997</v>
      </c>
      <c r="E189" s="351">
        <v>1676247</v>
      </c>
      <c r="F189" s="352">
        <f t="shared" si="32"/>
        <v>65641832.519999996</v>
      </c>
      <c r="G189" s="350">
        <v>30</v>
      </c>
      <c r="H189" s="351">
        <v>1676247</v>
      </c>
      <c r="I189" s="352">
        <f t="shared" si="33"/>
        <v>50287410</v>
      </c>
      <c r="J189" s="353">
        <f t="shared" si="34"/>
        <v>9.1599999999999966</v>
      </c>
      <c r="K189" s="352">
        <f t="shared" si="35"/>
        <v>15354422.519999996</v>
      </c>
      <c r="L189" s="350">
        <f t="shared" si="36"/>
        <v>0</v>
      </c>
      <c r="M189" s="351">
        <f t="shared" si="37"/>
        <v>0</v>
      </c>
      <c r="N189" s="354"/>
    </row>
    <row r="190" spans="1:14" s="355" customFormat="1" ht="32.25" customHeight="1">
      <c r="A190" s="347">
        <v>9</v>
      </c>
      <c r="B190" s="354" t="s">
        <v>992</v>
      </c>
      <c r="C190" s="354" t="s">
        <v>903</v>
      </c>
      <c r="D190" s="350">
        <v>90</v>
      </c>
      <c r="E190" s="351">
        <v>195237</v>
      </c>
      <c r="F190" s="352">
        <f t="shared" si="32"/>
        <v>17571330</v>
      </c>
      <c r="G190" s="350">
        <v>183</v>
      </c>
      <c r="H190" s="351">
        <v>118811</v>
      </c>
      <c r="I190" s="352">
        <f t="shared" si="33"/>
        <v>21742413</v>
      </c>
      <c r="J190" s="353">
        <f t="shared" si="34"/>
        <v>0</v>
      </c>
      <c r="K190" s="352">
        <f t="shared" si="35"/>
        <v>0</v>
      </c>
      <c r="L190" s="350">
        <f t="shared" si="36"/>
        <v>93</v>
      </c>
      <c r="M190" s="351">
        <f t="shared" si="37"/>
        <v>4171083</v>
      </c>
      <c r="N190" s="354"/>
    </row>
    <row r="191" spans="1:14" s="355" customFormat="1" ht="32.25" customHeight="1">
      <c r="A191" s="347">
        <v>10</v>
      </c>
      <c r="B191" s="354" t="s">
        <v>1032</v>
      </c>
      <c r="C191" s="354" t="s">
        <v>903</v>
      </c>
      <c r="D191" s="350">
        <v>2.88</v>
      </c>
      <c r="E191" s="351">
        <v>2142036</v>
      </c>
      <c r="F191" s="352">
        <f t="shared" si="32"/>
        <v>6169063.6799999997</v>
      </c>
      <c r="G191" s="350">
        <v>0</v>
      </c>
      <c r="H191" s="351">
        <v>2142036</v>
      </c>
      <c r="I191" s="352">
        <f t="shared" si="33"/>
        <v>0</v>
      </c>
      <c r="J191" s="353">
        <f t="shared" si="34"/>
        <v>2.88</v>
      </c>
      <c r="K191" s="352">
        <f t="shared" si="35"/>
        <v>6169063.6799999997</v>
      </c>
      <c r="L191" s="350">
        <f t="shared" si="36"/>
        <v>0</v>
      </c>
      <c r="M191" s="351">
        <f t="shared" si="37"/>
        <v>0</v>
      </c>
      <c r="N191" s="354"/>
    </row>
    <row r="192" spans="1:14" s="355" customFormat="1" ht="32.25" customHeight="1">
      <c r="A192" s="347">
        <v>11</v>
      </c>
      <c r="B192" s="354" t="s">
        <v>932</v>
      </c>
      <c r="C192" s="354" t="s">
        <v>933</v>
      </c>
      <c r="D192" s="350">
        <v>28.8</v>
      </c>
      <c r="E192" s="351">
        <v>81113</v>
      </c>
      <c r="F192" s="352">
        <f t="shared" si="32"/>
        <v>2336054.4</v>
      </c>
      <c r="G192" s="350">
        <v>4.4880000000000004</v>
      </c>
      <c r="H192" s="351">
        <v>81113</v>
      </c>
      <c r="I192" s="352">
        <f t="shared" si="33"/>
        <v>364035.14400000003</v>
      </c>
      <c r="J192" s="353">
        <f t="shared" si="34"/>
        <v>24.312000000000001</v>
      </c>
      <c r="K192" s="352">
        <f t="shared" si="35"/>
        <v>1972019.2559999998</v>
      </c>
      <c r="L192" s="350">
        <f t="shared" si="36"/>
        <v>0</v>
      </c>
      <c r="M192" s="351">
        <f t="shared" si="37"/>
        <v>0</v>
      </c>
      <c r="N192" s="354"/>
    </row>
    <row r="193" spans="1:14" ht="32.25" customHeight="1">
      <c r="A193" s="345">
        <v>12</v>
      </c>
      <c r="B193" s="343" t="s">
        <v>947</v>
      </c>
      <c r="C193" s="343" t="s">
        <v>917</v>
      </c>
      <c r="D193" s="341">
        <v>0.35970000000000002</v>
      </c>
      <c r="E193" s="342">
        <v>16065408</v>
      </c>
      <c r="F193" s="340">
        <f t="shared" si="32"/>
        <v>5778727.2576000001</v>
      </c>
      <c r="G193" s="341">
        <v>0.35970000000000002</v>
      </c>
      <c r="H193" s="342">
        <v>16065408</v>
      </c>
      <c r="I193" s="340">
        <f t="shared" si="33"/>
        <v>5778727.2576000001</v>
      </c>
      <c r="J193" s="339">
        <f t="shared" si="34"/>
        <v>0</v>
      </c>
      <c r="K193" s="340">
        <f t="shared" si="35"/>
        <v>0</v>
      </c>
      <c r="L193" s="341">
        <f t="shared" si="36"/>
        <v>0</v>
      </c>
      <c r="M193" s="342">
        <f t="shared" si="37"/>
        <v>0</v>
      </c>
      <c r="N193" s="343"/>
    </row>
    <row r="194" spans="1:14" ht="32.25" customHeight="1">
      <c r="A194" s="345">
        <v>13</v>
      </c>
      <c r="B194" s="343" t="s">
        <v>1004</v>
      </c>
      <c r="C194" s="343" t="s">
        <v>917</v>
      </c>
      <c r="D194" s="341">
        <v>0.3</v>
      </c>
      <c r="E194" s="342">
        <v>21613723</v>
      </c>
      <c r="F194" s="340">
        <f t="shared" si="32"/>
        <v>6484116.8999999994</v>
      </c>
      <c r="G194" s="341">
        <v>0.3</v>
      </c>
      <c r="H194" s="342">
        <v>21613723</v>
      </c>
      <c r="I194" s="340">
        <f t="shared" si="33"/>
        <v>6484116.8999999994</v>
      </c>
      <c r="J194" s="339">
        <f t="shared" si="34"/>
        <v>0</v>
      </c>
      <c r="K194" s="340">
        <f t="shared" si="35"/>
        <v>0</v>
      </c>
      <c r="L194" s="341">
        <f t="shared" si="36"/>
        <v>0</v>
      </c>
      <c r="M194" s="342">
        <f t="shared" si="37"/>
        <v>0</v>
      </c>
      <c r="N194" s="343"/>
    </row>
    <row r="195" spans="1:14" s="355" customFormat="1" ht="32.25" customHeight="1">
      <c r="A195" s="347">
        <v>14</v>
      </c>
      <c r="B195" s="354" t="s">
        <v>1033</v>
      </c>
      <c r="C195" s="354" t="s">
        <v>922</v>
      </c>
      <c r="D195" s="350">
        <v>0.25159999999999999</v>
      </c>
      <c r="E195" s="351">
        <v>21940712</v>
      </c>
      <c r="F195" s="352">
        <f t="shared" si="32"/>
        <v>5520283.1392000001</v>
      </c>
      <c r="G195" s="350">
        <v>0.50319999999999998</v>
      </c>
      <c r="H195" s="351">
        <v>21940712</v>
      </c>
      <c r="I195" s="352">
        <f t="shared" si="33"/>
        <v>11040566.2784</v>
      </c>
      <c r="J195" s="353">
        <f t="shared" si="34"/>
        <v>0</v>
      </c>
      <c r="K195" s="352">
        <f t="shared" si="35"/>
        <v>0</v>
      </c>
      <c r="L195" s="350">
        <f t="shared" si="36"/>
        <v>0.25159999999999999</v>
      </c>
      <c r="M195" s="351">
        <f t="shared" si="37"/>
        <v>5520283.1392000001</v>
      </c>
      <c r="N195" s="354"/>
    </row>
    <row r="196" spans="1:14" ht="32.25" customHeight="1">
      <c r="A196" s="345">
        <v>15</v>
      </c>
      <c r="B196" s="343" t="s">
        <v>1034</v>
      </c>
      <c r="C196" s="343" t="s">
        <v>922</v>
      </c>
      <c r="D196" s="341">
        <v>0.70209999999999995</v>
      </c>
      <c r="E196" s="342">
        <v>23112893</v>
      </c>
      <c r="F196" s="340">
        <f t="shared" si="32"/>
        <v>16227562.175299998</v>
      </c>
      <c r="G196" s="341">
        <v>0.70209999999999995</v>
      </c>
      <c r="H196" s="342">
        <v>23112893</v>
      </c>
      <c r="I196" s="340">
        <f t="shared" si="33"/>
        <v>16227562.175299998</v>
      </c>
      <c r="J196" s="339">
        <f t="shared" si="34"/>
        <v>0</v>
      </c>
      <c r="K196" s="340">
        <f t="shared" si="35"/>
        <v>0</v>
      </c>
      <c r="L196" s="341">
        <f t="shared" si="36"/>
        <v>0</v>
      </c>
      <c r="M196" s="342">
        <f t="shared" si="37"/>
        <v>0</v>
      </c>
      <c r="N196" s="343"/>
    </row>
    <row r="197" spans="1:14" s="355" customFormat="1" ht="32.25" customHeight="1">
      <c r="A197" s="347">
        <v>16</v>
      </c>
      <c r="B197" s="354" t="s">
        <v>927</v>
      </c>
      <c r="C197" s="354" t="s">
        <v>917</v>
      </c>
      <c r="D197" s="350">
        <v>3.5</v>
      </c>
      <c r="E197" s="351">
        <v>682496</v>
      </c>
      <c r="F197" s="352">
        <f t="shared" si="32"/>
        <v>2388736</v>
      </c>
      <c r="G197" s="350">
        <v>3</v>
      </c>
      <c r="H197" s="351">
        <v>682496</v>
      </c>
      <c r="I197" s="352">
        <f t="shared" si="33"/>
        <v>2047488</v>
      </c>
      <c r="J197" s="353">
        <f t="shared" si="34"/>
        <v>0.5</v>
      </c>
      <c r="K197" s="352">
        <f t="shared" si="35"/>
        <v>341248</v>
      </c>
      <c r="L197" s="350">
        <f t="shared" si="36"/>
        <v>0</v>
      </c>
      <c r="M197" s="351">
        <f t="shared" si="37"/>
        <v>0</v>
      </c>
      <c r="N197" s="354"/>
    </row>
    <row r="198" spans="1:14" s="355" customFormat="1" ht="32.25" customHeight="1">
      <c r="A198" s="347">
        <v>17</v>
      </c>
      <c r="B198" s="354" t="s">
        <v>1035</v>
      </c>
      <c r="C198" s="354" t="s">
        <v>922</v>
      </c>
      <c r="D198" s="350"/>
      <c r="E198" s="351"/>
      <c r="F198" s="352">
        <f t="shared" si="32"/>
        <v>0</v>
      </c>
      <c r="G198" s="350">
        <v>0.74119999999999997</v>
      </c>
      <c r="H198" s="351">
        <v>22329835</v>
      </c>
      <c r="I198" s="352">
        <f t="shared" si="33"/>
        <v>16550873.702</v>
      </c>
      <c r="J198" s="353">
        <f t="shared" si="34"/>
        <v>0</v>
      </c>
      <c r="K198" s="352">
        <f t="shared" si="35"/>
        <v>0</v>
      </c>
      <c r="L198" s="350">
        <f t="shared" si="36"/>
        <v>0.74119999999999997</v>
      </c>
      <c r="M198" s="351">
        <f t="shared" si="37"/>
        <v>16550873.702</v>
      </c>
      <c r="N198" s="354"/>
    </row>
    <row r="199" spans="1:14" s="355" customFormat="1" ht="32.25" customHeight="1">
      <c r="A199" s="347">
        <v>18</v>
      </c>
      <c r="B199" s="354" t="s">
        <v>961</v>
      </c>
      <c r="C199" s="354"/>
      <c r="D199" s="350"/>
      <c r="E199" s="351"/>
      <c r="F199" s="352">
        <f t="shared" si="32"/>
        <v>0</v>
      </c>
      <c r="G199" s="350">
        <v>4.24</v>
      </c>
      <c r="H199" s="351">
        <v>1537033</v>
      </c>
      <c r="I199" s="352">
        <f t="shared" si="33"/>
        <v>6517019.9199999999</v>
      </c>
      <c r="J199" s="353">
        <f t="shared" si="34"/>
        <v>0</v>
      </c>
      <c r="K199" s="352">
        <f t="shared" si="35"/>
        <v>0</v>
      </c>
      <c r="L199" s="350">
        <f t="shared" si="36"/>
        <v>4.24</v>
      </c>
      <c r="M199" s="351">
        <f t="shared" si="37"/>
        <v>6517019.9199999999</v>
      </c>
      <c r="N199" s="354"/>
    </row>
    <row r="200" spans="1:14" s="330" customFormat="1" ht="32.25" customHeight="1">
      <c r="A200" s="506" t="s">
        <v>94</v>
      </c>
      <c r="B200" s="506"/>
      <c r="C200" s="506"/>
      <c r="D200" s="331"/>
      <c r="E200" s="332"/>
      <c r="F200" s="332">
        <f>SUM(F181:F199)</f>
        <v>162443915.76949999</v>
      </c>
      <c r="G200" s="331"/>
      <c r="H200" s="332"/>
      <c r="I200" s="332">
        <f>SUM(I181:I199)</f>
        <v>200273596.8091</v>
      </c>
      <c r="J200" s="331"/>
      <c r="K200" s="332">
        <f>SUM(K181:K199)</f>
        <v>23836753.455999997</v>
      </c>
      <c r="L200" s="331"/>
      <c r="M200" s="332">
        <f>SUM(M181:M199)</f>
        <v>61666434.495600007</v>
      </c>
      <c r="N200" s="363"/>
    </row>
    <row r="201" spans="1:14" ht="32.25" customHeight="1">
      <c r="A201" s="506" t="s">
        <v>1036</v>
      </c>
      <c r="B201" s="506"/>
      <c r="C201" s="506"/>
      <c r="D201" s="341"/>
      <c r="E201" s="342"/>
      <c r="F201" s="340"/>
      <c r="G201" s="341"/>
      <c r="H201" s="342"/>
      <c r="I201" s="340"/>
      <c r="J201" s="339"/>
      <c r="K201" s="340"/>
      <c r="L201" s="341"/>
      <c r="M201" s="342"/>
      <c r="N201" s="343"/>
    </row>
    <row r="202" spans="1:14" s="355" customFormat="1" ht="32.25" customHeight="1">
      <c r="A202" s="347">
        <v>1</v>
      </c>
      <c r="B202" s="354" t="s">
        <v>902</v>
      </c>
      <c r="C202" s="354" t="s">
        <v>903</v>
      </c>
      <c r="D202" s="350">
        <v>9.8552999999999997</v>
      </c>
      <c r="E202" s="351">
        <v>158277</v>
      </c>
      <c r="F202" s="352">
        <f t="shared" ref="F202:F213" si="38">D202*E202</f>
        <v>1559867.3181</v>
      </c>
      <c r="G202" s="350">
        <v>15.069599999999999</v>
      </c>
      <c r="H202" s="351">
        <v>158277</v>
      </c>
      <c r="I202" s="352">
        <f t="shared" ref="I202:I212" si="39">G202*H202</f>
        <v>2385171.0792</v>
      </c>
      <c r="J202" s="353">
        <f t="shared" ref="J202:J213" si="40">MAX(D202-G202,0)</f>
        <v>0</v>
      </c>
      <c r="K202" s="352">
        <f t="shared" ref="K202:K213" si="41">MAX(F202-I202,0)</f>
        <v>0</v>
      </c>
      <c r="L202" s="350">
        <f t="shared" ref="L202:L213" si="42">MAX(G202-D202,0)</f>
        <v>5.2142999999999997</v>
      </c>
      <c r="M202" s="351">
        <f t="shared" ref="M202:M213" si="43">MAX(I202-F202,0)</f>
        <v>825303.7611</v>
      </c>
      <c r="N202" s="354"/>
    </row>
    <row r="203" spans="1:14" s="355" customFormat="1" ht="32.25" customHeight="1">
      <c r="A203" s="347">
        <v>2</v>
      </c>
      <c r="B203" s="354" t="s">
        <v>1037</v>
      </c>
      <c r="C203" s="354" t="s">
        <v>942</v>
      </c>
      <c r="D203" s="350"/>
      <c r="E203" s="351"/>
      <c r="F203" s="352">
        <f t="shared" si="38"/>
        <v>0</v>
      </c>
      <c r="G203" s="350">
        <v>5.7750000000000004</v>
      </c>
      <c r="H203" s="351">
        <v>1206690</v>
      </c>
      <c r="I203" s="352">
        <f t="shared" si="39"/>
        <v>6968634.75</v>
      </c>
      <c r="J203" s="353">
        <f t="shared" si="40"/>
        <v>0</v>
      </c>
      <c r="K203" s="352">
        <f t="shared" si="41"/>
        <v>0</v>
      </c>
      <c r="L203" s="350">
        <f t="shared" si="42"/>
        <v>5.7750000000000004</v>
      </c>
      <c r="M203" s="351">
        <f t="shared" si="43"/>
        <v>6968634.75</v>
      </c>
      <c r="N203" s="354"/>
    </row>
    <row r="204" spans="1:14" s="355" customFormat="1" ht="32.25" customHeight="1">
      <c r="A204" s="347">
        <v>3</v>
      </c>
      <c r="B204" s="354" t="s">
        <v>1038</v>
      </c>
      <c r="C204" s="354" t="s">
        <v>903</v>
      </c>
      <c r="D204" s="350">
        <v>6.5707000000000004</v>
      </c>
      <c r="E204" s="351">
        <v>124836</v>
      </c>
      <c r="F204" s="352">
        <f t="shared" si="38"/>
        <v>820259.90520000004</v>
      </c>
      <c r="G204" s="350">
        <v>10.0464</v>
      </c>
      <c r="H204" s="351">
        <v>124836</v>
      </c>
      <c r="I204" s="352">
        <f t="shared" si="39"/>
        <v>1254152.3903999999</v>
      </c>
      <c r="J204" s="353">
        <f t="shared" si="40"/>
        <v>0</v>
      </c>
      <c r="K204" s="352">
        <f t="shared" si="41"/>
        <v>0</v>
      </c>
      <c r="L204" s="350">
        <f t="shared" si="42"/>
        <v>3.4756999999999998</v>
      </c>
      <c r="M204" s="351">
        <f t="shared" si="43"/>
        <v>433892.48519999988</v>
      </c>
      <c r="N204" s="354"/>
    </row>
    <row r="205" spans="1:14" s="355" customFormat="1" ht="32.25" customHeight="1">
      <c r="A205" s="347">
        <v>4</v>
      </c>
      <c r="B205" s="354" t="s">
        <v>974</v>
      </c>
      <c r="C205" s="354" t="s">
        <v>903</v>
      </c>
      <c r="D205" s="350">
        <v>0.47</v>
      </c>
      <c r="E205" s="351">
        <v>1285523</v>
      </c>
      <c r="F205" s="352">
        <f t="shared" si="38"/>
        <v>604195.80999999994</v>
      </c>
      <c r="G205" s="350">
        <v>0.55200000000000005</v>
      </c>
      <c r="H205" s="351">
        <v>1285523</v>
      </c>
      <c r="I205" s="352">
        <f t="shared" si="39"/>
        <v>709608.69600000011</v>
      </c>
      <c r="J205" s="353">
        <f t="shared" si="40"/>
        <v>0</v>
      </c>
      <c r="K205" s="352">
        <f t="shared" si="41"/>
        <v>0</v>
      </c>
      <c r="L205" s="350">
        <f t="shared" si="42"/>
        <v>8.2000000000000073E-2</v>
      </c>
      <c r="M205" s="351">
        <f t="shared" si="43"/>
        <v>105412.88600000017</v>
      </c>
      <c r="N205" s="354"/>
    </row>
    <row r="206" spans="1:14" s="355" customFormat="1" ht="32.25" customHeight="1">
      <c r="A206" s="347">
        <v>5</v>
      </c>
      <c r="B206" s="354" t="s">
        <v>1039</v>
      </c>
      <c r="C206" s="354" t="s">
        <v>903</v>
      </c>
      <c r="D206" s="350">
        <v>0.621</v>
      </c>
      <c r="E206" s="351">
        <v>1798035</v>
      </c>
      <c r="F206" s="352">
        <f t="shared" si="38"/>
        <v>1116579.7350000001</v>
      </c>
      <c r="G206" s="350">
        <v>0.55200000000000005</v>
      </c>
      <c r="H206" s="351">
        <v>1798035</v>
      </c>
      <c r="I206" s="352">
        <f t="shared" si="39"/>
        <v>992515.32000000007</v>
      </c>
      <c r="J206" s="353">
        <f t="shared" si="40"/>
        <v>6.899999999999995E-2</v>
      </c>
      <c r="K206" s="352">
        <f t="shared" si="41"/>
        <v>124064.41500000004</v>
      </c>
      <c r="L206" s="350">
        <f t="shared" si="42"/>
        <v>0</v>
      </c>
      <c r="M206" s="351">
        <f t="shared" si="43"/>
        <v>0</v>
      </c>
      <c r="N206" s="354"/>
    </row>
    <row r="207" spans="1:14" s="355" customFormat="1" ht="32.25" customHeight="1">
      <c r="A207" s="347">
        <v>6</v>
      </c>
      <c r="B207" s="354" t="s">
        <v>1040</v>
      </c>
      <c r="C207" s="354" t="s">
        <v>903</v>
      </c>
      <c r="D207" s="350">
        <v>0.29970000000000002</v>
      </c>
      <c r="E207" s="351">
        <v>2267107</v>
      </c>
      <c r="F207" s="352">
        <f t="shared" si="38"/>
        <v>679451.96790000005</v>
      </c>
      <c r="G207" s="350">
        <v>0.36959999999999998</v>
      </c>
      <c r="H207" s="351">
        <v>2267107</v>
      </c>
      <c r="I207" s="352">
        <f t="shared" si="39"/>
        <v>837922.74719999998</v>
      </c>
      <c r="J207" s="353">
        <f t="shared" si="40"/>
        <v>0</v>
      </c>
      <c r="K207" s="352">
        <f t="shared" si="41"/>
        <v>0</v>
      </c>
      <c r="L207" s="350">
        <f t="shared" si="42"/>
        <v>6.9899999999999962E-2</v>
      </c>
      <c r="M207" s="351">
        <f t="shared" si="43"/>
        <v>158470.77929999994</v>
      </c>
      <c r="N207" s="354"/>
    </row>
    <row r="208" spans="1:14" s="355" customFormat="1" ht="32.25" customHeight="1">
      <c r="A208" s="347">
        <v>7</v>
      </c>
      <c r="B208" s="354" t="s">
        <v>1041</v>
      </c>
      <c r="C208" s="354" t="s">
        <v>922</v>
      </c>
      <c r="D208" s="350">
        <v>2.4500000000000001E-2</v>
      </c>
      <c r="E208" s="351">
        <v>24470797</v>
      </c>
      <c r="F208" s="352">
        <f t="shared" si="38"/>
        <v>599534.52650000004</v>
      </c>
      <c r="G208" s="350">
        <v>5.4899999999999997E-2</v>
      </c>
      <c r="H208" s="351">
        <v>24470797</v>
      </c>
      <c r="I208" s="352">
        <f t="shared" si="39"/>
        <v>1343446.7552999998</v>
      </c>
      <c r="J208" s="353">
        <f t="shared" si="40"/>
        <v>0</v>
      </c>
      <c r="K208" s="352">
        <f t="shared" si="41"/>
        <v>0</v>
      </c>
      <c r="L208" s="350">
        <f t="shared" si="42"/>
        <v>3.0399999999999996E-2</v>
      </c>
      <c r="M208" s="351">
        <f t="shared" si="43"/>
        <v>743912.22879999981</v>
      </c>
      <c r="N208" s="354"/>
    </row>
    <row r="209" spans="1:14" s="355" customFormat="1" ht="32.25" customHeight="1">
      <c r="A209" s="347">
        <v>8</v>
      </c>
      <c r="B209" s="354" t="s">
        <v>1042</v>
      </c>
      <c r="C209" s="354" t="s">
        <v>997</v>
      </c>
      <c r="D209" s="350">
        <v>4</v>
      </c>
      <c r="E209" s="351">
        <v>69401</v>
      </c>
      <c r="F209" s="352">
        <f t="shared" si="38"/>
        <v>277604</v>
      </c>
      <c r="G209" s="350">
        <v>3</v>
      </c>
      <c r="H209" s="351">
        <v>69401</v>
      </c>
      <c r="I209" s="352">
        <f t="shared" si="39"/>
        <v>208203</v>
      </c>
      <c r="J209" s="353">
        <f t="shared" si="40"/>
        <v>1</v>
      </c>
      <c r="K209" s="352">
        <f t="shared" si="41"/>
        <v>69401</v>
      </c>
      <c r="L209" s="350">
        <f t="shared" si="42"/>
        <v>0</v>
      </c>
      <c r="M209" s="351">
        <f t="shared" si="43"/>
        <v>0</v>
      </c>
      <c r="N209" s="354"/>
    </row>
    <row r="210" spans="1:14" s="355" customFormat="1" ht="32.25" customHeight="1">
      <c r="A210" s="347">
        <v>9</v>
      </c>
      <c r="B210" s="354" t="s">
        <v>929</v>
      </c>
      <c r="C210" s="354" t="s">
        <v>903</v>
      </c>
      <c r="D210" s="350">
        <v>2.38</v>
      </c>
      <c r="E210" s="351">
        <v>2604470</v>
      </c>
      <c r="F210" s="352">
        <f t="shared" si="38"/>
        <v>6198638.5999999996</v>
      </c>
      <c r="G210" s="350">
        <v>3.2759999999999998</v>
      </c>
      <c r="H210" s="351">
        <v>2604470</v>
      </c>
      <c r="I210" s="352">
        <f t="shared" si="39"/>
        <v>8532243.7199999988</v>
      </c>
      <c r="J210" s="353">
        <f t="shared" si="40"/>
        <v>0</v>
      </c>
      <c r="K210" s="352">
        <f t="shared" si="41"/>
        <v>0</v>
      </c>
      <c r="L210" s="350">
        <f t="shared" si="42"/>
        <v>0.89599999999999991</v>
      </c>
      <c r="M210" s="351">
        <f t="shared" si="43"/>
        <v>2333605.1199999992</v>
      </c>
      <c r="N210" s="354"/>
    </row>
    <row r="211" spans="1:14" s="355" customFormat="1" ht="32.25" customHeight="1">
      <c r="A211" s="347">
        <v>10</v>
      </c>
      <c r="B211" s="354" t="s">
        <v>932</v>
      </c>
      <c r="C211" s="354" t="s">
        <v>933</v>
      </c>
      <c r="D211" s="350">
        <v>18.100000000000001</v>
      </c>
      <c r="E211" s="351">
        <v>81524</v>
      </c>
      <c r="F211" s="352">
        <f t="shared" si="38"/>
        <v>1475584.4000000001</v>
      </c>
      <c r="G211" s="350">
        <v>17.472000000000001</v>
      </c>
      <c r="H211" s="351">
        <v>81524</v>
      </c>
      <c r="I211" s="352">
        <f t="shared" si="39"/>
        <v>1424387.3280000002</v>
      </c>
      <c r="J211" s="353">
        <f t="shared" si="40"/>
        <v>0.62800000000000011</v>
      </c>
      <c r="K211" s="352">
        <f t="shared" si="41"/>
        <v>51197.071999999927</v>
      </c>
      <c r="L211" s="350">
        <f t="shared" si="42"/>
        <v>0</v>
      </c>
      <c r="M211" s="351">
        <f t="shared" si="43"/>
        <v>0</v>
      </c>
      <c r="N211" s="354"/>
    </row>
    <row r="212" spans="1:14" s="355" customFormat="1" ht="32.25" customHeight="1">
      <c r="A212" s="347">
        <v>11</v>
      </c>
      <c r="B212" s="354" t="s">
        <v>1043</v>
      </c>
      <c r="C212" s="354" t="s">
        <v>933</v>
      </c>
      <c r="D212" s="350">
        <v>14.09</v>
      </c>
      <c r="E212" s="351">
        <v>61795</v>
      </c>
      <c r="F212" s="352">
        <f t="shared" si="38"/>
        <v>870691.55</v>
      </c>
      <c r="G212" s="350">
        <v>2.82</v>
      </c>
      <c r="H212" s="351">
        <v>61793</v>
      </c>
      <c r="I212" s="352">
        <f t="shared" si="39"/>
        <v>174256.25999999998</v>
      </c>
      <c r="J212" s="353">
        <f t="shared" si="40"/>
        <v>11.27</v>
      </c>
      <c r="K212" s="352">
        <f t="shared" si="41"/>
        <v>696435.29</v>
      </c>
      <c r="L212" s="350">
        <f t="shared" si="42"/>
        <v>0</v>
      </c>
      <c r="M212" s="351">
        <f t="shared" si="43"/>
        <v>0</v>
      </c>
      <c r="N212" s="354"/>
    </row>
    <row r="213" spans="1:14" s="355" customFormat="1" ht="32.25" customHeight="1">
      <c r="A213" s="347">
        <v>12</v>
      </c>
      <c r="B213" s="369" t="s">
        <v>1044</v>
      </c>
      <c r="C213" s="369" t="s">
        <v>903</v>
      </c>
      <c r="D213" s="362">
        <v>8.0799999999999997E-2</v>
      </c>
      <c r="E213" s="361">
        <v>1535399</v>
      </c>
      <c r="F213" s="361">
        <f t="shared" si="38"/>
        <v>124060.2392</v>
      </c>
      <c r="G213" s="362"/>
      <c r="H213" s="361"/>
      <c r="I213" s="361"/>
      <c r="J213" s="353">
        <f t="shared" si="40"/>
        <v>8.0799999999999997E-2</v>
      </c>
      <c r="K213" s="352">
        <f t="shared" si="41"/>
        <v>124060.2392</v>
      </c>
      <c r="L213" s="350">
        <f t="shared" si="42"/>
        <v>0</v>
      </c>
      <c r="M213" s="351">
        <f t="shared" si="43"/>
        <v>0</v>
      </c>
      <c r="N213" s="354"/>
    </row>
    <row r="214" spans="1:14" s="330" customFormat="1" ht="32.25" customHeight="1">
      <c r="A214" s="506" t="s">
        <v>94</v>
      </c>
      <c r="B214" s="506"/>
      <c r="C214" s="506"/>
      <c r="D214" s="331"/>
      <c r="E214" s="332"/>
      <c r="F214" s="332">
        <f>SUM(F201:F213)</f>
        <v>14326468.051900001</v>
      </c>
      <c r="G214" s="331"/>
      <c r="H214" s="332"/>
      <c r="I214" s="332">
        <f>SUM(I201:I213)</f>
        <v>24830542.046100002</v>
      </c>
      <c r="J214" s="331"/>
      <c r="K214" s="332">
        <f>SUM(K201:K213)</f>
        <v>1065158.0162</v>
      </c>
      <c r="L214" s="331"/>
      <c r="M214" s="332">
        <f>SUM(M201:M213)</f>
        <v>11569232.010399999</v>
      </c>
      <c r="N214" s="363"/>
    </row>
    <row r="215" spans="1:14" s="330" customFormat="1" ht="32.25" customHeight="1">
      <c r="A215" s="516" t="s">
        <v>1045</v>
      </c>
      <c r="B215" s="516"/>
      <c r="C215" s="516"/>
      <c r="D215" s="333"/>
      <c r="E215" s="334"/>
      <c r="F215" s="334"/>
      <c r="G215" s="333"/>
      <c r="H215" s="334"/>
      <c r="I215" s="334">
        <v>32901264</v>
      </c>
      <c r="J215" s="333">
        <f t="shared" ref="J215:J218" si="44">MAX(D215-G215,0)</f>
        <v>0</v>
      </c>
      <c r="K215" s="334">
        <f t="shared" ref="K215:K220" si="45">MAX(F215-I215,0)</f>
        <v>0</v>
      </c>
      <c r="L215" s="333">
        <f t="shared" ref="L215:L218" si="46">MAX(G215-D215,0)</f>
        <v>0</v>
      </c>
      <c r="M215" s="334">
        <f t="shared" ref="M215:M220" si="47">MAX(I215-F215,0)</f>
        <v>32901264</v>
      </c>
      <c r="N215" s="335"/>
    </row>
    <row r="216" spans="1:14" s="330" customFormat="1" ht="32.25" customHeight="1">
      <c r="A216" s="517" t="s">
        <v>1046</v>
      </c>
      <c r="B216" s="517"/>
      <c r="C216" s="517"/>
      <c r="D216" s="370"/>
      <c r="E216" s="371"/>
      <c r="F216" s="371"/>
      <c r="G216" s="370"/>
      <c r="H216" s="371"/>
      <c r="I216" s="371">
        <v>119905555</v>
      </c>
      <c r="J216" s="370">
        <f t="shared" si="44"/>
        <v>0</v>
      </c>
      <c r="K216" s="371">
        <f t="shared" si="45"/>
        <v>0</v>
      </c>
      <c r="L216" s="370">
        <f t="shared" si="46"/>
        <v>0</v>
      </c>
      <c r="M216" s="371">
        <f t="shared" si="47"/>
        <v>119905555</v>
      </c>
      <c r="N216" s="372"/>
    </row>
    <row r="217" spans="1:14" s="330" customFormat="1" ht="32.25" customHeight="1">
      <c r="A217" s="517" t="s">
        <v>1047</v>
      </c>
      <c r="B217" s="517"/>
      <c r="C217" s="517"/>
      <c r="D217" s="370"/>
      <c r="E217" s="371"/>
      <c r="F217" s="371"/>
      <c r="G217" s="370"/>
      <c r="H217" s="371"/>
      <c r="I217" s="371">
        <v>886969404</v>
      </c>
      <c r="J217" s="370">
        <f t="shared" si="44"/>
        <v>0</v>
      </c>
      <c r="K217" s="371">
        <f t="shared" si="45"/>
        <v>0</v>
      </c>
      <c r="L217" s="370">
        <f t="shared" si="46"/>
        <v>0</v>
      </c>
      <c r="M217" s="371">
        <f t="shared" si="47"/>
        <v>886969404</v>
      </c>
      <c r="N217" s="372"/>
    </row>
    <row r="218" spans="1:14" s="330" customFormat="1" ht="32.25" customHeight="1">
      <c r="A218" s="517" t="s">
        <v>1048</v>
      </c>
      <c r="B218" s="517"/>
      <c r="C218" s="517"/>
      <c r="D218" s="370"/>
      <c r="E218" s="371"/>
      <c r="F218" s="371"/>
      <c r="G218" s="370"/>
      <c r="H218" s="371"/>
      <c r="I218" s="371">
        <v>286230000</v>
      </c>
      <c r="J218" s="370">
        <f t="shared" si="44"/>
        <v>0</v>
      </c>
      <c r="K218" s="371">
        <f t="shared" si="45"/>
        <v>0</v>
      </c>
      <c r="L218" s="370">
        <f t="shared" si="46"/>
        <v>0</v>
      </c>
      <c r="M218" s="371">
        <f t="shared" si="47"/>
        <v>286230000</v>
      </c>
      <c r="N218" s="372"/>
    </row>
    <row r="219" spans="1:14" s="330" customFormat="1" ht="32.25" customHeight="1">
      <c r="A219" s="517" t="s">
        <v>1049</v>
      </c>
      <c r="B219" s="517"/>
      <c r="C219" s="517"/>
      <c r="D219" s="370"/>
      <c r="E219" s="371"/>
      <c r="F219" s="371"/>
      <c r="G219" s="370"/>
      <c r="H219" s="371"/>
      <c r="I219" s="371">
        <v>300003882</v>
      </c>
      <c r="J219" s="370"/>
      <c r="K219" s="371">
        <f t="shared" si="45"/>
        <v>0</v>
      </c>
      <c r="L219" s="370"/>
      <c r="M219" s="371">
        <f t="shared" si="47"/>
        <v>300003882</v>
      </c>
      <c r="N219" s="372"/>
    </row>
    <row r="220" spans="1:14" s="330" customFormat="1" ht="32.25" customHeight="1">
      <c r="A220" s="518" t="s">
        <v>1050</v>
      </c>
      <c r="B220" s="518"/>
      <c r="C220" s="518"/>
      <c r="D220" s="373"/>
      <c r="E220" s="374"/>
      <c r="F220" s="374"/>
      <c r="G220" s="373"/>
      <c r="H220" s="374"/>
      <c r="I220" s="374">
        <v>53183258</v>
      </c>
      <c r="J220" s="373"/>
      <c r="K220" s="374">
        <f t="shared" si="45"/>
        <v>0</v>
      </c>
      <c r="L220" s="373"/>
      <c r="M220" s="374">
        <f t="shared" si="47"/>
        <v>53183258</v>
      </c>
      <c r="N220" s="375"/>
    </row>
    <row r="221" spans="1:14" s="330" customFormat="1" ht="32.25" customHeight="1">
      <c r="A221" s="506" t="s">
        <v>94</v>
      </c>
      <c r="B221" s="506"/>
      <c r="C221" s="506"/>
      <c r="D221" s="331"/>
      <c r="E221" s="332"/>
      <c r="F221" s="332">
        <f>SUM(F215:F220)</f>
        <v>0</v>
      </c>
      <c r="G221" s="331"/>
      <c r="H221" s="332"/>
      <c r="I221" s="332">
        <f>SUM(I215:I220)</f>
        <v>1679193363</v>
      </c>
      <c r="J221" s="331"/>
      <c r="K221" s="332">
        <f>SUM(K215:K220)</f>
        <v>0</v>
      </c>
      <c r="L221" s="331"/>
      <c r="M221" s="332">
        <f>SUM(M215:M220)</f>
        <v>1679193363</v>
      </c>
      <c r="N221" s="363"/>
    </row>
    <row r="222" spans="1:14" s="330" customFormat="1" ht="32.25" customHeight="1">
      <c r="A222" s="513" t="s">
        <v>1051</v>
      </c>
      <c r="B222" s="514"/>
      <c r="C222" s="515"/>
      <c r="D222" s="331"/>
      <c r="E222" s="332"/>
      <c r="F222" s="332">
        <f>F31+F72+F112+F152+F180+F200+F214+F221</f>
        <v>8748426395.2454014</v>
      </c>
      <c r="G222" s="332"/>
      <c r="H222" s="332"/>
      <c r="I222" s="332">
        <f>I31+I72+I112+I152+I180+I200+I214+I221</f>
        <v>10172568447.6012</v>
      </c>
      <c r="J222" s="332"/>
      <c r="K222" s="332">
        <f>K31+K72+K112+K152+K180+K200+K214+K221</f>
        <v>1267596478.4047</v>
      </c>
      <c r="L222" s="332"/>
      <c r="M222" s="332">
        <f>M31+M72+M112+M152+M180+M200+M214+M221</f>
        <v>2691738530.7605</v>
      </c>
      <c r="N222" s="363"/>
    </row>
    <row r="224" spans="1:14" ht="32.25" customHeight="1">
      <c r="G224" s="379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2015-12-29T03:00:55Z</cp:lastPrinted>
  <dcterms:created xsi:type="dcterms:W3CDTF">1996-10-14T23:33:28Z</dcterms:created>
  <dcterms:modified xsi:type="dcterms:W3CDTF">2015-12-29T08:36:54Z</dcterms:modified>
</cp:coreProperties>
</file>