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95" windowWidth="14820" windowHeight="832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31" sheetId="44" r:id="rId11"/>
    <sheet name="131" sheetId="62" r:id="rId12"/>
    <sheet name="131-CT" sheetId="63"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 r:id="rId28"/>
    <externalReference r:id="rId29"/>
    <externalReference r:id="rId30"/>
  </externalReferences>
  <definedNames>
    <definedName name="_C111">TH!$S$11:$S$904</definedName>
    <definedName name="_C112">TH!$V$11:$V$904</definedName>
    <definedName name="_C133">TH!$Y$11:$Y$904</definedName>
    <definedName name="_Fill" localSheetId="9" hidden="1">#REF!</definedName>
    <definedName name="_Fill" localSheetId="12"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'112'!$A$10:$K$60</definedName>
    <definedName name="_xlnm._FilterDatabase" localSheetId="11"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TH!$A$9:$AD$782</definedName>
    <definedName name="_xlnm._FilterDatabase" localSheetId="21" hidden="1">'THE KHO'!$A$1:$J$1</definedName>
    <definedName name="_N111">TH!$R$11:$R$904</definedName>
    <definedName name="_N112">TH!$U$11:$U$904</definedName>
    <definedName name="_N133">TH!$X$11:$X$904</definedName>
    <definedName name="_TH">TH!$K$11:$K$904</definedName>
    <definedName name="_TM1">IF('IN-TC'!$S$4=1,1,IF('IN-TC'!$S$4=2,4,IF('IN-TC'!$S$4=3,7,10)))</definedName>
    <definedName name="_TM2">IF('IN-TC'!$S$4=1,3,IF('IN-TC'!$S$4=2,6,IF('IN-TC'!$S$4=3,9,12)))</definedName>
    <definedName name="DG">TH!$J$11:$J$904</definedName>
    <definedName name="Dong">IF(Loai="x",ROW(Loai)-1,"")</definedName>
    <definedName name="Dong1" localSheetId="12">IF(Loai1='131-CT'!$H$9,ROW(Loai1)-1,"")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'331'!$B$4:$B$34</definedName>
    <definedName name="DSKH1">'[1]331'!$B$4:$B$37</definedName>
    <definedName name="DSKH2">'[1]331'!$B$37:$B$78</definedName>
    <definedName name="DSKH3">'[1]331'!$B$4:$B$17</definedName>
    <definedName name="DSKH4">'[1]331'!$B$18:$B$36</definedName>
    <definedName name="DSKU">'341'!$B$5:$B$27</definedName>
    <definedName name="DSN">'[1]331 - TH'!$G$14:$G$1017</definedName>
    <definedName name="DSNL">NXT!$N$12:$S$553</definedName>
    <definedName name="DSPS1">'[1]131-TH'!$H$5:$H$293</definedName>
    <definedName name="DSPS2">'[1]131-TH'!$I$5:$I$293</definedName>
    <definedName name="DSPS3">'[1]131-TH'!$J$5:$J$293</definedName>
    <definedName name="DSPS4">'[1]131-TH'!$K$5:$K$293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CDPS!$A$10:$D$70</definedName>
    <definedName name="KH">TH!$H$11:$H$904</definedName>
    <definedName name="KHC">TH!$O$11:$O$904</definedName>
    <definedName name="KHN">TH!$N$11:$N$904</definedName>
    <definedName name="Loai">OFFSET(TH!$P$5,,,COUNTA(TH!$P$5:$P$39214))</definedName>
    <definedName name="Loai1">OFFSET(TH!$Q$5,,,COUNTA(TH!$Q$5:$Q$39214))</definedName>
    <definedName name="Loai10">OFFSET(TH!$AG$5,,,COUNTA(TH!$AG$5:$AG$39214))</definedName>
    <definedName name="Loai11">OFFSET(TH!$AB$5,,,COUNTA(TH!$AB$5:$AB$39214))</definedName>
    <definedName name="Loai2">OFFSET(TH!$T$5,,,COUNTA(TH!$T$5:$T$39214))</definedName>
    <definedName name="Loai3">OFFSET(TH!$W$5,,,COUNTA(TH!$W$5:$W$39214))</definedName>
    <definedName name="Loai4">OFFSET(TH!$Z$5,,,COUNTA(TH!$Z$5:$Z$39214))</definedName>
    <definedName name="Loai5">OFFSET(TH!$AA$5,,,COUNTA(TH!$AA$5:$AA$39214))</definedName>
    <definedName name="Loai6">OFFSET(TH!$AC$5,,,COUNTA(TH!$AC$5:$AC$39214))</definedName>
    <definedName name="Loai7">OFFSET(TH!$AD$5,,,COUNTA(TH!$AD$5:$AD$39214))</definedName>
    <definedName name="Loai8">OFFSET(TH!$AE$5,,,COUNTA(TH!$AE$5:$AE$39214))</definedName>
    <definedName name="Loai9">OFFSET(TH!$AF$5,,,COUNTA(TH!$AF$5:$AF$39214))</definedName>
    <definedName name="MH">TH!$F$11:$F$904</definedName>
    <definedName name="NXT">NXT!$A$12:$A$375</definedName>
    <definedName name="_xlnm.Print_Area" localSheetId="8">'111'!$A$1:$J$116</definedName>
    <definedName name="_xlnm.Print_Area" localSheetId="9">'112'!$A$1:$I$70</definedName>
    <definedName name="_xlnm.Print_Area" localSheetId="10">'1331'!$A$1:$E$82</definedName>
    <definedName name="_xlnm.Print_Area" localSheetId="20">'152-CT'!$B$2:$M$37</definedName>
    <definedName name="_xlnm.Print_Area" localSheetId="13">'331'!$A$1:$H$35</definedName>
    <definedName name="_xlnm.Print_Area" localSheetId="14">'331-CT'!$A$1:$J$54</definedName>
    <definedName name="_xlnm.Print_Area" localSheetId="15">'341'!$A$1:$P$28</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0">'1331'!$8:$10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TH!$I$11:$I$904</definedName>
    <definedName name="TH">TH!$M$11:$M$904</definedName>
    <definedName name="TM">TH!$A$11:$O$904</definedName>
  </definedNames>
  <calcPr calcId="145621"/>
</workbook>
</file>

<file path=xl/calcChain.xml><?xml version="1.0" encoding="utf-8"?>
<calcChain xmlns="http://schemas.openxmlformats.org/spreadsheetml/2006/main">
  <c r="G7" i="57" l="1"/>
  <c r="A12" i="34"/>
  <c r="A13" i="34"/>
  <c r="A14" i="34"/>
  <c r="A15" i="34"/>
  <c r="A16" i="34"/>
  <c r="A17" i="34"/>
  <c r="A18" i="34"/>
  <c r="A19" i="34"/>
  <c r="A20" i="34"/>
  <c r="A21" i="34"/>
  <c r="A22" i="34"/>
  <c r="A23" i="34"/>
  <c r="A24" i="34"/>
  <c r="A25" i="34"/>
  <c r="A26" i="34"/>
  <c r="A27" i="34"/>
  <c r="A28" i="34"/>
  <c r="A29" i="34"/>
  <c r="A30" i="34"/>
  <c r="A31" i="34"/>
  <c r="A32" i="34"/>
  <c r="A33" i="34"/>
  <c r="A34" i="34"/>
  <c r="A35" i="34"/>
  <c r="A36" i="34"/>
  <c r="A37" i="34"/>
  <c r="A38" i="34"/>
  <c r="A39" i="34"/>
  <c r="A40" i="34"/>
  <c r="A41" i="34"/>
  <c r="A42" i="34"/>
  <c r="A43" i="34"/>
  <c r="A44" i="34"/>
  <c r="A45" i="34"/>
  <c r="A46" i="34"/>
  <c r="A47" i="34"/>
  <c r="A48" i="34"/>
  <c r="A49" i="34"/>
  <c r="A50" i="34"/>
  <c r="A51" i="34"/>
  <c r="A52" i="34"/>
  <c r="A53" i="34"/>
  <c r="A54" i="34"/>
  <c r="A55" i="34"/>
  <c r="A56" i="34"/>
  <c r="A57" i="34"/>
  <c r="A58" i="34"/>
  <c r="A59" i="34"/>
  <c r="A60" i="34"/>
  <c r="A61" i="34"/>
  <c r="A62" i="34"/>
  <c r="A63" i="34"/>
  <c r="A64" i="34"/>
  <c r="A65" i="34"/>
  <c r="A66" i="34"/>
  <c r="A67" i="34"/>
  <c r="A68" i="34"/>
  <c r="A69" i="34"/>
  <c r="A70" i="34"/>
  <c r="A71" i="34"/>
  <c r="A72" i="34"/>
  <c r="A73" i="34"/>
  <c r="A74" i="34"/>
  <c r="A75" i="34"/>
  <c r="A76" i="34"/>
  <c r="A77" i="34"/>
  <c r="A78" i="34"/>
  <c r="A79" i="34"/>
  <c r="A80" i="34"/>
  <c r="A81" i="34"/>
  <c r="A82" i="34"/>
  <c r="A83" i="34"/>
  <c r="A84" i="34"/>
  <c r="A85" i="34"/>
  <c r="A86" i="34"/>
  <c r="A87" i="34"/>
  <c r="A88" i="34"/>
  <c r="A89" i="34"/>
  <c r="A90" i="34"/>
  <c r="A91" i="34"/>
  <c r="A92" i="34"/>
  <c r="A93" i="34"/>
  <c r="A94" i="34"/>
  <c r="A95" i="34"/>
  <c r="A96" i="34"/>
  <c r="A97" i="34"/>
  <c r="A98" i="34"/>
  <c r="A99" i="34"/>
  <c r="A100" i="34"/>
  <c r="A101" i="34"/>
  <c r="A102" i="34"/>
  <c r="A103" i="34"/>
  <c r="A104" i="34"/>
  <c r="A105" i="34"/>
  <c r="A106" i="34"/>
  <c r="A107" i="34"/>
  <c r="A108" i="34"/>
  <c r="A109" i="34"/>
  <c r="A110" i="34"/>
  <c r="A111" i="34"/>
  <c r="A112" i="34"/>
  <c r="A113" i="34"/>
  <c r="A114" i="34"/>
  <c r="A115" i="34"/>
  <c r="A116" i="34"/>
  <c r="A117" i="34"/>
  <c r="A118" i="34"/>
  <c r="A119" i="34"/>
  <c r="A120" i="34"/>
  <c r="A121" i="34"/>
  <c r="A122" i="34"/>
  <c r="A123" i="34"/>
  <c r="A124" i="34"/>
  <c r="A125" i="34"/>
  <c r="A126" i="34"/>
  <c r="A127" i="34"/>
  <c r="A128" i="34"/>
  <c r="A129" i="34"/>
  <c r="A130" i="34"/>
  <c r="A131" i="34"/>
  <c r="A132" i="34"/>
  <c r="A133" i="34"/>
  <c r="A134" i="34"/>
  <c r="A135" i="34"/>
  <c r="A136" i="34"/>
  <c r="A137" i="34"/>
  <c r="A138" i="34"/>
  <c r="A139" i="34"/>
  <c r="A140" i="34"/>
  <c r="A141" i="34"/>
  <c r="A142" i="34"/>
  <c r="A143" i="34"/>
  <c r="A144" i="34"/>
  <c r="A145" i="34"/>
  <c r="A146" i="34"/>
  <c r="A147" i="34"/>
  <c r="A148" i="34"/>
  <c r="A149" i="34"/>
  <c r="A150" i="34"/>
  <c r="A151" i="34"/>
  <c r="A152" i="34"/>
  <c r="A153" i="34"/>
  <c r="A154" i="34"/>
  <c r="A155" i="34"/>
  <c r="A156" i="34"/>
  <c r="A157" i="34"/>
  <c r="A158" i="34"/>
  <c r="A159" i="34"/>
  <c r="A160" i="34"/>
  <c r="A161" i="34"/>
  <c r="A162" i="34"/>
  <c r="A163" i="34"/>
  <c r="A164" i="34"/>
  <c r="A165" i="34"/>
  <c r="A166" i="34"/>
  <c r="A167" i="34"/>
  <c r="A168" i="34"/>
  <c r="A169" i="34"/>
  <c r="A170" i="34"/>
  <c r="A171" i="34"/>
  <c r="A172" i="34"/>
  <c r="A173" i="34"/>
  <c r="A174" i="34"/>
  <c r="A175" i="34"/>
  <c r="A176" i="34"/>
  <c r="A177" i="34"/>
  <c r="A178" i="34"/>
  <c r="A179" i="34"/>
  <c r="A180" i="34"/>
  <c r="A181" i="34"/>
  <c r="A182" i="34"/>
  <c r="A183" i="34"/>
  <c r="A184" i="34"/>
  <c r="A185" i="34"/>
  <c r="A186" i="34"/>
  <c r="A187" i="34"/>
  <c r="A188" i="34"/>
  <c r="A189" i="34"/>
  <c r="A190" i="34"/>
  <c r="A191" i="34"/>
  <c r="A192" i="34"/>
  <c r="A193" i="34"/>
  <c r="A194" i="34"/>
  <c r="A195" i="34"/>
  <c r="A196" i="34"/>
  <c r="A197" i="34"/>
  <c r="A198" i="34"/>
  <c r="A199" i="34"/>
  <c r="A200" i="34"/>
  <c r="A201" i="34"/>
  <c r="A202" i="34"/>
  <c r="A203" i="34"/>
  <c r="A204" i="34"/>
  <c r="A205" i="34"/>
  <c r="A206" i="34"/>
  <c r="A207" i="34"/>
  <c r="A208" i="34"/>
  <c r="A209" i="34"/>
  <c r="A210" i="34"/>
  <c r="A211" i="34"/>
  <c r="A212" i="34"/>
  <c r="A213" i="34"/>
  <c r="A214" i="34"/>
  <c r="A215" i="34"/>
  <c r="A216" i="34"/>
  <c r="A217" i="34"/>
  <c r="A218" i="34"/>
  <c r="A219" i="34"/>
  <c r="A220" i="34"/>
  <c r="A221" i="34"/>
  <c r="A222" i="34"/>
  <c r="A223" i="34"/>
  <c r="A224" i="34"/>
  <c r="A225" i="34"/>
  <c r="A226" i="34"/>
  <c r="A227" i="34"/>
  <c r="A228" i="34"/>
  <c r="A229" i="34"/>
  <c r="A230" i="34"/>
  <c r="A231" i="34"/>
  <c r="A232" i="34"/>
  <c r="A233" i="34"/>
  <c r="A234" i="34"/>
  <c r="A235" i="34"/>
  <c r="A236" i="34"/>
  <c r="A237" i="34"/>
  <c r="A238" i="34"/>
  <c r="A239" i="34"/>
  <c r="A240" i="34"/>
  <c r="A241" i="34"/>
  <c r="A242" i="34"/>
  <c r="A243" i="34"/>
  <c r="A244" i="34"/>
  <c r="A245" i="34"/>
  <c r="A246" i="34"/>
  <c r="A247" i="34"/>
  <c r="A248" i="34"/>
  <c r="A249" i="34"/>
  <c r="A250" i="34"/>
  <c r="A251" i="34"/>
  <c r="A252" i="34"/>
  <c r="A253" i="34"/>
  <c r="A254" i="34"/>
  <c r="A255" i="34"/>
  <c r="A256" i="34"/>
  <c r="A257" i="34"/>
  <c r="A258" i="34"/>
  <c r="A259" i="34"/>
  <c r="A260" i="34"/>
  <c r="A261" i="34"/>
  <c r="A262" i="34"/>
  <c r="A263" i="34"/>
  <c r="A264" i="34"/>
  <c r="A265" i="34"/>
  <c r="A266" i="34"/>
  <c r="A267" i="34"/>
  <c r="A268" i="34"/>
  <c r="A269" i="34"/>
  <c r="A270" i="34"/>
  <c r="A271" i="34"/>
  <c r="A272" i="34"/>
  <c r="A273" i="34"/>
  <c r="A274" i="34"/>
  <c r="A275" i="34"/>
  <c r="A276" i="34"/>
  <c r="A277" i="34"/>
  <c r="A278" i="34"/>
  <c r="A279" i="34"/>
  <c r="A280" i="34"/>
  <c r="A281" i="34"/>
  <c r="A282" i="34"/>
  <c r="A283" i="34"/>
  <c r="A284" i="34"/>
  <c r="A285" i="34"/>
  <c r="A286" i="34"/>
  <c r="A287" i="34"/>
  <c r="A288" i="34"/>
  <c r="A289" i="34"/>
  <c r="A290" i="34"/>
  <c r="A291" i="34"/>
  <c r="A292" i="34"/>
  <c r="A293" i="34"/>
  <c r="A294" i="34"/>
  <c r="A295" i="34"/>
  <c r="A296" i="34"/>
  <c r="A297" i="34"/>
  <c r="A298" i="34"/>
  <c r="A299" i="34"/>
  <c r="A300" i="34"/>
  <c r="A301" i="34"/>
  <c r="A302" i="34"/>
  <c r="A303" i="34"/>
  <c r="A304" i="34"/>
  <c r="A305" i="34"/>
  <c r="A306" i="34"/>
  <c r="A307" i="34"/>
  <c r="A308" i="34"/>
  <c r="A309" i="34"/>
  <c r="A310" i="34"/>
  <c r="A311" i="34"/>
  <c r="A312" i="34"/>
  <c r="A313" i="34"/>
  <c r="A314" i="34"/>
  <c r="A315" i="34"/>
  <c r="A316" i="34"/>
  <c r="A317" i="34"/>
  <c r="A318" i="34"/>
  <c r="A319" i="34"/>
  <c r="A320" i="34"/>
  <c r="A321" i="34"/>
  <c r="A322" i="34"/>
  <c r="A323" i="34"/>
  <c r="A324" i="34"/>
  <c r="A325" i="34"/>
  <c r="A326" i="34"/>
  <c r="A327" i="34"/>
  <c r="A328" i="34"/>
  <c r="A329" i="34"/>
  <c r="A330" i="34"/>
  <c r="A331" i="34"/>
  <c r="A332" i="34"/>
  <c r="A333" i="34"/>
  <c r="A334" i="34"/>
  <c r="A335" i="34"/>
  <c r="A336" i="34"/>
  <c r="A337" i="34"/>
  <c r="A338" i="34"/>
  <c r="A339" i="34"/>
  <c r="A340" i="34"/>
  <c r="A341" i="34"/>
  <c r="A342" i="34"/>
  <c r="A343" i="34"/>
  <c r="A344" i="34"/>
  <c r="A345" i="34"/>
  <c r="A346" i="34"/>
  <c r="A347" i="34"/>
  <c r="A348" i="34"/>
  <c r="A349" i="34"/>
  <c r="A350" i="34"/>
  <c r="A351" i="34"/>
  <c r="A352" i="34"/>
  <c r="A353" i="34"/>
  <c r="A354" i="34"/>
  <c r="A355" i="34"/>
  <c r="A356" i="34"/>
  <c r="A357" i="34"/>
  <c r="A358" i="34"/>
  <c r="A359" i="34"/>
  <c r="A360" i="34"/>
  <c r="A361" i="34"/>
  <c r="A362" i="34"/>
  <c r="A363" i="34"/>
  <c r="A364" i="34"/>
  <c r="A365" i="34"/>
  <c r="A366" i="34"/>
  <c r="A367" i="34"/>
  <c r="A368" i="34"/>
  <c r="A369" i="34"/>
  <c r="A370" i="34"/>
  <c r="A371" i="34"/>
  <c r="A372" i="34"/>
  <c r="A373" i="34"/>
  <c r="A374" i="34"/>
  <c r="A375" i="34"/>
  <c r="A376" i="34"/>
  <c r="A377" i="34"/>
  <c r="A378" i="34"/>
  <c r="A379" i="34"/>
  <c r="A380" i="34"/>
  <c r="A381" i="34"/>
  <c r="A382" i="34"/>
  <c r="A383" i="34"/>
  <c r="A384" i="34"/>
  <c r="A385" i="34"/>
  <c r="A386" i="34"/>
  <c r="A387" i="34"/>
  <c r="A388" i="34"/>
  <c r="A389" i="34"/>
  <c r="A390" i="34"/>
  <c r="A391" i="34"/>
  <c r="A392" i="34"/>
  <c r="A393" i="34"/>
  <c r="A394" i="34"/>
  <c r="A395" i="34"/>
  <c r="A396" i="34"/>
  <c r="A397" i="34"/>
  <c r="A398" i="34"/>
  <c r="A399" i="34"/>
  <c r="A400" i="34"/>
  <c r="A401" i="34"/>
  <c r="A402" i="34"/>
  <c r="A403" i="34"/>
  <c r="A404" i="34"/>
  <c r="A405" i="34"/>
  <c r="A406" i="34"/>
  <c r="A407" i="34"/>
  <c r="A408" i="34"/>
  <c r="A409" i="34"/>
  <c r="A410" i="34"/>
  <c r="A411" i="34"/>
  <c r="A412" i="34"/>
  <c r="A413" i="34"/>
  <c r="A414" i="34"/>
  <c r="A415" i="34"/>
  <c r="A416" i="34"/>
  <c r="A417" i="34"/>
  <c r="A418" i="34"/>
  <c r="A419" i="34"/>
  <c r="A420" i="34"/>
  <c r="A421" i="34"/>
  <c r="A422" i="34"/>
  <c r="A423" i="34"/>
  <c r="A424" i="34"/>
  <c r="A425" i="34"/>
  <c r="A426" i="34"/>
  <c r="A427" i="34"/>
  <c r="A428" i="34"/>
  <c r="A429" i="34"/>
  <c r="A430" i="34"/>
  <c r="A431" i="34"/>
  <c r="A432" i="34"/>
  <c r="A433" i="34"/>
  <c r="A434" i="34"/>
  <c r="A435" i="34"/>
  <c r="A436" i="34"/>
  <c r="A437" i="34"/>
  <c r="A438" i="34"/>
  <c r="A439" i="34"/>
  <c r="A440" i="34"/>
  <c r="A441" i="34"/>
  <c r="A442" i="34"/>
  <c r="A443" i="34"/>
  <c r="A444" i="34"/>
  <c r="A445" i="34"/>
  <c r="A446" i="34"/>
  <c r="A447" i="34"/>
  <c r="A448" i="34"/>
  <c r="A449" i="34"/>
  <c r="A450" i="34"/>
  <c r="A451" i="34"/>
  <c r="A452" i="34"/>
  <c r="A453" i="34"/>
  <c r="A454" i="34"/>
  <c r="A455" i="34"/>
  <c r="A456" i="34"/>
  <c r="A457" i="34"/>
  <c r="A458" i="34"/>
  <c r="A459" i="34"/>
  <c r="A460" i="34"/>
  <c r="A461" i="34"/>
  <c r="A462" i="34"/>
  <c r="A463" i="34"/>
  <c r="A464" i="34"/>
  <c r="A465" i="34"/>
  <c r="A466" i="34"/>
  <c r="A467" i="34"/>
  <c r="A468" i="34"/>
  <c r="A469" i="34"/>
  <c r="A470" i="34"/>
  <c r="A471" i="34"/>
  <c r="A472" i="34"/>
  <c r="A473" i="34"/>
  <c r="A474" i="34"/>
  <c r="A475" i="34"/>
  <c r="A476" i="34"/>
  <c r="A477" i="34"/>
  <c r="A478" i="34"/>
  <c r="A479" i="34"/>
  <c r="A480" i="34"/>
  <c r="A481" i="34"/>
  <c r="A482" i="34"/>
  <c r="A483" i="34"/>
  <c r="A484" i="34"/>
  <c r="A485" i="34"/>
  <c r="A486" i="34"/>
  <c r="A487" i="34"/>
  <c r="A488" i="34"/>
  <c r="A489" i="34"/>
  <c r="A490" i="34"/>
  <c r="A491" i="34"/>
  <c r="A492" i="34"/>
  <c r="A493" i="34"/>
  <c r="A494" i="34"/>
  <c r="A495" i="34"/>
  <c r="A496" i="34"/>
  <c r="A497" i="34"/>
  <c r="A498" i="34"/>
  <c r="A499" i="34"/>
  <c r="A500" i="34"/>
  <c r="A501" i="34"/>
  <c r="A502" i="34"/>
  <c r="A503" i="34"/>
  <c r="A504" i="34"/>
  <c r="A505" i="34"/>
  <c r="A506" i="34"/>
  <c r="A507" i="34"/>
  <c r="A508" i="34"/>
  <c r="A509" i="34"/>
  <c r="A510" i="34"/>
  <c r="A511" i="34"/>
  <c r="A512" i="34"/>
  <c r="A513" i="34"/>
  <c r="A514" i="34"/>
  <c r="A515" i="34"/>
  <c r="A516" i="34"/>
  <c r="A517" i="34"/>
  <c r="A518" i="34"/>
  <c r="A519" i="34"/>
  <c r="A520" i="34"/>
  <c r="A521" i="34"/>
  <c r="A522" i="34"/>
  <c r="A523" i="34"/>
  <c r="A524" i="34"/>
  <c r="A525" i="34"/>
  <c r="A526" i="34"/>
  <c r="A527" i="34"/>
  <c r="A528" i="34"/>
  <c r="A529" i="34"/>
  <c r="A530" i="34"/>
  <c r="A531" i="34"/>
  <c r="A532" i="34"/>
  <c r="A533" i="34"/>
  <c r="A534" i="34"/>
  <c r="A535" i="34"/>
  <c r="A536" i="34"/>
  <c r="A537" i="34"/>
  <c r="A538" i="34"/>
  <c r="A539" i="34"/>
  <c r="A540" i="34"/>
  <c r="A541" i="34"/>
  <c r="A542" i="34"/>
  <c r="A543" i="34"/>
  <c r="A544" i="34"/>
  <c r="A545" i="34"/>
  <c r="A546" i="34"/>
  <c r="A547" i="34"/>
  <c r="A548" i="34"/>
  <c r="A549" i="34"/>
  <c r="A550" i="34"/>
  <c r="A551" i="34"/>
  <c r="A552" i="34"/>
  <c r="A553" i="34"/>
  <c r="A554" i="34"/>
  <c r="A555" i="34"/>
  <c r="A556" i="34"/>
  <c r="A557" i="34"/>
  <c r="A558" i="34"/>
  <c r="A559" i="34"/>
  <c r="A560" i="34"/>
  <c r="A561" i="34"/>
  <c r="A562" i="34"/>
  <c r="A563" i="34"/>
  <c r="A564" i="34"/>
  <c r="A565" i="34"/>
  <c r="A566" i="34"/>
  <c r="A567" i="34"/>
  <c r="A568" i="34"/>
  <c r="A569" i="34"/>
  <c r="A570" i="34"/>
  <c r="A571" i="34"/>
  <c r="A572" i="34"/>
  <c r="A573" i="34"/>
  <c r="A574" i="34"/>
  <c r="A575" i="34"/>
  <c r="A576" i="34"/>
  <c r="A577" i="34"/>
  <c r="A578" i="34"/>
  <c r="A579" i="34"/>
  <c r="A580" i="34"/>
  <c r="A581" i="34"/>
  <c r="A582" i="34"/>
  <c r="A583" i="34"/>
  <c r="A584" i="34"/>
  <c r="A585" i="34"/>
  <c r="A586" i="34"/>
  <c r="A587" i="34"/>
  <c r="A588" i="34"/>
  <c r="A589" i="34"/>
  <c r="A590" i="34"/>
  <c r="A591" i="34"/>
  <c r="A592" i="34"/>
  <c r="A593" i="34"/>
  <c r="A594" i="34"/>
  <c r="A595" i="34"/>
  <c r="A596" i="34"/>
  <c r="A597" i="34"/>
  <c r="A598" i="34"/>
  <c r="A599" i="34"/>
  <c r="A600" i="34"/>
  <c r="A601" i="34"/>
  <c r="A602" i="34"/>
  <c r="A603" i="34"/>
  <c r="A604" i="34"/>
  <c r="A605" i="34"/>
  <c r="A606" i="34"/>
  <c r="A607" i="34"/>
  <c r="A608" i="34"/>
  <c r="A609" i="34"/>
  <c r="A610" i="34"/>
  <c r="A611" i="34"/>
  <c r="A612" i="34"/>
  <c r="A613" i="34"/>
  <c r="A614" i="34"/>
  <c r="A615" i="34"/>
  <c r="A616" i="34"/>
  <c r="A617" i="34"/>
  <c r="A618" i="34"/>
  <c r="A619" i="34"/>
  <c r="A620" i="34"/>
  <c r="A621" i="34"/>
  <c r="A622" i="34"/>
  <c r="A623" i="34"/>
  <c r="A624" i="34"/>
  <c r="A625" i="34"/>
  <c r="A626" i="34"/>
  <c r="A627" i="34"/>
  <c r="A628" i="34"/>
  <c r="A629" i="34"/>
  <c r="A630" i="34"/>
  <c r="A631" i="34"/>
  <c r="A632" i="34"/>
  <c r="A633" i="34"/>
  <c r="A634" i="34"/>
  <c r="A635" i="34"/>
  <c r="A636" i="34"/>
  <c r="A637" i="34"/>
  <c r="A638" i="34"/>
  <c r="A639" i="34"/>
  <c r="A640" i="34"/>
  <c r="A641" i="34"/>
  <c r="A642" i="34"/>
  <c r="A643" i="34"/>
  <c r="A644" i="34"/>
  <c r="A645" i="34"/>
  <c r="A646" i="34"/>
  <c r="A647" i="34"/>
  <c r="A648" i="34"/>
  <c r="A649" i="34"/>
  <c r="A650" i="34"/>
  <c r="A651" i="34"/>
  <c r="A652" i="34"/>
  <c r="A653" i="34"/>
  <c r="A654" i="34"/>
  <c r="A655" i="34"/>
  <c r="A656" i="34"/>
  <c r="A657" i="34"/>
  <c r="A658" i="34"/>
  <c r="A659" i="34"/>
  <c r="A660" i="34"/>
  <c r="A661" i="34"/>
  <c r="A662" i="34"/>
  <c r="A663" i="34"/>
  <c r="A664" i="34"/>
  <c r="A665" i="34"/>
  <c r="A666" i="34"/>
  <c r="A667" i="34"/>
  <c r="A668" i="34"/>
  <c r="A669" i="34"/>
  <c r="A670" i="34"/>
  <c r="A671" i="34"/>
  <c r="A672" i="34"/>
  <c r="A673" i="34"/>
  <c r="A674" i="34"/>
  <c r="A675" i="34"/>
  <c r="A676" i="34"/>
  <c r="A677" i="34"/>
  <c r="A678" i="34"/>
  <c r="A679" i="34"/>
  <c r="A680" i="34"/>
  <c r="A681" i="34"/>
  <c r="A682" i="34"/>
  <c r="A683" i="34"/>
  <c r="A684" i="34"/>
  <c r="A685" i="34"/>
  <c r="A686" i="34"/>
  <c r="A687" i="34"/>
  <c r="A688" i="34"/>
  <c r="A689" i="34"/>
  <c r="A690" i="34"/>
  <c r="A691" i="34"/>
  <c r="A692" i="34"/>
  <c r="A693" i="34"/>
  <c r="A694" i="34"/>
  <c r="A695" i="34"/>
  <c r="A696" i="34"/>
  <c r="A697" i="34"/>
  <c r="A698" i="34"/>
  <c r="A699" i="34"/>
  <c r="A700" i="34"/>
  <c r="A701" i="34"/>
  <c r="A702" i="34"/>
  <c r="A703" i="34"/>
  <c r="A704" i="34"/>
  <c r="A705" i="34"/>
  <c r="A706" i="34"/>
  <c r="A707" i="34"/>
  <c r="A708" i="34"/>
  <c r="A709" i="34"/>
  <c r="A710" i="34"/>
  <c r="A711" i="34"/>
  <c r="A712" i="34"/>
  <c r="A713" i="34"/>
  <c r="A714" i="34"/>
  <c r="A715" i="34"/>
  <c r="A716" i="34"/>
  <c r="A717" i="34"/>
  <c r="A718" i="34"/>
  <c r="A719" i="34"/>
  <c r="A720" i="34"/>
  <c r="A721" i="34"/>
  <c r="A722" i="34"/>
  <c r="A723" i="34"/>
  <c r="A724" i="34"/>
  <c r="A725" i="34"/>
  <c r="A726" i="34"/>
  <c r="A727" i="34"/>
  <c r="A728" i="34"/>
  <c r="A729" i="34"/>
  <c r="A730" i="34"/>
  <c r="A731" i="34"/>
  <c r="A732" i="34"/>
  <c r="A733" i="34"/>
  <c r="A734" i="34"/>
  <c r="A735" i="34"/>
  <c r="A736" i="34"/>
  <c r="A737" i="34"/>
  <c r="A738" i="34"/>
  <c r="A739" i="34"/>
  <c r="A740" i="34"/>
  <c r="A741" i="34"/>
  <c r="A742" i="34"/>
  <c r="A743" i="34"/>
  <c r="A744" i="34"/>
  <c r="A745" i="34"/>
  <c r="A746" i="34"/>
  <c r="A747" i="34"/>
  <c r="A748" i="34"/>
  <c r="A749" i="34"/>
  <c r="A750" i="34"/>
  <c r="A751" i="34"/>
  <c r="A752" i="34"/>
  <c r="A753" i="34"/>
  <c r="A754" i="34"/>
  <c r="A755" i="34"/>
  <c r="A756" i="34"/>
  <c r="A757" i="34"/>
  <c r="A758" i="34"/>
  <c r="A759" i="34"/>
  <c r="A760" i="34"/>
  <c r="A761" i="34"/>
  <c r="A762" i="34"/>
  <c r="A763" i="34"/>
  <c r="A764" i="34"/>
  <c r="A765" i="34"/>
  <c r="A766" i="34"/>
  <c r="A767" i="34"/>
  <c r="A768" i="34"/>
  <c r="A769" i="34"/>
  <c r="A770" i="34"/>
  <c r="A771" i="34"/>
  <c r="A772" i="34"/>
  <c r="A773" i="34"/>
  <c r="A774" i="34"/>
  <c r="A775" i="34"/>
  <c r="A776" i="34"/>
  <c r="A777" i="34"/>
  <c r="A778" i="34"/>
  <c r="A779" i="34"/>
  <c r="A780" i="34"/>
  <c r="A781" i="34"/>
  <c r="A782" i="34"/>
  <c r="P12" i="34"/>
  <c r="Q12" i="34"/>
  <c r="R12" i="34"/>
  <c r="S12" i="34"/>
  <c r="T12" i="34"/>
  <c r="U12" i="34"/>
  <c r="V12" i="34"/>
  <c r="W12" i="34"/>
  <c r="X12" i="34"/>
  <c r="Y12" i="34"/>
  <c r="Z12" i="34"/>
  <c r="AA12" i="34"/>
  <c r="AB12" i="34"/>
  <c r="AD12" i="34"/>
  <c r="AE12" i="34"/>
  <c r="AF12" i="34"/>
  <c r="AG12" i="34"/>
  <c r="P13" i="34"/>
  <c r="Q13" i="34"/>
  <c r="R13" i="34"/>
  <c r="S13" i="34"/>
  <c r="T13" i="34"/>
  <c r="U13" i="34"/>
  <c r="V13" i="34"/>
  <c r="W13" i="34"/>
  <c r="X13" i="34"/>
  <c r="Y13" i="34"/>
  <c r="Z13" i="34"/>
  <c r="AA13" i="34"/>
  <c r="AB13" i="34"/>
  <c r="AD13" i="34"/>
  <c r="AE13" i="34"/>
  <c r="AF13" i="34"/>
  <c r="AG13" i="34"/>
  <c r="P14" i="34"/>
  <c r="Q14" i="34"/>
  <c r="R14" i="34"/>
  <c r="S14" i="34"/>
  <c r="T14" i="34"/>
  <c r="U14" i="34"/>
  <c r="V14" i="34"/>
  <c r="W14" i="34"/>
  <c r="X14" i="34"/>
  <c r="Y14" i="34"/>
  <c r="Z14" i="34"/>
  <c r="AA14" i="34"/>
  <c r="AB14" i="34"/>
  <c r="AD14" i="34"/>
  <c r="AE14" i="34"/>
  <c r="AF14" i="34"/>
  <c r="AG14" i="34"/>
  <c r="P15" i="34"/>
  <c r="Q15" i="34"/>
  <c r="R15" i="34"/>
  <c r="S15" i="34"/>
  <c r="T15" i="34"/>
  <c r="U15" i="34"/>
  <c r="V15" i="34"/>
  <c r="W15" i="34"/>
  <c r="X15" i="34"/>
  <c r="Y15" i="34"/>
  <c r="Z15" i="34"/>
  <c r="AA15" i="34"/>
  <c r="AB15" i="34"/>
  <c r="AD15" i="34"/>
  <c r="AE15" i="34"/>
  <c r="AF15" i="34"/>
  <c r="AG15" i="34"/>
  <c r="P16" i="34"/>
  <c r="Q16" i="34"/>
  <c r="R16" i="34"/>
  <c r="S16" i="34"/>
  <c r="T16" i="34"/>
  <c r="U16" i="34"/>
  <c r="V16" i="34"/>
  <c r="W16" i="34"/>
  <c r="X16" i="34"/>
  <c r="Y16" i="34"/>
  <c r="Z16" i="34"/>
  <c r="AA16" i="34"/>
  <c r="AB16" i="34"/>
  <c r="AD16" i="34"/>
  <c r="AE16" i="34"/>
  <c r="AF16" i="34"/>
  <c r="AG16" i="34"/>
  <c r="P17" i="34"/>
  <c r="Q17" i="34"/>
  <c r="R17" i="34"/>
  <c r="S17" i="34"/>
  <c r="T17" i="34"/>
  <c r="U17" i="34"/>
  <c r="V17" i="34"/>
  <c r="W17" i="34"/>
  <c r="X17" i="34"/>
  <c r="Y17" i="34"/>
  <c r="Z17" i="34"/>
  <c r="AA17" i="34"/>
  <c r="AB17" i="34"/>
  <c r="AD17" i="34"/>
  <c r="AE17" i="34"/>
  <c r="AF17" i="34"/>
  <c r="AG17" i="34"/>
  <c r="P18" i="34"/>
  <c r="Q18" i="34"/>
  <c r="R18" i="34"/>
  <c r="S18" i="34"/>
  <c r="T18" i="34"/>
  <c r="U18" i="34"/>
  <c r="V18" i="34"/>
  <c r="W18" i="34"/>
  <c r="X18" i="34"/>
  <c r="Y18" i="34"/>
  <c r="Z18" i="34"/>
  <c r="AA18" i="34"/>
  <c r="AB18" i="34"/>
  <c r="AD18" i="34"/>
  <c r="AE18" i="34"/>
  <c r="AF18" i="34"/>
  <c r="AG18" i="34"/>
  <c r="P19" i="34"/>
  <c r="Q19" i="34"/>
  <c r="R19" i="34"/>
  <c r="S19" i="34"/>
  <c r="T19" i="34"/>
  <c r="U19" i="34"/>
  <c r="V19" i="34"/>
  <c r="W19" i="34"/>
  <c r="X19" i="34"/>
  <c r="Y19" i="34"/>
  <c r="Z19" i="34"/>
  <c r="AA19" i="34"/>
  <c r="AB19" i="34"/>
  <c r="AD19" i="34"/>
  <c r="AE19" i="34"/>
  <c r="AF19" i="34"/>
  <c r="AG19" i="34"/>
  <c r="P20" i="34"/>
  <c r="Q20" i="34"/>
  <c r="R20" i="34"/>
  <c r="S20" i="34"/>
  <c r="T20" i="34"/>
  <c r="U20" i="34"/>
  <c r="V20" i="34"/>
  <c r="W20" i="34"/>
  <c r="X20" i="34"/>
  <c r="Y20" i="34"/>
  <c r="Z20" i="34"/>
  <c r="AA20" i="34"/>
  <c r="AB20" i="34"/>
  <c r="AD20" i="34"/>
  <c r="AE20" i="34"/>
  <c r="AF20" i="34"/>
  <c r="AG20" i="34"/>
  <c r="P21" i="34"/>
  <c r="Q21" i="34"/>
  <c r="R21" i="34"/>
  <c r="S21" i="34"/>
  <c r="T21" i="34"/>
  <c r="U21" i="34"/>
  <c r="V21" i="34"/>
  <c r="W21" i="34"/>
  <c r="X21" i="34"/>
  <c r="Y21" i="34"/>
  <c r="Z21" i="34"/>
  <c r="AA21" i="34"/>
  <c r="AB21" i="34"/>
  <c r="AD21" i="34"/>
  <c r="AE21" i="34"/>
  <c r="AF21" i="34"/>
  <c r="AG21" i="34"/>
  <c r="P22" i="34"/>
  <c r="Q22" i="34"/>
  <c r="R22" i="34"/>
  <c r="S22" i="34"/>
  <c r="T22" i="34"/>
  <c r="U22" i="34"/>
  <c r="V22" i="34"/>
  <c r="W22" i="34"/>
  <c r="X22" i="34"/>
  <c r="Y22" i="34"/>
  <c r="Z22" i="34"/>
  <c r="AA22" i="34"/>
  <c r="AB22" i="34"/>
  <c r="AD22" i="34"/>
  <c r="AE22" i="34"/>
  <c r="AF22" i="34"/>
  <c r="AG22" i="34"/>
  <c r="P23" i="34"/>
  <c r="Q23" i="34"/>
  <c r="R23" i="34"/>
  <c r="S23" i="34"/>
  <c r="T23" i="34"/>
  <c r="U23" i="34"/>
  <c r="V23" i="34"/>
  <c r="W23" i="34"/>
  <c r="X23" i="34"/>
  <c r="Y23" i="34"/>
  <c r="Z23" i="34"/>
  <c r="AA23" i="34"/>
  <c r="AB23" i="34"/>
  <c r="AD23" i="34"/>
  <c r="AE23" i="34"/>
  <c r="AF23" i="34"/>
  <c r="AG23" i="34"/>
  <c r="P24" i="34"/>
  <c r="Q24" i="34"/>
  <c r="R24" i="34"/>
  <c r="S24" i="34"/>
  <c r="T24" i="34"/>
  <c r="U24" i="34"/>
  <c r="V24" i="34"/>
  <c r="W24" i="34"/>
  <c r="X24" i="34"/>
  <c r="Y24" i="34"/>
  <c r="Z24" i="34"/>
  <c r="AA24" i="34"/>
  <c r="AB24" i="34"/>
  <c r="AD24" i="34"/>
  <c r="AE24" i="34"/>
  <c r="AF24" i="34"/>
  <c r="AG24" i="34"/>
  <c r="P25" i="34"/>
  <c r="Q25" i="34"/>
  <c r="R25" i="34"/>
  <c r="S25" i="34"/>
  <c r="T25" i="34"/>
  <c r="U25" i="34"/>
  <c r="V25" i="34"/>
  <c r="W25" i="34"/>
  <c r="X25" i="34"/>
  <c r="Y25" i="34"/>
  <c r="Z25" i="34"/>
  <c r="AA25" i="34"/>
  <c r="AB25" i="34"/>
  <c r="AD25" i="34"/>
  <c r="AE25" i="34"/>
  <c r="AF25" i="34"/>
  <c r="AG25" i="34"/>
  <c r="P26" i="34"/>
  <c r="Q26" i="34"/>
  <c r="R26" i="34"/>
  <c r="S26" i="34"/>
  <c r="T26" i="34"/>
  <c r="U26" i="34"/>
  <c r="V26" i="34"/>
  <c r="W26" i="34"/>
  <c r="X26" i="34"/>
  <c r="Y26" i="34"/>
  <c r="Z26" i="34"/>
  <c r="AA26" i="34"/>
  <c r="AB26" i="34"/>
  <c r="AD26" i="34"/>
  <c r="AE26" i="34"/>
  <c r="AF26" i="34"/>
  <c r="AG26" i="34"/>
  <c r="P27" i="34"/>
  <c r="Q27" i="34"/>
  <c r="R27" i="34"/>
  <c r="S27" i="34"/>
  <c r="T27" i="34"/>
  <c r="U27" i="34"/>
  <c r="V27" i="34"/>
  <c r="W27" i="34"/>
  <c r="X27" i="34"/>
  <c r="Y27" i="34"/>
  <c r="Z27" i="34"/>
  <c r="AA27" i="34"/>
  <c r="AB27" i="34"/>
  <c r="AD27" i="34"/>
  <c r="AE27" i="34"/>
  <c r="AF27" i="34"/>
  <c r="AG27" i="34"/>
  <c r="P28" i="34"/>
  <c r="Q28" i="34"/>
  <c r="R28" i="34"/>
  <c r="S28" i="34"/>
  <c r="T28" i="34"/>
  <c r="U28" i="34"/>
  <c r="V28" i="34"/>
  <c r="W28" i="34"/>
  <c r="X28" i="34"/>
  <c r="Y28" i="34"/>
  <c r="Z28" i="34"/>
  <c r="AA28" i="34"/>
  <c r="AB28" i="34"/>
  <c r="AD28" i="34"/>
  <c r="AE28" i="34"/>
  <c r="AF28" i="34"/>
  <c r="AG28" i="34"/>
  <c r="P29" i="34"/>
  <c r="Q29" i="34"/>
  <c r="R29" i="34"/>
  <c r="S29" i="34"/>
  <c r="T29" i="34"/>
  <c r="U29" i="34"/>
  <c r="V29" i="34"/>
  <c r="W29" i="34"/>
  <c r="X29" i="34"/>
  <c r="Y29" i="34"/>
  <c r="Z29" i="34"/>
  <c r="AA29" i="34"/>
  <c r="AB29" i="34"/>
  <c r="AD29" i="34"/>
  <c r="AE29" i="34"/>
  <c r="AF29" i="34"/>
  <c r="AG29" i="34"/>
  <c r="P30" i="34"/>
  <c r="Q30" i="34"/>
  <c r="R30" i="34"/>
  <c r="S30" i="34"/>
  <c r="T30" i="34"/>
  <c r="U30" i="34"/>
  <c r="V30" i="34"/>
  <c r="W30" i="34"/>
  <c r="X30" i="34"/>
  <c r="Y30" i="34"/>
  <c r="Z30" i="34"/>
  <c r="AA30" i="34"/>
  <c r="AB30" i="34"/>
  <c r="AD30" i="34"/>
  <c r="AE30" i="34"/>
  <c r="AF30" i="34"/>
  <c r="AG30" i="34"/>
  <c r="P31" i="34"/>
  <c r="Q31" i="34"/>
  <c r="R31" i="34"/>
  <c r="S31" i="34"/>
  <c r="T31" i="34"/>
  <c r="U31" i="34"/>
  <c r="V31" i="34"/>
  <c r="W31" i="34"/>
  <c r="X31" i="34"/>
  <c r="Y31" i="34"/>
  <c r="Z31" i="34"/>
  <c r="AA31" i="34"/>
  <c r="AB31" i="34"/>
  <c r="AD31" i="34"/>
  <c r="AE31" i="34"/>
  <c r="AF31" i="34"/>
  <c r="AG31" i="34"/>
  <c r="P32" i="34"/>
  <c r="Q32" i="34"/>
  <c r="R32" i="34"/>
  <c r="S32" i="34"/>
  <c r="T32" i="34"/>
  <c r="U32" i="34"/>
  <c r="V32" i="34"/>
  <c r="W32" i="34"/>
  <c r="X32" i="34"/>
  <c r="Y32" i="34"/>
  <c r="Z32" i="34"/>
  <c r="AA32" i="34"/>
  <c r="AB32" i="34"/>
  <c r="AD32" i="34"/>
  <c r="AE32" i="34"/>
  <c r="AF32" i="34"/>
  <c r="AG32" i="34"/>
  <c r="P33" i="34"/>
  <c r="Q33" i="34"/>
  <c r="R33" i="34"/>
  <c r="S33" i="34"/>
  <c r="T33" i="34"/>
  <c r="U33" i="34"/>
  <c r="V33" i="34"/>
  <c r="W33" i="34"/>
  <c r="X33" i="34"/>
  <c r="Y33" i="34"/>
  <c r="Z33" i="34"/>
  <c r="AA33" i="34"/>
  <c r="AB33" i="34"/>
  <c r="AD33" i="34"/>
  <c r="AE33" i="34"/>
  <c r="AF33" i="34"/>
  <c r="AG33" i="34"/>
  <c r="P34" i="34"/>
  <c r="Q34" i="34"/>
  <c r="R34" i="34"/>
  <c r="S34" i="34"/>
  <c r="T34" i="34"/>
  <c r="U34" i="34"/>
  <c r="V34" i="34"/>
  <c r="W34" i="34"/>
  <c r="X34" i="34"/>
  <c r="Y34" i="34"/>
  <c r="Z34" i="34"/>
  <c r="AA34" i="34"/>
  <c r="AB34" i="34"/>
  <c r="AD34" i="34"/>
  <c r="AE34" i="34"/>
  <c r="AF34" i="34"/>
  <c r="AG34" i="34"/>
  <c r="P35" i="34"/>
  <c r="Q35" i="34"/>
  <c r="R35" i="34"/>
  <c r="S35" i="34"/>
  <c r="T35" i="34"/>
  <c r="U35" i="34"/>
  <c r="V35" i="34"/>
  <c r="W35" i="34"/>
  <c r="X35" i="34"/>
  <c r="Y35" i="34"/>
  <c r="Z35" i="34"/>
  <c r="AA35" i="34"/>
  <c r="AB35" i="34"/>
  <c r="AD35" i="34"/>
  <c r="AE35" i="34"/>
  <c r="AF35" i="34"/>
  <c r="AG35" i="34"/>
  <c r="P36" i="34"/>
  <c r="Q36" i="34"/>
  <c r="R36" i="34"/>
  <c r="S36" i="34"/>
  <c r="T36" i="34"/>
  <c r="U36" i="34"/>
  <c r="V36" i="34"/>
  <c r="W36" i="34"/>
  <c r="X36" i="34"/>
  <c r="Y36" i="34"/>
  <c r="Z36" i="34"/>
  <c r="AA36" i="34"/>
  <c r="AB36" i="34"/>
  <c r="AD36" i="34"/>
  <c r="AE36" i="34"/>
  <c r="AF36" i="34"/>
  <c r="AG36" i="34"/>
  <c r="P37" i="34"/>
  <c r="Q37" i="34"/>
  <c r="R37" i="34"/>
  <c r="S37" i="34"/>
  <c r="T37" i="34"/>
  <c r="U37" i="34"/>
  <c r="V37" i="34"/>
  <c r="W37" i="34"/>
  <c r="X37" i="34"/>
  <c r="Y37" i="34"/>
  <c r="Z37" i="34"/>
  <c r="AA37" i="34"/>
  <c r="AB37" i="34"/>
  <c r="AD37" i="34"/>
  <c r="AE37" i="34"/>
  <c r="AF37" i="34"/>
  <c r="AG37" i="34"/>
  <c r="P38" i="34"/>
  <c r="Q38" i="34"/>
  <c r="R38" i="34"/>
  <c r="S38" i="34"/>
  <c r="T38" i="34"/>
  <c r="U38" i="34"/>
  <c r="V38" i="34"/>
  <c r="W38" i="34"/>
  <c r="X38" i="34"/>
  <c r="Y38" i="34"/>
  <c r="Z38" i="34"/>
  <c r="AA38" i="34"/>
  <c r="AB38" i="34"/>
  <c r="AD38" i="34"/>
  <c r="AE38" i="34"/>
  <c r="AF38" i="34"/>
  <c r="AG38" i="34"/>
  <c r="P39" i="34"/>
  <c r="Q39" i="34"/>
  <c r="R39" i="34"/>
  <c r="S39" i="34"/>
  <c r="T39" i="34"/>
  <c r="U39" i="34"/>
  <c r="V39" i="34"/>
  <c r="W39" i="34"/>
  <c r="X39" i="34"/>
  <c r="Y39" i="34"/>
  <c r="Z39" i="34"/>
  <c r="AA39" i="34"/>
  <c r="AB39" i="34"/>
  <c r="AD39" i="34"/>
  <c r="AE39" i="34"/>
  <c r="AF39" i="34"/>
  <c r="AG39" i="34"/>
  <c r="P40" i="34"/>
  <c r="Q40" i="34"/>
  <c r="R40" i="34"/>
  <c r="S40" i="34"/>
  <c r="T40" i="34"/>
  <c r="U40" i="34"/>
  <c r="V40" i="34"/>
  <c r="W40" i="34"/>
  <c r="X40" i="34"/>
  <c r="Y40" i="34"/>
  <c r="Z40" i="34"/>
  <c r="AA40" i="34"/>
  <c r="AB40" i="34"/>
  <c r="AD40" i="34"/>
  <c r="AE40" i="34"/>
  <c r="AF40" i="34"/>
  <c r="AG40" i="34"/>
  <c r="P41" i="34"/>
  <c r="Q41" i="34"/>
  <c r="R41" i="34"/>
  <c r="S41" i="34"/>
  <c r="T41" i="34"/>
  <c r="U41" i="34"/>
  <c r="V41" i="34"/>
  <c r="W41" i="34"/>
  <c r="X41" i="34"/>
  <c r="Y41" i="34"/>
  <c r="Z41" i="34"/>
  <c r="AA41" i="34"/>
  <c r="AB41" i="34"/>
  <c r="AD41" i="34"/>
  <c r="AE41" i="34"/>
  <c r="AF41" i="34"/>
  <c r="AG41" i="34"/>
  <c r="P42" i="34"/>
  <c r="Q42" i="34"/>
  <c r="R42" i="34"/>
  <c r="S42" i="34"/>
  <c r="T42" i="34"/>
  <c r="U42" i="34"/>
  <c r="V42" i="34"/>
  <c r="W42" i="34"/>
  <c r="X42" i="34"/>
  <c r="Y42" i="34"/>
  <c r="Z42" i="34"/>
  <c r="AA42" i="34"/>
  <c r="AB42" i="34"/>
  <c r="AD42" i="34"/>
  <c r="AE42" i="34"/>
  <c r="AF42" i="34"/>
  <c r="AG42" i="34"/>
  <c r="P43" i="34"/>
  <c r="Q43" i="34"/>
  <c r="R43" i="34"/>
  <c r="S43" i="34"/>
  <c r="T43" i="34"/>
  <c r="U43" i="34"/>
  <c r="V43" i="34"/>
  <c r="W43" i="34"/>
  <c r="X43" i="34"/>
  <c r="Y43" i="34"/>
  <c r="Z43" i="34"/>
  <c r="AA43" i="34"/>
  <c r="AB43" i="34"/>
  <c r="AD43" i="34"/>
  <c r="AE43" i="34"/>
  <c r="AF43" i="34"/>
  <c r="AG43" i="34"/>
  <c r="P44" i="34"/>
  <c r="Q44" i="34"/>
  <c r="R44" i="34"/>
  <c r="S44" i="34"/>
  <c r="T44" i="34"/>
  <c r="U44" i="34"/>
  <c r="V44" i="34"/>
  <c r="W44" i="34"/>
  <c r="X44" i="34"/>
  <c r="Y44" i="34"/>
  <c r="Z44" i="34"/>
  <c r="AA44" i="34"/>
  <c r="AB44" i="34"/>
  <c r="AD44" i="34"/>
  <c r="AE44" i="34"/>
  <c r="AF44" i="34"/>
  <c r="AG44" i="34"/>
  <c r="P45" i="34"/>
  <c r="Q45" i="34"/>
  <c r="R45" i="34"/>
  <c r="S45" i="34"/>
  <c r="T45" i="34"/>
  <c r="U45" i="34"/>
  <c r="V45" i="34"/>
  <c r="W45" i="34"/>
  <c r="X45" i="34"/>
  <c r="Y45" i="34"/>
  <c r="Z45" i="34"/>
  <c r="AA45" i="34"/>
  <c r="AB45" i="34"/>
  <c r="AD45" i="34"/>
  <c r="AE45" i="34"/>
  <c r="AF45" i="34"/>
  <c r="AG45" i="34"/>
  <c r="P46" i="34"/>
  <c r="Q46" i="34"/>
  <c r="R46" i="34"/>
  <c r="S46" i="34"/>
  <c r="T46" i="34"/>
  <c r="U46" i="34"/>
  <c r="V46" i="34"/>
  <c r="W46" i="34"/>
  <c r="X46" i="34"/>
  <c r="Y46" i="34"/>
  <c r="Z46" i="34"/>
  <c r="AA46" i="34"/>
  <c r="AB46" i="34"/>
  <c r="AD46" i="34"/>
  <c r="AE46" i="34"/>
  <c r="AF46" i="34"/>
  <c r="AG46" i="34"/>
  <c r="P47" i="34"/>
  <c r="Q47" i="34"/>
  <c r="R47" i="34"/>
  <c r="S47" i="34"/>
  <c r="T47" i="34"/>
  <c r="U47" i="34"/>
  <c r="V47" i="34"/>
  <c r="W47" i="34"/>
  <c r="X47" i="34"/>
  <c r="Y47" i="34"/>
  <c r="Z47" i="34"/>
  <c r="AA47" i="34"/>
  <c r="AB47" i="34"/>
  <c r="AD47" i="34"/>
  <c r="AE47" i="34"/>
  <c r="AF47" i="34"/>
  <c r="AG47" i="34"/>
  <c r="P48" i="34"/>
  <c r="Q48" i="34"/>
  <c r="R48" i="34"/>
  <c r="S48" i="34"/>
  <c r="T48" i="34"/>
  <c r="U48" i="34"/>
  <c r="V48" i="34"/>
  <c r="W48" i="34"/>
  <c r="X48" i="34"/>
  <c r="Y48" i="34"/>
  <c r="Z48" i="34"/>
  <c r="AA48" i="34"/>
  <c r="AB48" i="34"/>
  <c r="AD48" i="34"/>
  <c r="AE48" i="34"/>
  <c r="AF48" i="34"/>
  <c r="AG48" i="34"/>
  <c r="P49" i="34"/>
  <c r="Q49" i="34"/>
  <c r="R49" i="34"/>
  <c r="S49" i="34"/>
  <c r="T49" i="34"/>
  <c r="U49" i="34"/>
  <c r="V49" i="34"/>
  <c r="W49" i="34"/>
  <c r="X49" i="34"/>
  <c r="Y49" i="34"/>
  <c r="Z49" i="34"/>
  <c r="AA49" i="34"/>
  <c r="AB49" i="34"/>
  <c r="AD49" i="34"/>
  <c r="AE49" i="34"/>
  <c r="AF49" i="34"/>
  <c r="AG49" i="34"/>
  <c r="P50" i="34"/>
  <c r="Q50" i="34"/>
  <c r="R50" i="34"/>
  <c r="S50" i="34"/>
  <c r="T50" i="34"/>
  <c r="U50" i="34"/>
  <c r="V50" i="34"/>
  <c r="W50" i="34"/>
  <c r="X50" i="34"/>
  <c r="Y50" i="34"/>
  <c r="Z50" i="34"/>
  <c r="AA50" i="34"/>
  <c r="AB50" i="34"/>
  <c r="AD50" i="34"/>
  <c r="AE50" i="34"/>
  <c r="AF50" i="34"/>
  <c r="AG50" i="34"/>
  <c r="P51" i="34"/>
  <c r="Q51" i="34"/>
  <c r="R51" i="34"/>
  <c r="S51" i="34"/>
  <c r="T51" i="34"/>
  <c r="U51" i="34"/>
  <c r="V51" i="34"/>
  <c r="W51" i="34"/>
  <c r="X51" i="34"/>
  <c r="Y51" i="34"/>
  <c r="Z51" i="34"/>
  <c r="AA51" i="34"/>
  <c r="AB51" i="34"/>
  <c r="AD51" i="34"/>
  <c r="AE51" i="34"/>
  <c r="AF51" i="34"/>
  <c r="AG51" i="34"/>
  <c r="P52" i="34"/>
  <c r="Q52" i="34"/>
  <c r="R52" i="34"/>
  <c r="S52" i="34"/>
  <c r="T52" i="34"/>
  <c r="U52" i="34"/>
  <c r="V52" i="34"/>
  <c r="W52" i="34"/>
  <c r="X52" i="34"/>
  <c r="Y52" i="34"/>
  <c r="Z52" i="34"/>
  <c r="AA52" i="34"/>
  <c r="AB52" i="34"/>
  <c r="AD52" i="34"/>
  <c r="AE52" i="34"/>
  <c r="AF52" i="34"/>
  <c r="AG52" i="34"/>
  <c r="P53" i="34"/>
  <c r="Q53" i="34"/>
  <c r="R53" i="34"/>
  <c r="S53" i="34"/>
  <c r="T53" i="34"/>
  <c r="U53" i="34"/>
  <c r="V53" i="34"/>
  <c r="W53" i="34"/>
  <c r="X53" i="34"/>
  <c r="Y53" i="34"/>
  <c r="Z53" i="34"/>
  <c r="AA53" i="34"/>
  <c r="AB53" i="34"/>
  <c r="AD53" i="34"/>
  <c r="AE53" i="34"/>
  <c r="AF53" i="34"/>
  <c r="AG53" i="34"/>
  <c r="P54" i="34"/>
  <c r="Q54" i="34"/>
  <c r="R54" i="34"/>
  <c r="S54" i="34"/>
  <c r="T54" i="34"/>
  <c r="U54" i="34"/>
  <c r="V54" i="34"/>
  <c r="W54" i="34"/>
  <c r="X54" i="34"/>
  <c r="Y54" i="34"/>
  <c r="Z54" i="34"/>
  <c r="AA54" i="34"/>
  <c r="AB54" i="34"/>
  <c r="AD54" i="34"/>
  <c r="AE54" i="34"/>
  <c r="AF54" i="34"/>
  <c r="AG54" i="34"/>
  <c r="P55" i="34"/>
  <c r="Q55" i="34"/>
  <c r="R55" i="34"/>
  <c r="S55" i="34"/>
  <c r="T55" i="34"/>
  <c r="U55" i="34"/>
  <c r="V55" i="34"/>
  <c r="W55" i="34"/>
  <c r="X55" i="34"/>
  <c r="Y55" i="34"/>
  <c r="Z55" i="34"/>
  <c r="AA55" i="34"/>
  <c r="AB55" i="34"/>
  <c r="AD55" i="34"/>
  <c r="AE55" i="34"/>
  <c r="AF55" i="34"/>
  <c r="AG55" i="34"/>
  <c r="P56" i="34"/>
  <c r="Q56" i="34"/>
  <c r="R56" i="34"/>
  <c r="S56" i="34"/>
  <c r="T56" i="34"/>
  <c r="U56" i="34"/>
  <c r="V56" i="34"/>
  <c r="W56" i="34"/>
  <c r="X56" i="34"/>
  <c r="Y56" i="34"/>
  <c r="Z56" i="34"/>
  <c r="AA56" i="34"/>
  <c r="AB56" i="34"/>
  <c r="AD56" i="34"/>
  <c r="AE56" i="34"/>
  <c r="AF56" i="34"/>
  <c r="AG56" i="34"/>
  <c r="P57" i="34"/>
  <c r="Q57" i="34"/>
  <c r="R57" i="34"/>
  <c r="S57" i="34"/>
  <c r="T57" i="34"/>
  <c r="U57" i="34"/>
  <c r="V57" i="34"/>
  <c r="W57" i="34"/>
  <c r="X57" i="34"/>
  <c r="Y57" i="34"/>
  <c r="Z57" i="34"/>
  <c r="AA57" i="34"/>
  <c r="AB57" i="34"/>
  <c r="AD57" i="34"/>
  <c r="AE57" i="34"/>
  <c r="AF57" i="34"/>
  <c r="AG57" i="34"/>
  <c r="P58" i="34"/>
  <c r="Q58" i="34"/>
  <c r="R58" i="34"/>
  <c r="S58" i="34"/>
  <c r="T58" i="34"/>
  <c r="U58" i="34"/>
  <c r="V58" i="34"/>
  <c r="W58" i="34"/>
  <c r="X58" i="34"/>
  <c r="Y58" i="34"/>
  <c r="Z58" i="34"/>
  <c r="AA58" i="34"/>
  <c r="AB58" i="34"/>
  <c r="AD58" i="34"/>
  <c r="AE58" i="34"/>
  <c r="AF58" i="34"/>
  <c r="AG58" i="34"/>
  <c r="P59" i="34"/>
  <c r="Q59" i="34"/>
  <c r="R59" i="34"/>
  <c r="S59" i="34"/>
  <c r="T59" i="34"/>
  <c r="U59" i="34"/>
  <c r="V59" i="34"/>
  <c r="W59" i="34"/>
  <c r="X59" i="34"/>
  <c r="Y59" i="34"/>
  <c r="Z59" i="34"/>
  <c r="AA59" i="34"/>
  <c r="AB59" i="34"/>
  <c r="AD59" i="34"/>
  <c r="AE59" i="34"/>
  <c r="AF59" i="34"/>
  <c r="AG59" i="34"/>
  <c r="P60" i="34"/>
  <c r="Q60" i="34"/>
  <c r="R60" i="34"/>
  <c r="S60" i="34"/>
  <c r="T60" i="34"/>
  <c r="U60" i="34"/>
  <c r="V60" i="34"/>
  <c r="W60" i="34"/>
  <c r="X60" i="34"/>
  <c r="Y60" i="34"/>
  <c r="Z60" i="34"/>
  <c r="AA60" i="34"/>
  <c r="AB60" i="34"/>
  <c r="AD60" i="34"/>
  <c r="AE60" i="34"/>
  <c r="AF60" i="34"/>
  <c r="AG60" i="34"/>
  <c r="P61" i="34"/>
  <c r="Q61" i="34"/>
  <c r="R61" i="34"/>
  <c r="S61" i="34"/>
  <c r="T61" i="34"/>
  <c r="U61" i="34"/>
  <c r="V61" i="34"/>
  <c r="W61" i="34"/>
  <c r="X61" i="34"/>
  <c r="Y61" i="34"/>
  <c r="Z61" i="34"/>
  <c r="AA61" i="34"/>
  <c r="AB61" i="34"/>
  <c r="AD61" i="34"/>
  <c r="AE61" i="34"/>
  <c r="AF61" i="34"/>
  <c r="AG61" i="34"/>
  <c r="P62" i="34"/>
  <c r="Q62" i="34"/>
  <c r="R62" i="34"/>
  <c r="S62" i="34"/>
  <c r="T62" i="34"/>
  <c r="U62" i="34"/>
  <c r="V62" i="34"/>
  <c r="W62" i="34"/>
  <c r="X62" i="34"/>
  <c r="Y62" i="34"/>
  <c r="Z62" i="34"/>
  <c r="AA62" i="34"/>
  <c r="AB62" i="34"/>
  <c r="AD62" i="34"/>
  <c r="AE62" i="34"/>
  <c r="AF62" i="34"/>
  <c r="AG62" i="34"/>
  <c r="P63" i="34"/>
  <c r="Q63" i="34"/>
  <c r="R63" i="34"/>
  <c r="S63" i="34"/>
  <c r="T63" i="34"/>
  <c r="U63" i="34"/>
  <c r="V63" i="34"/>
  <c r="W63" i="34"/>
  <c r="X63" i="34"/>
  <c r="Y63" i="34"/>
  <c r="Z63" i="34"/>
  <c r="AA63" i="34"/>
  <c r="AB63" i="34"/>
  <c r="AD63" i="34"/>
  <c r="AE63" i="34"/>
  <c r="AF63" i="34"/>
  <c r="AG63" i="34"/>
  <c r="P64" i="34"/>
  <c r="Q64" i="34"/>
  <c r="R64" i="34"/>
  <c r="S64" i="34"/>
  <c r="T64" i="34"/>
  <c r="U64" i="34"/>
  <c r="V64" i="34"/>
  <c r="W64" i="34"/>
  <c r="X64" i="34"/>
  <c r="Y64" i="34"/>
  <c r="Z64" i="34"/>
  <c r="AA64" i="34"/>
  <c r="AB64" i="34"/>
  <c r="AD64" i="34"/>
  <c r="AE64" i="34"/>
  <c r="AF64" i="34"/>
  <c r="AG64" i="34"/>
  <c r="P65" i="34"/>
  <c r="Q65" i="34"/>
  <c r="R65" i="34"/>
  <c r="S65" i="34"/>
  <c r="T65" i="34"/>
  <c r="U65" i="34"/>
  <c r="V65" i="34"/>
  <c r="W65" i="34"/>
  <c r="X65" i="34"/>
  <c r="Y65" i="34"/>
  <c r="Z65" i="34"/>
  <c r="AA65" i="34"/>
  <c r="AB65" i="34"/>
  <c r="AD65" i="34"/>
  <c r="AE65" i="34"/>
  <c r="AF65" i="34"/>
  <c r="AG65" i="34"/>
  <c r="P66" i="34"/>
  <c r="Q66" i="34"/>
  <c r="R66" i="34"/>
  <c r="S66" i="34"/>
  <c r="T66" i="34"/>
  <c r="U66" i="34"/>
  <c r="V66" i="34"/>
  <c r="W66" i="34"/>
  <c r="X66" i="34"/>
  <c r="Y66" i="34"/>
  <c r="Z66" i="34"/>
  <c r="AA66" i="34"/>
  <c r="AB66" i="34"/>
  <c r="AD66" i="34"/>
  <c r="AE66" i="34"/>
  <c r="AF66" i="34"/>
  <c r="AG66" i="34"/>
  <c r="P67" i="34"/>
  <c r="Q67" i="34"/>
  <c r="R67" i="34"/>
  <c r="S67" i="34"/>
  <c r="T67" i="34"/>
  <c r="U67" i="34"/>
  <c r="V67" i="34"/>
  <c r="W67" i="34"/>
  <c r="X67" i="34"/>
  <c r="Y67" i="34"/>
  <c r="Z67" i="34"/>
  <c r="AA67" i="34"/>
  <c r="AB67" i="34"/>
  <c r="AD67" i="34"/>
  <c r="AE67" i="34"/>
  <c r="AF67" i="34"/>
  <c r="AG67" i="34"/>
  <c r="P68" i="34"/>
  <c r="Q68" i="34"/>
  <c r="R68" i="34"/>
  <c r="S68" i="34"/>
  <c r="T68" i="34"/>
  <c r="U68" i="34"/>
  <c r="V68" i="34"/>
  <c r="W68" i="34"/>
  <c r="X68" i="34"/>
  <c r="Y68" i="34"/>
  <c r="Z68" i="34"/>
  <c r="AA68" i="34"/>
  <c r="AB68" i="34"/>
  <c r="AD68" i="34"/>
  <c r="AE68" i="34"/>
  <c r="AF68" i="34"/>
  <c r="AG68" i="34"/>
  <c r="P69" i="34"/>
  <c r="Q69" i="34"/>
  <c r="R69" i="34"/>
  <c r="S69" i="34"/>
  <c r="T69" i="34"/>
  <c r="U69" i="34"/>
  <c r="V69" i="34"/>
  <c r="W69" i="34"/>
  <c r="X69" i="34"/>
  <c r="Y69" i="34"/>
  <c r="Z69" i="34"/>
  <c r="AA69" i="34"/>
  <c r="AB69" i="34"/>
  <c r="AD69" i="34"/>
  <c r="AE69" i="34"/>
  <c r="AF69" i="34"/>
  <c r="AG69" i="34"/>
  <c r="P70" i="34"/>
  <c r="Q70" i="34"/>
  <c r="R70" i="34"/>
  <c r="S70" i="34"/>
  <c r="T70" i="34"/>
  <c r="U70" i="34"/>
  <c r="V70" i="34"/>
  <c r="W70" i="34"/>
  <c r="X70" i="34"/>
  <c r="Y70" i="34"/>
  <c r="Z70" i="34"/>
  <c r="AA70" i="34"/>
  <c r="AB70" i="34"/>
  <c r="AD70" i="34"/>
  <c r="AE70" i="34"/>
  <c r="AF70" i="34"/>
  <c r="AG70" i="34"/>
  <c r="P71" i="34"/>
  <c r="Q71" i="34"/>
  <c r="R71" i="34"/>
  <c r="S71" i="34"/>
  <c r="T71" i="34"/>
  <c r="U71" i="34"/>
  <c r="V71" i="34"/>
  <c r="W71" i="34"/>
  <c r="X71" i="34"/>
  <c r="Y71" i="34"/>
  <c r="Z71" i="34"/>
  <c r="AA71" i="34"/>
  <c r="AB71" i="34"/>
  <c r="AD71" i="34"/>
  <c r="AE71" i="34"/>
  <c r="AF71" i="34"/>
  <c r="AG71" i="34"/>
  <c r="P72" i="34"/>
  <c r="Q72" i="34"/>
  <c r="R72" i="34"/>
  <c r="S72" i="34"/>
  <c r="T72" i="34"/>
  <c r="U72" i="34"/>
  <c r="V72" i="34"/>
  <c r="W72" i="34"/>
  <c r="X72" i="34"/>
  <c r="Y72" i="34"/>
  <c r="Z72" i="34"/>
  <c r="AA72" i="34"/>
  <c r="AB72" i="34"/>
  <c r="AD72" i="34"/>
  <c r="AE72" i="34"/>
  <c r="AF72" i="34"/>
  <c r="AG72" i="34"/>
  <c r="P73" i="34"/>
  <c r="Q73" i="34"/>
  <c r="R73" i="34"/>
  <c r="S73" i="34"/>
  <c r="T73" i="34"/>
  <c r="U73" i="34"/>
  <c r="V73" i="34"/>
  <c r="W73" i="34"/>
  <c r="X73" i="34"/>
  <c r="Y73" i="34"/>
  <c r="Z73" i="34"/>
  <c r="AA73" i="34"/>
  <c r="AB73" i="34"/>
  <c r="AD73" i="34"/>
  <c r="AE73" i="34"/>
  <c r="AF73" i="34"/>
  <c r="AG73" i="34"/>
  <c r="P74" i="34"/>
  <c r="Q74" i="34"/>
  <c r="R74" i="34"/>
  <c r="S74" i="34"/>
  <c r="T74" i="34"/>
  <c r="U74" i="34"/>
  <c r="V74" i="34"/>
  <c r="W74" i="34"/>
  <c r="X74" i="34"/>
  <c r="Y74" i="34"/>
  <c r="Z74" i="34"/>
  <c r="AA74" i="34"/>
  <c r="AB74" i="34"/>
  <c r="AD74" i="34"/>
  <c r="AE74" i="34"/>
  <c r="AF74" i="34"/>
  <c r="AG74" i="34"/>
  <c r="P75" i="34"/>
  <c r="Q75" i="34"/>
  <c r="R75" i="34"/>
  <c r="S75" i="34"/>
  <c r="T75" i="34"/>
  <c r="U75" i="34"/>
  <c r="V75" i="34"/>
  <c r="W75" i="34"/>
  <c r="X75" i="34"/>
  <c r="Y75" i="34"/>
  <c r="Z75" i="34"/>
  <c r="AA75" i="34"/>
  <c r="AB75" i="34"/>
  <c r="AD75" i="34"/>
  <c r="AE75" i="34"/>
  <c r="AF75" i="34"/>
  <c r="AG75" i="34"/>
  <c r="P76" i="34"/>
  <c r="Q76" i="34"/>
  <c r="R76" i="34"/>
  <c r="S76" i="34"/>
  <c r="T76" i="34"/>
  <c r="U76" i="34"/>
  <c r="V76" i="34"/>
  <c r="W76" i="34"/>
  <c r="X76" i="34"/>
  <c r="Y76" i="34"/>
  <c r="Z76" i="34"/>
  <c r="AA76" i="34"/>
  <c r="AB76" i="34"/>
  <c r="AD76" i="34"/>
  <c r="AE76" i="34"/>
  <c r="AF76" i="34"/>
  <c r="AG76" i="34"/>
  <c r="P77" i="34"/>
  <c r="Q77" i="34"/>
  <c r="R77" i="34"/>
  <c r="S77" i="34"/>
  <c r="T77" i="34"/>
  <c r="U77" i="34"/>
  <c r="V77" i="34"/>
  <c r="W77" i="34"/>
  <c r="X77" i="34"/>
  <c r="Y77" i="34"/>
  <c r="Z77" i="34"/>
  <c r="AA77" i="34"/>
  <c r="AB77" i="34"/>
  <c r="AD77" i="34"/>
  <c r="AE77" i="34"/>
  <c r="AF77" i="34"/>
  <c r="AG77" i="34"/>
  <c r="P78" i="34"/>
  <c r="Q78" i="34"/>
  <c r="R78" i="34"/>
  <c r="S78" i="34"/>
  <c r="T78" i="34"/>
  <c r="U78" i="34"/>
  <c r="V78" i="34"/>
  <c r="W78" i="34"/>
  <c r="X78" i="34"/>
  <c r="Y78" i="34"/>
  <c r="Z78" i="34"/>
  <c r="AA78" i="34"/>
  <c r="AB78" i="34"/>
  <c r="AD78" i="34"/>
  <c r="AE78" i="34"/>
  <c r="AF78" i="34"/>
  <c r="AG78" i="34"/>
  <c r="P79" i="34"/>
  <c r="Q79" i="34"/>
  <c r="R79" i="34"/>
  <c r="S79" i="34"/>
  <c r="T79" i="34"/>
  <c r="U79" i="34"/>
  <c r="V79" i="34"/>
  <c r="W79" i="34"/>
  <c r="X79" i="34"/>
  <c r="Y79" i="34"/>
  <c r="Z79" i="34"/>
  <c r="AA79" i="34"/>
  <c r="AB79" i="34"/>
  <c r="AD79" i="34"/>
  <c r="AE79" i="34"/>
  <c r="AF79" i="34"/>
  <c r="AG79" i="34"/>
  <c r="P80" i="34"/>
  <c r="Q80" i="34"/>
  <c r="R80" i="34"/>
  <c r="S80" i="34"/>
  <c r="T80" i="34"/>
  <c r="U80" i="34"/>
  <c r="V80" i="34"/>
  <c r="W80" i="34"/>
  <c r="X80" i="34"/>
  <c r="Y80" i="34"/>
  <c r="Z80" i="34"/>
  <c r="AA80" i="34"/>
  <c r="AB80" i="34"/>
  <c r="AD80" i="34"/>
  <c r="AE80" i="34"/>
  <c r="AF80" i="34"/>
  <c r="AG80" i="34"/>
  <c r="P81" i="34"/>
  <c r="Q81" i="34"/>
  <c r="R81" i="34"/>
  <c r="S81" i="34"/>
  <c r="T81" i="34"/>
  <c r="U81" i="34"/>
  <c r="V81" i="34"/>
  <c r="W81" i="34"/>
  <c r="X81" i="34"/>
  <c r="Y81" i="34"/>
  <c r="Z81" i="34"/>
  <c r="AA81" i="34"/>
  <c r="AB81" i="34"/>
  <c r="AD81" i="34"/>
  <c r="AE81" i="34"/>
  <c r="AF81" i="34"/>
  <c r="AG81" i="34"/>
  <c r="P82" i="34"/>
  <c r="Q82" i="34"/>
  <c r="R82" i="34"/>
  <c r="S82" i="34"/>
  <c r="T82" i="34"/>
  <c r="U82" i="34"/>
  <c r="V82" i="34"/>
  <c r="W82" i="34"/>
  <c r="X82" i="34"/>
  <c r="Y82" i="34"/>
  <c r="Z82" i="34"/>
  <c r="AA82" i="34"/>
  <c r="AB82" i="34"/>
  <c r="AD82" i="34"/>
  <c r="AE82" i="34"/>
  <c r="AF82" i="34"/>
  <c r="AG82" i="34"/>
  <c r="P83" i="34"/>
  <c r="Q83" i="34"/>
  <c r="R83" i="34"/>
  <c r="S83" i="34"/>
  <c r="T83" i="34"/>
  <c r="U83" i="34"/>
  <c r="V83" i="34"/>
  <c r="W83" i="34"/>
  <c r="X83" i="34"/>
  <c r="Y83" i="34"/>
  <c r="Z83" i="34"/>
  <c r="AA83" i="34"/>
  <c r="AB83" i="34"/>
  <c r="AD83" i="34"/>
  <c r="AE83" i="34"/>
  <c r="AF83" i="34"/>
  <c r="AG83" i="34"/>
  <c r="P84" i="34"/>
  <c r="Q84" i="34"/>
  <c r="R84" i="34"/>
  <c r="S84" i="34"/>
  <c r="T84" i="34"/>
  <c r="U84" i="34"/>
  <c r="V84" i="34"/>
  <c r="W84" i="34"/>
  <c r="X84" i="34"/>
  <c r="Y84" i="34"/>
  <c r="Z84" i="34"/>
  <c r="AA84" i="34"/>
  <c r="AB84" i="34"/>
  <c r="AD84" i="34"/>
  <c r="AE84" i="34"/>
  <c r="AF84" i="34"/>
  <c r="AG84" i="34"/>
  <c r="P85" i="34"/>
  <c r="Q85" i="34"/>
  <c r="R85" i="34"/>
  <c r="S85" i="34"/>
  <c r="T85" i="34"/>
  <c r="U85" i="34"/>
  <c r="V85" i="34"/>
  <c r="W85" i="34"/>
  <c r="X85" i="34"/>
  <c r="Y85" i="34"/>
  <c r="Z85" i="34"/>
  <c r="AA85" i="34"/>
  <c r="AB85" i="34"/>
  <c r="AD85" i="34"/>
  <c r="AE85" i="34"/>
  <c r="AF85" i="34"/>
  <c r="AG85" i="34"/>
  <c r="P86" i="34"/>
  <c r="Q86" i="34"/>
  <c r="R86" i="34"/>
  <c r="S86" i="34"/>
  <c r="T86" i="34"/>
  <c r="U86" i="34"/>
  <c r="V86" i="34"/>
  <c r="W86" i="34"/>
  <c r="X86" i="34"/>
  <c r="Y86" i="34"/>
  <c r="Z86" i="34"/>
  <c r="AA86" i="34"/>
  <c r="AB86" i="34"/>
  <c r="AD86" i="34"/>
  <c r="AE86" i="34"/>
  <c r="AF86" i="34"/>
  <c r="AG86" i="34"/>
  <c r="P87" i="34"/>
  <c r="Q87" i="34"/>
  <c r="R87" i="34"/>
  <c r="S87" i="34"/>
  <c r="T87" i="34"/>
  <c r="U87" i="34"/>
  <c r="V87" i="34"/>
  <c r="W87" i="34"/>
  <c r="X87" i="34"/>
  <c r="Y87" i="34"/>
  <c r="Z87" i="34"/>
  <c r="AA87" i="34"/>
  <c r="AB87" i="34"/>
  <c r="AD87" i="34"/>
  <c r="AE87" i="34"/>
  <c r="AF87" i="34"/>
  <c r="AG87" i="34"/>
  <c r="P88" i="34"/>
  <c r="Q88" i="34"/>
  <c r="R88" i="34"/>
  <c r="S88" i="34"/>
  <c r="T88" i="34"/>
  <c r="U88" i="34"/>
  <c r="V88" i="34"/>
  <c r="W88" i="34"/>
  <c r="X88" i="34"/>
  <c r="Y88" i="34"/>
  <c r="Z88" i="34"/>
  <c r="AA88" i="34"/>
  <c r="AB88" i="34"/>
  <c r="AD88" i="34"/>
  <c r="AE88" i="34"/>
  <c r="AF88" i="34"/>
  <c r="AG88" i="34"/>
  <c r="P89" i="34"/>
  <c r="Q89" i="34"/>
  <c r="R89" i="34"/>
  <c r="S89" i="34"/>
  <c r="T89" i="34"/>
  <c r="U89" i="34"/>
  <c r="V89" i="34"/>
  <c r="W89" i="34"/>
  <c r="X89" i="34"/>
  <c r="Y89" i="34"/>
  <c r="Z89" i="34"/>
  <c r="AA89" i="34"/>
  <c r="AB89" i="34"/>
  <c r="AD89" i="34"/>
  <c r="AE89" i="34"/>
  <c r="AF89" i="34"/>
  <c r="AG89" i="34"/>
  <c r="P90" i="34"/>
  <c r="Q90" i="34"/>
  <c r="R90" i="34"/>
  <c r="S90" i="34"/>
  <c r="T90" i="34"/>
  <c r="U90" i="34"/>
  <c r="V90" i="34"/>
  <c r="W90" i="34"/>
  <c r="X90" i="34"/>
  <c r="Y90" i="34"/>
  <c r="Z90" i="34"/>
  <c r="AA90" i="34"/>
  <c r="AB90" i="34"/>
  <c r="AD90" i="34"/>
  <c r="AE90" i="34"/>
  <c r="AF90" i="34"/>
  <c r="AG90" i="34"/>
  <c r="P91" i="34"/>
  <c r="Q91" i="34"/>
  <c r="R91" i="34"/>
  <c r="S91" i="34"/>
  <c r="T91" i="34"/>
  <c r="U91" i="34"/>
  <c r="V91" i="34"/>
  <c r="W91" i="34"/>
  <c r="X91" i="34"/>
  <c r="Y91" i="34"/>
  <c r="Z91" i="34"/>
  <c r="AA91" i="34"/>
  <c r="AB91" i="34"/>
  <c r="AD91" i="34"/>
  <c r="AE91" i="34"/>
  <c r="AF91" i="34"/>
  <c r="AG91" i="34"/>
  <c r="P92" i="34"/>
  <c r="Q92" i="34"/>
  <c r="R92" i="34"/>
  <c r="S92" i="34"/>
  <c r="T92" i="34"/>
  <c r="U92" i="34"/>
  <c r="V92" i="34"/>
  <c r="W92" i="34"/>
  <c r="X92" i="34"/>
  <c r="Y92" i="34"/>
  <c r="Z92" i="34"/>
  <c r="AA92" i="34"/>
  <c r="AB92" i="34"/>
  <c r="AD92" i="34"/>
  <c r="AE92" i="34"/>
  <c r="AF92" i="34"/>
  <c r="AG92" i="34"/>
  <c r="P93" i="34"/>
  <c r="Q93" i="34"/>
  <c r="R93" i="34"/>
  <c r="S93" i="34"/>
  <c r="T93" i="34"/>
  <c r="U93" i="34"/>
  <c r="V93" i="34"/>
  <c r="W93" i="34"/>
  <c r="X93" i="34"/>
  <c r="Y93" i="34"/>
  <c r="Z93" i="34"/>
  <c r="AA93" i="34"/>
  <c r="AB93" i="34"/>
  <c r="AD93" i="34"/>
  <c r="AE93" i="34"/>
  <c r="AF93" i="34"/>
  <c r="AG93" i="34"/>
  <c r="P94" i="34"/>
  <c r="Q94" i="34"/>
  <c r="R94" i="34"/>
  <c r="S94" i="34"/>
  <c r="T94" i="34"/>
  <c r="U94" i="34"/>
  <c r="V94" i="34"/>
  <c r="W94" i="34"/>
  <c r="X94" i="34"/>
  <c r="Y94" i="34"/>
  <c r="Z94" i="34"/>
  <c r="AA94" i="34"/>
  <c r="AB94" i="34"/>
  <c r="AD94" i="34"/>
  <c r="AE94" i="34"/>
  <c r="AF94" i="34"/>
  <c r="AG94" i="34"/>
  <c r="P95" i="34"/>
  <c r="Q95" i="34"/>
  <c r="R95" i="34"/>
  <c r="S95" i="34"/>
  <c r="T95" i="34"/>
  <c r="U95" i="34"/>
  <c r="V95" i="34"/>
  <c r="W95" i="34"/>
  <c r="X95" i="34"/>
  <c r="Y95" i="34"/>
  <c r="Z95" i="34"/>
  <c r="AA95" i="34"/>
  <c r="AB95" i="34"/>
  <c r="AD95" i="34"/>
  <c r="AE95" i="34"/>
  <c r="AF95" i="34"/>
  <c r="AG95" i="34"/>
  <c r="P96" i="34"/>
  <c r="Q96" i="34"/>
  <c r="R96" i="34"/>
  <c r="S96" i="34"/>
  <c r="T96" i="34"/>
  <c r="U96" i="34"/>
  <c r="V96" i="34"/>
  <c r="W96" i="34"/>
  <c r="X96" i="34"/>
  <c r="Y96" i="34"/>
  <c r="Z96" i="34"/>
  <c r="AA96" i="34"/>
  <c r="AB96" i="34"/>
  <c r="AD96" i="34"/>
  <c r="AE96" i="34"/>
  <c r="AF96" i="34"/>
  <c r="AG96" i="34"/>
  <c r="P97" i="34"/>
  <c r="Q97" i="34"/>
  <c r="R97" i="34"/>
  <c r="S97" i="34"/>
  <c r="T97" i="34"/>
  <c r="U97" i="34"/>
  <c r="V97" i="34"/>
  <c r="W97" i="34"/>
  <c r="X97" i="34"/>
  <c r="Y97" i="34"/>
  <c r="Z97" i="34"/>
  <c r="AA97" i="34"/>
  <c r="AB97" i="34"/>
  <c r="AD97" i="34"/>
  <c r="AE97" i="34"/>
  <c r="AF97" i="34"/>
  <c r="AG97" i="34"/>
  <c r="P98" i="34"/>
  <c r="Q98" i="34"/>
  <c r="R98" i="34"/>
  <c r="S98" i="34"/>
  <c r="T98" i="34"/>
  <c r="U98" i="34"/>
  <c r="V98" i="34"/>
  <c r="W98" i="34"/>
  <c r="X98" i="34"/>
  <c r="Y98" i="34"/>
  <c r="Z98" i="34"/>
  <c r="AA98" i="34"/>
  <c r="AB98" i="34"/>
  <c r="AD98" i="34"/>
  <c r="AE98" i="34"/>
  <c r="AF98" i="34"/>
  <c r="AG98" i="34"/>
  <c r="P99" i="34"/>
  <c r="Q99" i="34"/>
  <c r="R99" i="34"/>
  <c r="S99" i="34"/>
  <c r="T99" i="34"/>
  <c r="U99" i="34"/>
  <c r="V99" i="34"/>
  <c r="W99" i="34"/>
  <c r="X99" i="34"/>
  <c r="Y99" i="34"/>
  <c r="Z99" i="34"/>
  <c r="AA99" i="34"/>
  <c r="AB99" i="34"/>
  <c r="AD99" i="34"/>
  <c r="AE99" i="34"/>
  <c r="AF99" i="34"/>
  <c r="AG99" i="34"/>
  <c r="P100" i="34"/>
  <c r="Q100" i="34"/>
  <c r="R100" i="34"/>
  <c r="S100" i="34"/>
  <c r="T100" i="34"/>
  <c r="U100" i="34"/>
  <c r="V100" i="34"/>
  <c r="W100" i="34"/>
  <c r="X100" i="34"/>
  <c r="Y100" i="34"/>
  <c r="Z100" i="34"/>
  <c r="AA100" i="34"/>
  <c r="AB100" i="34"/>
  <c r="AD100" i="34"/>
  <c r="AE100" i="34"/>
  <c r="AF100" i="34"/>
  <c r="AG100" i="34"/>
  <c r="P101" i="34"/>
  <c r="Q101" i="34"/>
  <c r="R101" i="34"/>
  <c r="S101" i="34"/>
  <c r="T101" i="34"/>
  <c r="U101" i="34"/>
  <c r="V101" i="34"/>
  <c r="W101" i="34"/>
  <c r="X101" i="34"/>
  <c r="Y101" i="34"/>
  <c r="Z101" i="34"/>
  <c r="AA101" i="34"/>
  <c r="AB101" i="34"/>
  <c r="AD101" i="34"/>
  <c r="AE101" i="34"/>
  <c r="AF101" i="34"/>
  <c r="AG101" i="34"/>
  <c r="P102" i="34"/>
  <c r="Q102" i="34"/>
  <c r="R102" i="34"/>
  <c r="S102" i="34"/>
  <c r="T102" i="34"/>
  <c r="U102" i="34"/>
  <c r="V102" i="34"/>
  <c r="W102" i="34"/>
  <c r="X102" i="34"/>
  <c r="Y102" i="34"/>
  <c r="Z102" i="34"/>
  <c r="AA102" i="34"/>
  <c r="AB102" i="34"/>
  <c r="AD102" i="34"/>
  <c r="AE102" i="34"/>
  <c r="AF102" i="34"/>
  <c r="AG102" i="34"/>
  <c r="P103" i="34"/>
  <c r="Q103" i="34"/>
  <c r="R103" i="34"/>
  <c r="S103" i="34"/>
  <c r="T103" i="34"/>
  <c r="U103" i="34"/>
  <c r="V103" i="34"/>
  <c r="W103" i="34"/>
  <c r="X103" i="34"/>
  <c r="Y103" i="34"/>
  <c r="Z103" i="34"/>
  <c r="AA103" i="34"/>
  <c r="AB103" i="34"/>
  <c r="AD103" i="34"/>
  <c r="AE103" i="34"/>
  <c r="AF103" i="34"/>
  <c r="AG103" i="34"/>
  <c r="P104" i="34"/>
  <c r="Q104" i="34"/>
  <c r="R104" i="34"/>
  <c r="S104" i="34"/>
  <c r="T104" i="34"/>
  <c r="U104" i="34"/>
  <c r="V104" i="34"/>
  <c r="W104" i="34"/>
  <c r="X104" i="34"/>
  <c r="Y104" i="34"/>
  <c r="Z104" i="34"/>
  <c r="AA104" i="34"/>
  <c r="AB104" i="34"/>
  <c r="AD104" i="34"/>
  <c r="AE104" i="34"/>
  <c r="AF104" i="34"/>
  <c r="AG104" i="34"/>
  <c r="P105" i="34"/>
  <c r="Q105" i="34"/>
  <c r="R105" i="34"/>
  <c r="S105" i="34"/>
  <c r="T105" i="34"/>
  <c r="U105" i="34"/>
  <c r="V105" i="34"/>
  <c r="W105" i="34"/>
  <c r="X105" i="34"/>
  <c r="Y105" i="34"/>
  <c r="Z105" i="34"/>
  <c r="AA105" i="34"/>
  <c r="AB105" i="34"/>
  <c r="AD105" i="34"/>
  <c r="AE105" i="34"/>
  <c r="AF105" i="34"/>
  <c r="AG105" i="34"/>
  <c r="P106" i="34"/>
  <c r="Q106" i="34"/>
  <c r="R106" i="34"/>
  <c r="S106" i="34"/>
  <c r="T106" i="34"/>
  <c r="U106" i="34"/>
  <c r="V106" i="34"/>
  <c r="W106" i="34"/>
  <c r="X106" i="34"/>
  <c r="Y106" i="34"/>
  <c r="Z106" i="34"/>
  <c r="AA106" i="34"/>
  <c r="AB106" i="34"/>
  <c r="AD106" i="34"/>
  <c r="AE106" i="34"/>
  <c r="AF106" i="34"/>
  <c r="AG106" i="34"/>
  <c r="P107" i="34"/>
  <c r="Q107" i="34"/>
  <c r="R107" i="34"/>
  <c r="S107" i="34"/>
  <c r="T107" i="34"/>
  <c r="U107" i="34"/>
  <c r="V107" i="34"/>
  <c r="W107" i="34"/>
  <c r="X107" i="34"/>
  <c r="Y107" i="34"/>
  <c r="Z107" i="34"/>
  <c r="AA107" i="34"/>
  <c r="AB107" i="34"/>
  <c r="AD107" i="34"/>
  <c r="AE107" i="34"/>
  <c r="AF107" i="34"/>
  <c r="AG107" i="34"/>
  <c r="P108" i="34"/>
  <c r="Q108" i="34"/>
  <c r="R108" i="34"/>
  <c r="S108" i="34"/>
  <c r="T108" i="34"/>
  <c r="U108" i="34"/>
  <c r="V108" i="34"/>
  <c r="W108" i="34"/>
  <c r="X108" i="34"/>
  <c r="Y108" i="34"/>
  <c r="Z108" i="34"/>
  <c r="AA108" i="34"/>
  <c r="AB108" i="34"/>
  <c r="AD108" i="34"/>
  <c r="AE108" i="34"/>
  <c r="AF108" i="34"/>
  <c r="AG108" i="34"/>
  <c r="P109" i="34"/>
  <c r="Q109" i="34"/>
  <c r="R109" i="34"/>
  <c r="S109" i="34"/>
  <c r="T109" i="34"/>
  <c r="U109" i="34"/>
  <c r="V109" i="34"/>
  <c r="W109" i="34"/>
  <c r="X109" i="34"/>
  <c r="Y109" i="34"/>
  <c r="Z109" i="34"/>
  <c r="AA109" i="34"/>
  <c r="AB109" i="34"/>
  <c r="AD109" i="34"/>
  <c r="AE109" i="34"/>
  <c r="AF109" i="34"/>
  <c r="AG109" i="34"/>
  <c r="P110" i="34"/>
  <c r="Q110" i="34"/>
  <c r="R110" i="34"/>
  <c r="S110" i="34"/>
  <c r="T110" i="34"/>
  <c r="U110" i="34"/>
  <c r="V110" i="34"/>
  <c r="W110" i="34"/>
  <c r="X110" i="34"/>
  <c r="Y110" i="34"/>
  <c r="Z110" i="34"/>
  <c r="AA110" i="34"/>
  <c r="AB110" i="34"/>
  <c r="AD110" i="34"/>
  <c r="AE110" i="34"/>
  <c r="AF110" i="34"/>
  <c r="AG110" i="34"/>
  <c r="P111" i="34"/>
  <c r="Q111" i="34"/>
  <c r="R111" i="34"/>
  <c r="S111" i="34"/>
  <c r="T111" i="34"/>
  <c r="U111" i="34"/>
  <c r="V111" i="34"/>
  <c r="W111" i="34"/>
  <c r="X111" i="34"/>
  <c r="Y111" i="34"/>
  <c r="Z111" i="34"/>
  <c r="AA111" i="34"/>
  <c r="AB111" i="34"/>
  <c r="AD111" i="34"/>
  <c r="AE111" i="34"/>
  <c r="AF111" i="34"/>
  <c r="AG111" i="34"/>
  <c r="P112" i="34"/>
  <c r="Q112" i="34"/>
  <c r="R112" i="34"/>
  <c r="S112" i="34"/>
  <c r="T112" i="34"/>
  <c r="U112" i="34"/>
  <c r="V112" i="34"/>
  <c r="W112" i="34"/>
  <c r="X112" i="34"/>
  <c r="Y112" i="34"/>
  <c r="Z112" i="34"/>
  <c r="AA112" i="34"/>
  <c r="AB112" i="34"/>
  <c r="AD112" i="34"/>
  <c r="AE112" i="34"/>
  <c r="AF112" i="34"/>
  <c r="AG112" i="34"/>
  <c r="P113" i="34"/>
  <c r="Q113" i="34"/>
  <c r="R113" i="34"/>
  <c r="S113" i="34"/>
  <c r="T113" i="34"/>
  <c r="U113" i="34"/>
  <c r="V113" i="34"/>
  <c r="W113" i="34"/>
  <c r="X113" i="34"/>
  <c r="Y113" i="34"/>
  <c r="Z113" i="34"/>
  <c r="AA113" i="34"/>
  <c r="AB113" i="34"/>
  <c r="AD113" i="34"/>
  <c r="AE113" i="34"/>
  <c r="AF113" i="34"/>
  <c r="AG113" i="34"/>
  <c r="P114" i="34"/>
  <c r="Q114" i="34"/>
  <c r="R114" i="34"/>
  <c r="S114" i="34"/>
  <c r="T114" i="34"/>
  <c r="U114" i="34"/>
  <c r="V114" i="34"/>
  <c r="W114" i="34"/>
  <c r="X114" i="34"/>
  <c r="Y114" i="34"/>
  <c r="Z114" i="34"/>
  <c r="AA114" i="34"/>
  <c r="AB114" i="34"/>
  <c r="AD114" i="34"/>
  <c r="AE114" i="34"/>
  <c r="AF114" i="34"/>
  <c r="AG114" i="34"/>
  <c r="P115" i="34"/>
  <c r="Q115" i="34"/>
  <c r="R115" i="34"/>
  <c r="S115" i="34"/>
  <c r="T115" i="34"/>
  <c r="U115" i="34"/>
  <c r="V115" i="34"/>
  <c r="W115" i="34"/>
  <c r="X115" i="34"/>
  <c r="Y115" i="34"/>
  <c r="Z115" i="34"/>
  <c r="AA115" i="34"/>
  <c r="AB115" i="34"/>
  <c r="AD115" i="34"/>
  <c r="AE115" i="34"/>
  <c r="AF115" i="34"/>
  <c r="AG115" i="34"/>
  <c r="P116" i="34"/>
  <c r="Q116" i="34"/>
  <c r="R116" i="34"/>
  <c r="S116" i="34"/>
  <c r="T116" i="34"/>
  <c r="U116" i="34"/>
  <c r="V116" i="34"/>
  <c r="W116" i="34"/>
  <c r="X116" i="34"/>
  <c r="Y116" i="34"/>
  <c r="Z116" i="34"/>
  <c r="AA116" i="34"/>
  <c r="AB116" i="34"/>
  <c r="AD116" i="34"/>
  <c r="AE116" i="34"/>
  <c r="AF116" i="34"/>
  <c r="AG116" i="34"/>
  <c r="P117" i="34"/>
  <c r="Q117" i="34"/>
  <c r="R117" i="34"/>
  <c r="S117" i="34"/>
  <c r="T117" i="34"/>
  <c r="U117" i="34"/>
  <c r="V117" i="34"/>
  <c r="W117" i="34"/>
  <c r="X117" i="34"/>
  <c r="Y117" i="34"/>
  <c r="Z117" i="34"/>
  <c r="AA117" i="34"/>
  <c r="AB117" i="34"/>
  <c r="AD117" i="34"/>
  <c r="AE117" i="34"/>
  <c r="AF117" i="34"/>
  <c r="AG117" i="34"/>
  <c r="P118" i="34"/>
  <c r="Q118" i="34"/>
  <c r="R118" i="34"/>
  <c r="S118" i="34"/>
  <c r="T118" i="34"/>
  <c r="U118" i="34"/>
  <c r="V118" i="34"/>
  <c r="W118" i="34"/>
  <c r="X118" i="34"/>
  <c r="Y118" i="34"/>
  <c r="Z118" i="34"/>
  <c r="AA118" i="34"/>
  <c r="AB118" i="34"/>
  <c r="AD118" i="34"/>
  <c r="AE118" i="34"/>
  <c r="AF118" i="34"/>
  <c r="AG118" i="34"/>
  <c r="P119" i="34"/>
  <c r="Q119" i="34"/>
  <c r="R119" i="34"/>
  <c r="S119" i="34"/>
  <c r="T119" i="34"/>
  <c r="U119" i="34"/>
  <c r="V119" i="34"/>
  <c r="W119" i="34"/>
  <c r="X119" i="34"/>
  <c r="Y119" i="34"/>
  <c r="Z119" i="34"/>
  <c r="AA119" i="34"/>
  <c r="AB119" i="34"/>
  <c r="AD119" i="34"/>
  <c r="AE119" i="34"/>
  <c r="AF119" i="34"/>
  <c r="AG119" i="34"/>
  <c r="P120" i="34"/>
  <c r="Q120" i="34"/>
  <c r="R120" i="34"/>
  <c r="S120" i="34"/>
  <c r="T120" i="34"/>
  <c r="U120" i="34"/>
  <c r="V120" i="34"/>
  <c r="W120" i="34"/>
  <c r="X120" i="34"/>
  <c r="Y120" i="34"/>
  <c r="Z120" i="34"/>
  <c r="AA120" i="34"/>
  <c r="AB120" i="34"/>
  <c r="AD120" i="34"/>
  <c r="AE120" i="34"/>
  <c r="AF120" i="34"/>
  <c r="AG120" i="34"/>
  <c r="P121" i="34"/>
  <c r="Q121" i="34"/>
  <c r="R121" i="34"/>
  <c r="S121" i="34"/>
  <c r="T121" i="34"/>
  <c r="U121" i="34"/>
  <c r="V121" i="34"/>
  <c r="W121" i="34"/>
  <c r="X121" i="34"/>
  <c r="Y121" i="34"/>
  <c r="Z121" i="34"/>
  <c r="AA121" i="34"/>
  <c r="AB121" i="34"/>
  <c r="AD121" i="34"/>
  <c r="AE121" i="34"/>
  <c r="AF121" i="34"/>
  <c r="AG121" i="34"/>
  <c r="P122" i="34"/>
  <c r="Q122" i="34"/>
  <c r="R122" i="34"/>
  <c r="S122" i="34"/>
  <c r="T122" i="34"/>
  <c r="U122" i="34"/>
  <c r="V122" i="34"/>
  <c r="W122" i="34"/>
  <c r="X122" i="34"/>
  <c r="Y122" i="34"/>
  <c r="Z122" i="34"/>
  <c r="AA122" i="34"/>
  <c r="AB122" i="34"/>
  <c r="AD122" i="34"/>
  <c r="AE122" i="34"/>
  <c r="AF122" i="34"/>
  <c r="AG122" i="34"/>
  <c r="P123" i="34"/>
  <c r="Q123" i="34"/>
  <c r="R123" i="34"/>
  <c r="S123" i="34"/>
  <c r="T123" i="34"/>
  <c r="U123" i="34"/>
  <c r="V123" i="34"/>
  <c r="W123" i="34"/>
  <c r="X123" i="34"/>
  <c r="Y123" i="34"/>
  <c r="Z123" i="34"/>
  <c r="AA123" i="34"/>
  <c r="AB123" i="34"/>
  <c r="AD123" i="34"/>
  <c r="AE123" i="34"/>
  <c r="AF123" i="34"/>
  <c r="AG123" i="34"/>
  <c r="P124" i="34"/>
  <c r="Q124" i="34"/>
  <c r="R124" i="34"/>
  <c r="S124" i="34"/>
  <c r="T124" i="34"/>
  <c r="U124" i="34"/>
  <c r="V124" i="34"/>
  <c r="W124" i="34"/>
  <c r="X124" i="34"/>
  <c r="Y124" i="34"/>
  <c r="Z124" i="34"/>
  <c r="AA124" i="34"/>
  <c r="AB124" i="34"/>
  <c r="AD124" i="34"/>
  <c r="AE124" i="34"/>
  <c r="AF124" i="34"/>
  <c r="AG124" i="34"/>
  <c r="P125" i="34"/>
  <c r="Q125" i="34"/>
  <c r="R125" i="34"/>
  <c r="S125" i="34"/>
  <c r="T125" i="34"/>
  <c r="U125" i="34"/>
  <c r="V125" i="34"/>
  <c r="W125" i="34"/>
  <c r="X125" i="34"/>
  <c r="Y125" i="34"/>
  <c r="Z125" i="34"/>
  <c r="AA125" i="34"/>
  <c r="AB125" i="34"/>
  <c r="AD125" i="34"/>
  <c r="AE125" i="34"/>
  <c r="AF125" i="34"/>
  <c r="AG125" i="34"/>
  <c r="P126" i="34"/>
  <c r="Q126" i="34"/>
  <c r="R126" i="34"/>
  <c r="S126" i="34"/>
  <c r="T126" i="34"/>
  <c r="U126" i="34"/>
  <c r="V126" i="34"/>
  <c r="W126" i="34"/>
  <c r="X126" i="34"/>
  <c r="Y126" i="34"/>
  <c r="Z126" i="34"/>
  <c r="AA126" i="34"/>
  <c r="AB126" i="34"/>
  <c r="AD126" i="34"/>
  <c r="AE126" i="34"/>
  <c r="AF126" i="34"/>
  <c r="AG126" i="34"/>
  <c r="P127" i="34"/>
  <c r="Q127" i="34"/>
  <c r="R127" i="34"/>
  <c r="S127" i="34"/>
  <c r="T127" i="34"/>
  <c r="U127" i="34"/>
  <c r="V127" i="34"/>
  <c r="W127" i="34"/>
  <c r="X127" i="34"/>
  <c r="Y127" i="34"/>
  <c r="Z127" i="34"/>
  <c r="AA127" i="34"/>
  <c r="AB127" i="34"/>
  <c r="AD127" i="34"/>
  <c r="AE127" i="34"/>
  <c r="AF127" i="34"/>
  <c r="AG127" i="34"/>
  <c r="P128" i="34"/>
  <c r="Q128" i="34"/>
  <c r="R128" i="34"/>
  <c r="S128" i="34"/>
  <c r="T128" i="34"/>
  <c r="U128" i="34"/>
  <c r="V128" i="34"/>
  <c r="W128" i="34"/>
  <c r="X128" i="34"/>
  <c r="Y128" i="34"/>
  <c r="Z128" i="34"/>
  <c r="AA128" i="34"/>
  <c r="AB128" i="34"/>
  <c r="AD128" i="34"/>
  <c r="AE128" i="34"/>
  <c r="AF128" i="34"/>
  <c r="AG128" i="34"/>
  <c r="P129" i="34"/>
  <c r="Q129" i="34"/>
  <c r="R129" i="34"/>
  <c r="S129" i="34"/>
  <c r="T129" i="34"/>
  <c r="U129" i="34"/>
  <c r="V129" i="34"/>
  <c r="W129" i="34"/>
  <c r="X129" i="34"/>
  <c r="Y129" i="34"/>
  <c r="Z129" i="34"/>
  <c r="AA129" i="34"/>
  <c r="AB129" i="34"/>
  <c r="AD129" i="34"/>
  <c r="AE129" i="34"/>
  <c r="AF129" i="34"/>
  <c r="AG129" i="34"/>
  <c r="P130" i="34"/>
  <c r="Q130" i="34"/>
  <c r="R130" i="34"/>
  <c r="S130" i="34"/>
  <c r="T130" i="34"/>
  <c r="U130" i="34"/>
  <c r="V130" i="34"/>
  <c r="W130" i="34"/>
  <c r="X130" i="34"/>
  <c r="Y130" i="34"/>
  <c r="Z130" i="34"/>
  <c r="AA130" i="34"/>
  <c r="AB130" i="34"/>
  <c r="AD130" i="34"/>
  <c r="AE130" i="34"/>
  <c r="AF130" i="34"/>
  <c r="AG130" i="34"/>
  <c r="P131" i="34"/>
  <c r="Q131" i="34"/>
  <c r="R131" i="34"/>
  <c r="S131" i="34"/>
  <c r="T131" i="34"/>
  <c r="U131" i="34"/>
  <c r="V131" i="34"/>
  <c r="W131" i="34"/>
  <c r="X131" i="34"/>
  <c r="Y131" i="34"/>
  <c r="Z131" i="34"/>
  <c r="AA131" i="34"/>
  <c r="AB131" i="34"/>
  <c r="AD131" i="34"/>
  <c r="AE131" i="34"/>
  <c r="AF131" i="34"/>
  <c r="AG131" i="34"/>
  <c r="P132" i="34"/>
  <c r="Q132" i="34"/>
  <c r="R132" i="34"/>
  <c r="S132" i="34"/>
  <c r="T132" i="34"/>
  <c r="U132" i="34"/>
  <c r="V132" i="34"/>
  <c r="W132" i="34"/>
  <c r="X132" i="34"/>
  <c r="Y132" i="34"/>
  <c r="Z132" i="34"/>
  <c r="AA132" i="34"/>
  <c r="AB132" i="34"/>
  <c r="AD132" i="34"/>
  <c r="AE132" i="34"/>
  <c r="AF132" i="34"/>
  <c r="AG132" i="34"/>
  <c r="P133" i="34"/>
  <c r="Q133" i="34"/>
  <c r="R133" i="34"/>
  <c r="S133" i="34"/>
  <c r="T133" i="34"/>
  <c r="U133" i="34"/>
  <c r="V133" i="34"/>
  <c r="W133" i="34"/>
  <c r="X133" i="34"/>
  <c r="Y133" i="34"/>
  <c r="Z133" i="34"/>
  <c r="AA133" i="34"/>
  <c r="AB133" i="34"/>
  <c r="AD133" i="34"/>
  <c r="AE133" i="34"/>
  <c r="AF133" i="34"/>
  <c r="AG133" i="34"/>
  <c r="P134" i="34"/>
  <c r="Q134" i="34"/>
  <c r="R134" i="34"/>
  <c r="S134" i="34"/>
  <c r="T134" i="34"/>
  <c r="U134" i="34"/>
  <c r="V134" i="34"/>
  <c r="W134" i="34"/>
  <c r="X134" i="34"/>
  <c r="Y134" i="34"/>
  <c r="Z134" i="34"/>
  <c r="AA134" i="34"/>
  <c r="AB134" i="34"/>
  <c r="AD134" i="34"/>
  <c r="AE134" i="34"/>
  <c r="AF134" i="34"/>
  <c r="AG134" i="34"/>
  <c r="P135" i="34"/>
  <c r="Q135" i="34"/>
  <c r="R135" i="34"/>
  <c r="S135" i="34"/>
  <c r="T135" i="34"/>
  <c r="U135" i="34"/>
  <c r="V135" i="34"/>
  <c r="W135" i="34"/>
  <c r="X135" i="34"/>
  <c r="Y135" i="34"/>
  <c r="Z135" i="34"/>
  <c r="AA135" i="34"/>
  <c r="AB135" i="34"/>
  <c r="AD135" i="34"/>
  <c r="AE135" i="34"/>
  <c r="AF135" i="34"/>
  <c r="AG135" i="34"/>
  <c r="P136" i="34"/>
  <c r="Q136" i="34"/>
  <c r="R136" i="34"/>
  <c r="S136" i="34"/>
  <c r="T136" i="34"/>
  <c r="U136" i="34"/>
  <c r="V136" i="34"/>
  <c r="W136" i="34"/>
  <c r="X136" i="34"/>
  <c r="Y136" i="34"/>
  <c r="Z136" i="34"/>
  <c r="AA136" i="34"/>
  <c r="AB136" i="34"/>
  <c r="AD136" i="34"/>
  <c r="AE136" i="34"/>
  <c r="AF136" i="34"/>
  <c r="AG136" i="34"/>
  <c r="P137" i="34"/>
  <c r="Q137" i="34"/>
  <c r="R137" i="34"/>
  <c r="S137" i="34"/>
  <c r="T137" i="34"/>
  <c r="U137" i="34"/>
  <c r="V137" i="34"/>
  <c r="W137" i="34"/>
  <c r="X137" i="34"/>
  <c r="Y137" i="34"/>
  <c r="Z137" i="34"/>
  <c r="AA137" i="34"/>
  <c r="AB137" i="34"/>
  <c r="AD137" i="34"/>
  <c r="AE137" i="34"/>
  <c r="AF137" i="34"/>
  <c r="AG137" i="34"/>
  <c r="P138" i="34"/>
  <c r="Q138" i="34"/>
  <c r="R138" i="34"/>
  <c r="S138" i="34"/>
  <c r="T138" i="34"/>
  <c r="U138" i="34"/>
  <c r="V138" i="34"/>
  <c r="W138" i="34"/>
  <c r="X138" i="34"/>
  <c r="Y138" i="34"/>
  <c r="Z138" i="34"/>
  <c r="AA138" i="34"/>
  <c r="AB138" i="34"/>
  <c r="AD138" i="34"/>
  <c r="AE138" i="34"/>
  <c r="AF138" i="34"/>
  <c r="AG138" i="34"/>
  <c r="P139" i="34"/>
  <c r="Q139" i="34"/>
  <c r="R139" i="34"/>
  <c r="S139" i="34"/>
  <c r="T139" i="34"/>
  <c r="U139" i="34"/>
  <c r="V139" i="34"/>
  <c r="W139" i="34"/>
  <c r="X139" i="34"/>
  <c r="Y139" i="34"/>
  <c r="Z139" i="34"/>
  <c r="AA139" i="34"/>
  <c r="AB139" i="34"/>
  <c r="AD139" i="34"/>
  <c r="AE139" i="34"/>
  <c r="AF139" i="34"/>
  <c r="AG139" i="34"/>
  <c r="P140" i="34"/>
  <c r="Q140" i="34"/>
  <c r="R140" i="34"/>
  <c r="S140" i="34"/>
  <c r="T140" i="34"/>
  <c r="U140" i="34"/>
  <c r="V140" i="34"/>
  <c r="W140" i="34"/>
  <c r="X140" i="34"/>
  <c r="Y140" i="34"/>
  <c r="Z140" i="34"/>
  <c r="AA140" i="34"/>
  <c r="AB140" i="34"/>
  <c r="AD140" i="34"/>
  <c r="AE140" i="34"/>
  <c r="AF140" i="34"/>
  <c r="AG140" i="34"/>
  <c r="P141" i="34"/>
  <c r="Q141" i="34"/>
  <c r="R141" i="34"/>
  <c r="S141" i="34"/>
  <c r="T141" i="34"/>
  <c r="U141" i="34"/>
  <c r="V141" i="34"/>
  <c r="W141" i="34"/>
  <c r="X141" i="34"/>
  <c r="Y141" i="34"/>
  <c r="Z141" i="34"/>
  <c r="AA141" i="34"/>
  <c r="AB141" i="34"/>
  <c r="AD141" i="34"/>
  <c r="AE141" i="34"/>
  <c r="AF141" i="34"/>
  <c r="AG141" i="34"/>
  <c r="P142" i="34"/>
  <c r="Q142" i="34"/>
  <c r="R142" i="34"/>
  <c r="S142" i="34"/>
  <c r="T142" i="34"/>
  <c r="U142" i="34"/>
  <c r="V142" i="34"/>
  <c r="W142" i="34"/>
  <c r="X142" i="34"/>
  <c r="Y142" i="34"/>
  <c r="Z142" i="34"/>
  <c r="AA142" i="34"/>
  <c r="AB142" i="34"/>
  <c r="AD142" i="34"/>
  <c r="AE142" i="34"/>
  <c r="AF142" i="34"/>
  <c r="AG142" i="34"/>
  <c r="P143" i="34"/>
  <c r="Q143" i="34"/>
  <c r="R143" i="34"/>
  <c r="S143" i="34"/>
  <c r="T143" i="34"/>
  <c r="U143" i="34"/>
  <c r="V143" i="34"/>
  <c r="W143" i="34"/>
  <c r="X143" i="34"/>
  <c r="Y143" i="34"/>
  <c r="Z143" i="34"/>
  <c r="AA143" i="34"/>
  <c r="AB143" i="34"/>
  <c r="AD143" i="34"/>
  <c r="AE143" i="34"/>
  <c r="AF143" i="34"/>
  <c r="AG143" i="34"/>
  <c r="P144" i="34"/>
  <c r="Q144" i="34"/>
  <c r="R144" i="34"/>
  <c r="S144" i="34"/>
  <c r="T144" i="34"/>
  <c r="U144" i="34"/>
  <c r="V144" i="34"/>
  <c r="W144" i="34"/>
  <c r="X144" i="34"/>
  <c r="Y144" i="34"/>
  <c r="Z144" i="34"/>
  <c r="AA144" i="34"/>
  <c r="AB144" i="34"/>
  <c r="AD144" i="34"/>
  <c r="AE144" i="34"/>
  <c r="AF144" i="34"/>
  <c r="AG144" i="34"/>
  <c r="P145" i="34"/>
  <c r="Q145" i="34"/>
  <c r="R145" i="34"/>
  <c r="S145" i="34"/>
  <c r="T145" i="34"/>
  <c r="U145" i="34"/>
  <c r="V145" i="34"/>
  <c r="W145" i="34"/>
  <c r="X145" i="34"/>
  <c r="Y145" i="34"/>
  <c r="Z145" i="34"/>
  <c r="AA145" i="34"/>
  <c r="AB145" i="34"/>
  <c r="AD145" i="34"/>
  <c r="AE145" i="34"/>
  <c r="AF145" i="34"/>
  <c r="AG145" i="34"/>
  <c r="P146" i="34"/>
  <c r="Q146" i="34"/>
  <c r="R146" i="34"/>
  <c r="S146" i="34"/>
  <c r="T146" i="34"/>
  <c r="U146" i="34"/>
  <c r="V146" i="34"/>
  <c r="W146" i="34"/>
  <c r="X146" i="34"/>
  <c r="Y146" i="34"/>
  <c r="Z146" i="34"/>
  <c r="AA146" i="34"/>
  <c r="AB146" i="34"/>
  <c r="AD146" i="34"/>
  <c r="AE146" i="34"/>
  <c r="AF146" i="34"/>
  <c r="AG146" i="34"/>
  <c r="P147" i="34"/>
  <c r="Q147" i="34"/>
  <c r="R147" i="34"/>
  <c r="S147" i="34"/>
  <c r="T147" i="34"/>
  <c r="U147" i="34"/>
  <c r="V147" i="34"/>
  <c r="W147" i="34"/>
  <c r="X147" i="34"/>
  <c r="Y147" i="34"/>
  <c r="Z147" i="34"/>
  <c r="AA147" i="34"/>
  <c r="AB147" i="34"/>
  <c r="AD147" i="34"/>
  <c r="AE147" i="34"/>
  <c r="AF147" i="34"/>
  <c r="AG147" i="34"/>
  <c r="P148" i="34"/>
  <c r="Q148" i="34"/>
  <c r="R148" i="34"/>
  <c r="S148" i="34"/>
  <c r="T148" i="34"/>
  <c r="U148" i="34"/>
  <c r="V148" i="34"/>
  <c r="W148" i="34"/>
  <c r="X148" i="34"/>
  <c r="Y148" i="34"/>
  <c r="Z148" i="34"/>
  <c r="AA148" i="34"/>
  <c r="AB148" i="34"/>
  <c r="AD148" i="34"/>
  <c r="AE148" i="34"/>
  <c r="AF148" i="34"/>
  <c r="AG148" i="34"/>
  <c r="P149" i="34"/>
  <c r="Q149" i="34"/>
  <c r="R149" i="34"/>
  <c r="S149" i="34"/>
  <c r="T149" i="34"/>
  <c r="U149" i="34"/>
  <c r="V149" i="34"/>
  <c r="W149" i="34"/>
  <c r="X149" i="34"/>
  <c r="Y149" i="34"/>
  <c r="Z149" i="34"/>
  <c r="AA149" i="34"/>
  <c r="AB149" i="34"/>
  <c r="AD149" i="34"/>
  <c r="AE149" i="34"/>
  <c r="AF149" i="34"/>
  <c r="AG149" i="34"/>
  <c r="P150" i="34"/>
  <c r="Q150" i="34"/>
  <c r="R150" i="34"/>
  <c r="S150" i="34"/>
  <c r="T150" i="34"/>
  <c r="U150" i="34"/>
  <c r="V150" i="34"/>
  <c r="W150" i="34"/>
  <c r="X150" i="34"/>
  <c r="Y150" i="34"/>
  <c r="Z150" i="34"/>
  <c r="AA150" i="34"/>
  <c r="AB150" i="34"/>
  <c r="AD150" i="34"/>
  <c r="AE150" i="34"/>
  <c r="AF150" i="34"/>
  <c r="AG150" i="34"/>
  <c r="P151" i="34"/>
  <c r="Q151" i="34"/>
  <c r="R151" i="34"/>
  <c r="S151" i="34"/>
  <c r="T151" i="34"/>
  <c r="U151" i="34"/>
  <c r="V151" i="34"/>
  <c r="W151" i="34"/>
  <c r="X151" i="34"/>
  <c r="Y151" i="34"/>
  <c r="Z151" i="34"/>
  <c r="AA151" i="34"/>
  <c r="AB151" i="34"/>
  <c r="AD151" i="34"/>
  <c r="AE151" i="34"/>
  <c r="AF151" i="34"/>
  <c r="AG151" i="34"/>
  <c r="P152" i="34"/>
  <c r="Q152" i="34"/>
  <c r="R152" i="34"/>
  <c r="S152" i="34"/>
  <c r="T152" i="34"/>
  <c r="U152" i="34"/>
  <c r="V152" i="34"/>
  <c r="W152" i="34"/>
  <c r="X152" i="34"/>
  <c r="Y152" i="34"/>
  <c r="Z152" i="34"/>
  <c r="AA152" i="34"/>
  <c r="AB152" i="34"/>
  <c r="AD152" i="34"/>
  <c r="AE152" i="34"/>
  <c r="AF152" i="34"/>
  <c r="AG152" i="34"/>
  <c r="P153" i="34"/>
  <c r="Q153" i="34"/>
  <c r="R153" i="34"/>
  <c r="S153" i="34"/>
  <c r="T153" i="34"/>
  <c r="U153" i="34"/>
  <c r="V153" i="34"/>
  <c r="W153" i="34"/>
  <c r="X153" i="34"/>
  <c r="Y153" i="34"/>
  <c r="Z153" i="34"/>
  <c r="AA153" i="34"/>
  <c r="AB153" i="34"/>
  <c r="AD153" i="34"/>
  <c r="AE153" i="34"/>
  <c r="AF153" i="34"/>
  <c r="AG153" i="34"/>
  <c r="P154" i="34"/>
  <c r="Q154" i="34"/>
  <c r="R154" i="34"/>
  <c r="S154" i="34"/>
  <c r="T154" i="34"/>
  <c r="U154" i="34"/>
  <c r="V154" i="34"/>
  <c r="W154" i="34"/>
  <c r="X154" i="34"/>
  <c r="Y154" i="34"/>
  <c r="Z154" i="34"/>
  <c r="AA154" i="34"/>
  <c r="AB154" i="34"/>
  <c r="AD154" i="34"/>
  <c r="AE154" i="34"/>
  <c r="AF154" i="34"/>
  <c r="AG154" i="34"/>
  <c r="P155" i="34"/>
  <c r="Q155" i="34"/>
  <c r="R155" i="34"/>
  <c r="S155" i="34"/>
  <c r="T155" i="34"/>
  <c r="U155" i="34"/>
  <c r="V155" i="34"/>
  <c r="W155" i="34"/>
  <c r="X155" i="34"/>
  <c r="Y155" i="34"/>
  <c r="Z155" i="34"/>
  <c r="AA155" i="34"/>
  <c r="AB155" i="34"/>
  <c r="AD155" i="34"/>
  <c r="AE155" i="34"/>
  <c r="AF155" i="34"/>
  <c r="AG155" i="34"/>
  <c r="P156" i="34"/>
  <c r="Q156" i="34"/>
  <c r="R156" i="34"/>
  <c r="S156" i="34"/>
  <c r="T156" i="34"/>
  <c r="U156" i="34"/>
  <c r="V156" i="34"/>
  <c r="W156" i="34"/>
  <c r="X156" i="34"/>
  <c r="Y156" i="34"/>
  <c r="Z156" i="34"/>
  <c r="AA156" i="34"/>
  <c r="AB156" i="34"/>
  <c r="AD156" i="34"/>
  <c r="AE156" i="34"/>
  <c r="AF156" i="34"/>
  <c r="AG156" i="34"/>
  <c r="P157" i="34"/>
  <c r="Q157" i="34"/>
  <c r="R157" i="34"/>
  <c r="S157" i="34"/>
  <c r="T157" i="34"/>
  <c r="U157" i="34"/>
  <c r="V157" i="34"/>
  <c r="W157" i="34"/>
  <c r="X157" i="34"/>
  <c r="Y157" i="34"/>
  <c r="Z157" i="34"/>
  <c r="AA157" i="34"/>
  <c r="AB157" i="34"/>
  <c r="AD157" i="34"/>
  <c r="AE157" i="34"/>
  <c r="AF157" i="34"/>
  <c r="AG157" i="34"/>
  <c r="P158" i="34"/>
  <c r="Q158" i="34"/>
  <c r="R158" i="34"/>
  <c r="S158" i="34"/>
  <c r="T158" i="34"/>
  <c r="U158" i="34"/>
  <c r="V158" i="34"/>
  <c r="W158" i="34"/>
  <c r="X158" i="34"/>
  <c r="Y158" i="34"/>
  <c r="Z158" i="34"/>
  <c r="AA158" i="34"/>
  <c r="AB158" i="34"/>
  <c r="AD158" i="34"/>
  <c r="AE158" i="34"/>
  <c r="AF158" i="34"/>
  <c r="AG158" i="34"/>
  <c r="P159" i="34"/>
  <c r="Q159" i="34"/>
  <c r="R159" i="34"/>
  <c r="S159" i="34"/>
  <c r="T159" i="34"/>
  <c r="U159" i="34"/>
  <c r="V159" i="34"/>
  <c r="W159" i="34"/>
  <c r="X159" i="34"/>
  <c r="Y159" i="34"/>
  <c r="Z159" i="34"/>
  <c r="AA159" i="34"/>
  <c r="AB159" i="34"/>
  <c r="AD159" i="34"/>
  <c r="AE159" i="34"/>
  <c r="AF159" i="34"/>
  <c r="AG159" i="34"/>
  <c r="P160" i="34"/>
  <c r="Q160" i="34"/>
  <c r="R160" i="34"/>
  <c r="S160" i="34"/>
  <c r="T160" i="34"/>
  <c r="U160" i="34"/>
  <c r="V160" i="34"/>
  <c r="W160" i="34"/>
  <c r="X160" i="34"/>
  <c r="Y160" i="34"/>
  <c r="Z160" i="34"/>
  <c r="AA160" i="34"/>
  <c r="AB160" i="34"/>
  <c r="AD160" i="34"/>
  <c r="AE160" i="34"/>
  <c r="AF160" i="34"/>
  <c r="AG160" i="34"/>
  <c r="P161" i="34"/>
  <c r="Q161" i="34"/>
  <c r="R161" i="34"/>
  <c r="S161" i="34"/>
  <c r="T161" i="34"/>
  <c r="U161" i="34"/>
  <c r="V161" i="34"/>
  <c r="W161" i="34"/>
  <c r="X161" i="34"/>
  <c r="Y161" i="34"/>
  <c r="Z161" i="34"/>
  <c r="AA161" i="34"/>
  <c r="AB161" i="34"/>
  <c r="AD161" i="34"/>
  <c r="AE161" i="34"/>
  <c r="AF161" i="34"/>
  <c r="AG161" i="34"/>
  <c r="P162" i="34"/>
  <c r="Q162" i="34"/>
  <c r="R162" i="34"/>
  <c r="S162" i="34"/>
  <c r="T162" i="34"/>
  <c r="U162" i="34"/>
  <c r="V162" i="34"/>
  <c r="W162" i="34"/>
  <c r="X162" i="34"/>
  <c r="Y162" i="34"/>
  <c r="Z162" i="34"/>
  <c r="AA162" i="34"/>
  <c r="AB162" i="34"/>
  <c r="AD162" i="34"/>
  <c r="AE162" i="34"/>
  <c r="AF162" i="34"/>
  <c r="AG162" i="34"/>
  <c r="P163" i="34"/>
  <c r="Q163" i="34"/>
  <c r="R163" i="34"/>
  <c r="S163" i="34"/>
  <c r="T163" i="34"/>
  <c r="U163" i="34"/>
  <c r="V163" i="34"/>
  <c r="W163" i="34"/>
  <c r="X163" i="34"/>
  <c r="Y163" i="34"/>
  <c r="Z163" i="34"/>
  <c r="AA163" i="34"/>
  <c r="AB163" i="34"/>
  <c r="AD163" i="34"/>
  <c r="AE163" i="34"/>
  <c r="AF163" i="34"/>
  <c r="AG163" i="34"/>
  <c r="P164" i="34"/>
  <c r="Q164" i="34"/>
  <c r="R164" i="34"/>
  <c r="S164" i="34"/>
  <c r="T164" i="34"/>
  <c r="U164" i="34"/>
  <c r="V164" i="34"/>
  <c r="W164" i="34"/>
  <c r="X164" i="34"/>
  <c r="Y164" i="34"/>
  <c r="Z164" i="34"/>
  <c r="AA164" i="34"/>
  <c r="AB164" i="34"/>
  <c r="AD164" i="34"/>
  <c r="AE164" i="34"/>
  <c r="AF164" i="34"/>
  <c r="AG164" i="34"/>
  <c r="P165" i="34"/>
  <c r="Q165" i="34"/>
  <c r="R165" i="34"/>
  <c r="S165" i="34"/>
  <c r="T165" i="34"/>
  <c r="U165" i="34"/>
  <c r="V165" i="34"/>
  <c r="W165" i="34"/>
  <c r="X165" i="34"/>
  <c r="Y165" i="34"/>
  <c r="Z165" i="34"/>
  <c r="AA165" i="34"/>
  <c r="AB165" i="34"/>
  <c r="AD165" i="34"/>
  <c r="AE165" i="34"/>
  <c r="AF165" i="34"/>
  <c r="AG165" i="34"/>
  <c r="P166" i="34"/>
  <c r="Q166" i="34"/>
  <c r="R166" i="34"/>
  <c r="S166" i="34"/>
  <c r="T166" i="34"/>
  <c r="U166" i="34"/>
  <c r="V166" i="34"/>
  <c r="W166" i="34"/>
  <c r="X166" i="34"/>
  <c r="Y166" i="34"/>
  <c r="Z166" i="34"/>
  <c r="AA166" i="34"/>
  <c r="AB166" i="34"/>
  <c r="AD166" i="34"/>
  <c r="AE166" i="34"/>
  <c r="AF166" i="34"/>
  <c r="AG166" i="34"/>
  <c r="P167" i="34"/>
  <c r="Q167" i="34"/>
  <c r="R167" i="34"/>
  <c r="S167" i="34"/>
  <c r="T167" i="34"/>
  <c r="U167" i="34"/>
  <c r="V167" i="34"/>
  <c r="W167" i="34"/>
  <c r="X167" i="34"/>
  <c r="Y167" i="34"/>
  <c r="Z167" i="34"/>
  <c r="AA167" i="34"/>
  <c r="AB167" i="34"/>
  <c r="AD167" i="34"/>
  <c r="AE167" i="34"/>
  <c r="AF167" i="34"/>
  <c r="AG167" i="34"/>
  <c r="P168" i="34"/>
  <c r="Q168" i="34"/>
  <c r="R168" i="34"/>
  <c r="S168" i="34"/>
  <c r="T168" i="34"/>
  <c r="U168" i="34"/>
  <c r="V168" i="34"/>
  <c r="W168" i="34"/>
  <c r="X168" i="34"/>
  <c r="Y168" i="34"/>
  <c r="Z168" i="34"/>
  <c r="AA168" i="34"/>
  <c r="AB168" i="34"/>
  <c r="AD168" i="34"/>
  <c r="AE168" i="34"/>
  <c r="AF168" i="34"/>
  <c r="AG168" i="34"/>
  <c r="P169" i="34"/>
  <c r="Q169" i="34"/>
  <c r="R169" i="34"/>
  <c r="S169" i="34"/>
  <c r="T169" i="34"/>
  <c r="U169" i="34"/>
  <c r="V169" i="34"/>
  <c r="W169" i="34"/>
  <c r="X169" i="34"/>
  <c r="Y169" i="34"/>
  <c r="Z169" i="34"/>
  <c r="AA169" i="34"/>
  <c r="AB169" i="34"/>
  <c r="AD169" i="34"/>
  <c r="AE169" i="34"/>
  <c r="AF169" i="34"/>
  <c r="AG169" i="34"/>
  <c r="P170" i="34"/>
  <c r="Q170" i="34"/>
  <c r="R170" i="34"/>
  <c r="S170" i="34"/>
  <c r="T170" i="34"/>
  <c r="U170" i="34"/>
  <c r="V170" i="34"/>
  <c r="W170" i="34"/>
  <c r="X170" i="34"/>
  <c r="Y170" i="34"/>
  <c r="Z170" i="34"/>
  <c r="AA170" i="34"/>
  <c r="AB170" i="34"/>
  <c r="AD170" i="34"/>
  <c r="AE170" i="34"/>
  <c r="AF170" i="34"/>
  <c r="AG170" i="34"/>
  <c r="P171" i="34"/>
  <c r="Q171" i="34"/>
  <c r="R171" i="34"/>
  <c r="S171" i="34"/>
  <c r="T171" i="34"/>
  <c r="U171" i="34"/>
  <c r="V171" i="34"/>
  <c r="W171" i="34"/>
  <c r="X171" i="34"/>
  <c r="Y171" i="34"/>
  <c r="Z171" i="34"/>
  <c r="AA171" i="34"/>
  <c r="AB171" i="34"/>
  <c r="AD171" i="34"/>
  <c r="AE171" i="34"/>
  <c r="AF171" i="34"/>
  <c r="AG171" i="34"/>
  <c r="P172" i="34"/>
  <c r="Q172" i="34"/>
  <c r="R172" i="34"/>
  <c r="S172" i="34"/>
  <c r="T172" i="34"/>
  <c r="U172" i="34"/>
  <c r="V172" i="34"/>
  <c r="W172" i="34"/>
  <c r="X172" i="34"/>
  <c r="Y172" i="34"/>
  <c r="Z172" i="34"/>
  <c r="AA172" i="34"/>
  <c r="AB172" i="34"/>
  <c r="AD172" i="34"/>
  <c r="AE172" i="34"/>
  <c r="AF172" i="34"/>
  <c r="AG172" i="34"/>
  <c r="P173" i="34"/>
  <c r="Q173" i="34"/>
  <c r="R173" i="34"/>
  <c r="S173" i="34"/>
  <c r="T173" i="34"/>
  <c r="U173" i="34"/>
  <c r="V173" i="34"/>
  <c r="W173" i="34"/>
  <c r="X173" i="34"/>
  <c r="Y173" i="34"/>
  <c r="Z173" i="34"/>
  <c r="AA173" i="34"/>
  <c r="AB173" i="34"/>
  <c r="AD173" i="34"/>
  <c r="AE173" i="34"/>
  <c r="AF173" i="34"/>
  <c r="AG173" i="34"/>
  <c r="P174" i="34"/>
  <c r="Q174" i="34"/>
  <c r="R174" i="34"/>
  <c r="S174" i="34"/>
  <c r="T174" i="34"/>
  <c r="U174" i="34"/>
  <c r="V174" i="34"/>
  <c r="W174" i="34"/>
  <c r="X174" i="34"/>
  <c r="Y174" i="34"/>
  <c r="Z174" i="34"/>
  <c r="AA174" i="34"/>
  <c r="AB174" i="34"/>
  <c r="AD174" i="34"/>
  <c r="AE174" i="34"/>
  <c r="AF174" i="34"/>
  <c r="AG174" i="34"/>
  <c r="P175" i="34"/>
  <c r="Q175" i="34"/>
  <c r="R175" i="34"/>
  <c r="S175" i="34"/>
  <c r="T175" i="34"/>
  <c r="U175" i="34"/>
  <c r="V175" i="34"/>
  <c r="W175" i="34"/>
  <c r="X175" i="34"/>
  <c r="Y175" i="34"/>
  <c r="Z175" i="34"/>
  <c r="AA175" i="34"/>
  <c r="AB175" i="34"/>
  <c r="AD175" i="34"/>
  <c r="AE175" i="34"/>
  <c r="AF175" i="34"/>
  <c r="AG175" i="34"/>
  <c r="P176" i="34"/>
  <c r="Q176" i="34"/>
  <c r="R176" i="34"/>
  <c r="S176" i="34"/>
  <c r="T176" i="34"/>
  <c r="U176" i="34"/>
  <c r="V176" i="34"/>
  <c r="W176" i="34"/>
  <c r="X176" i="34"/>
  <c r="Y176" i="34"/>
  <c r="Z176" i="34"/>
  <c r="AA176" i="34"/>
  <c r="AB176" i="34"/>
  <c r="AD176" i="34"/>
  <c r="AE176" i="34"/>
  <c r="AF176" i="34"/>
  <c r="AG176" i="34"/>
  <c r="P177" i="34"/>
  <c r="Q177" i="34"/>
  <c r="R177" i="34"/>
  <c r="S177" i="34"/>
  <c r="T177" i="34"/>
  <c r="U177" i="34"/>
  <c r="V177" i="34"/>
  <c r="W177" i="34"/>
  <c r="X177" i="34"/>
  <c r="Y177" i="34"/>
  <c r="Z177" i="34"/>
  <c r="AA177" i="34"/>
  <c r="AB177" i="34"/>
  <c r="AD177" i="34"/>
  <c r="AE177" i="34"/>
  <c r="AF177" i="34"/>
  <c r="AG177" i="34"/>
  <c r="P178" i="34"/>
  <c r="Q178" i="34"/>
  <c r="R178" i="34"/>
  <c r="S178" i="34"/>
  <c r="T178" i="34"/>
  <c r="U178" i="34"/>
  <c r="V178" i="34"/>
  <c r="W178" i="34"/>
  <c r="X178" i="34"/>
  <c r="Y178" i="34"/>
  <c r="Z178" i="34"/>
  <c r="AA178" i="34"/>
  <c r="AB178" i="34"/>
  <c r="AD178" i="34"/>
  <c r="AE178" i="34"/>
  <c r="AF178" i="34"/>
  <c r="AG178" i="34"/>
  <c r="P179" i="34"/>
  <c r="Q179" i="34"/>
  <c r="R179" i="34"/>
  <c r="S179" i="34"/>
  <c r="T179" i="34"/>
  <c r="U179" i="34"/>
  <c r="V179" i="34"/>
  <c r="W179" i="34"/>
  <c r="X179" i="34"/>
  <c r="Y179" i="34"/>
  <c r="Z179" i="34"/>
  <c r="AA179" i="34"/>
  <c r="AB179" i="34"/>
  <c r="AD179" i="34"/>
  <c r="AE179" i="34"/>
  <c r="AF179" i="34"/>
  <c r="AG179" i="34"/>
  <c r="P180" i="34"/>
  <c r="Q180" i="34"/>
  <c r="R180" i="34"/>
  <c r="S180" i="34"/>
  <c r="T180" i="34"/>
  <c r="U180" i="34"/>
  <c r="V180" i="34"/>
  <c r="W180" i="34"/>
  <c r="X180" i="34"/>
  <c r="Y180" i="34"/>
  <c r="Z180" i="34"/>
  <c r="AA180" i="34"/>
  <c r="AB180" i="34"/>
  <c r="AD180" i="34"/>
  <c r="AE180" i="34"/>
  <c r="AF180" i="34"/>
  <c r="AG180" i="34"/>
  <c r="P181" i="34"/>
  <c r="Q181" i="34"/>
  <c r="R181" i="34"/>
  <c r="S181" i="34"/>
  <c r="T181" i="34"/>
  <c r="U181" i="34"/>
  <c r="V181" i="34"/>
  <c r="W181" i="34"/>
  <c r="X181" i="34"/>
  <c r="Y181" i="34"/>
  <c r="Z181" i="34"/>
  <c r="AA181" i="34"/>
  <c r="AB181" i="34"/>
  <c r="AD181" i="34"/>
  <c r="AE181" i="34"/>
  <c r="AF181" i="34"/>
  <c r="AG181" i="34"/>
  <c r="P182" i="34"/>
  <c r="Q182" i="34"/>
  <c r="R182" i="34"/>
  <c r="S182" i="34"/>
  <c r="T182" i="34"/>
  <c r="U182" i="34"/>
  <c r="V182" i="34"/>
  <c r="W182" i="34"/>
  <c r="X182" i="34"/>
  <c r="Y182" i="34"/>
  <c r="Z182" i="34"/>
  <c r="AA182" i="34"/>
  <c r="AB182" i="34"/>
  <c r="AD182" i="34"/>
  <c r="AE182" i="34"/>
  <c r="AF182" i="34"/>
  <c r="AG182" i="34"/>
  <c r="P183" i="34"/>
  <c r="Q183" i="34"/>
  <c r="R183" i="34"/>
  <c r="S183" i="34"/>
  <c r="T183" i="34"/>
  <c r="U183" i="34"/>
  <c r="V183" i="34"/>
  <c r="W183" i="34"/>
  <c r="X183" i="34"/>
  <c r="Y183" i="34"/>
  <c r="Z183" i="34"/>
  <c r="AA183" i="34"/>
  <c r="AB183" i="34"/>
  <c r="AD183" i="34"/>
  <c r="AE183" i="34"/>
  <c r="AF183" i="34"/>
  <c r="AG183" i="34"/>
  <c r="P184" i="34"/>
  <c r="Q184" i="34"/>
  <c r="R184" i="34"/>
  <c r="S184" i="34"/>
  <c r="T184" i="34"/>
  <c r="U184" i="34"/>
  <c r="V184" i="34"/>
  <c r="W184" i="34"/>
  <c r="X184" i="34"/>
  <c r="Y184" i="34"/>
  <c r="Z184" i="34"/>
  <c r="AA184" i="34"/>
  <c r="AB184" i="34"/>
  <c r="AD184" i="34"/>
  <c r="AE184" i="34"/>
  <c r="AF184" i="34"/>
  <c r="AG184" i="34"/>
  <c r="P185" i="34"/>
  <c r="Q185" i="34"/>
  <c r="R185" i="34"/>
  <c r="S185" i="34"/>
  <c r="T185" i="34"/>
  <c r="U185" i="34"/>
  <c r="V185" i="34"/>
  <c r="W185" i="34"/>
  <c r="X185" i="34"/>
  <c r="Y185" i="34"/>
  <c r="Z185" i="34"/>
  <c r="AA185" i="34"/>
  <c r="AB185" i="34"/>
  <c r="AD185" i="34"/>
  <c r="AE185" i="34"/>
  <c r="AF185" i="34"/>
  <c r="AG185" i="34"/>
  <c r="P186" i="34"/>
  <c r="Q186" i="34"/>
  <c r="R186" i="34"/>
  <c r="S186" i="34"/>
  <c r="T186" i="34"/>
  <c r="U186" i="34"/>
  <c r="V186" i="34"/>
  <c r="W186" i="34"/>
  <c r="X186" i="34"/>
  <c r="Y186" i="34"/>
  <c r="Z186" i="34"/>
  <c r="AA186" i="34"/>
  <c r="AB186" i="34"/>
  <c r="AD186" i="34"/>
  <c r="AE186" i="34"/>
  <c r="AF186" i="34"/>
  <c r="AG186" i="34"/>
  <c r="P187" i="34"/>
  <c r="Q187" i="34"/>
  <c r="R187" i="34"/>
  <c r="S187" i="34"/>
  <c r="T187" i="34"/>
  <c r="U187" i="34"/>
  <c r="V187" i="34"/>
  <c r="W187" i="34"/>
  <c r="X187" i="34"/>
  <c r="Y187" i="34"/>
  <c r="Z187" i="34"/>
  <c r="AA187" i="34"/>
  <c r="AB187" i="34"/>
  <c r="AD187" i="34"/>
  <c r="AE187" i="34"/>
  <c r="AF187" i="34"/>
  <c r="AG187" i="34"/>
  <c r="P188" i="34"/>
  <c r="Q188" i="34"/>
  <c r="R188" i="34"/>
  <c r="S188" i="34"/>
  <c r="T188" i="34"/>
  <c r="U188" i="34"/>
  <c r="V188" i="34"/>
  <c r="W188" i="34"/>
  <c r="X188" i="34"/>
  <c r="Y188" i="34"/>
  <c r="Z188" i="34"/>
  <c r="AA188" i="34"/>
  <c r="AB188" i="34"/>
  <c r="AD188" i="34"/>
  <c r="AE188" i="34"/>
  <c r="AF188" i="34"/>
  <c r="AG188" i="34"/>
  <c r="P189" i="34"/>
  <c r="Q189" i="34"/>
  <c r="R189" i="34"/>
  <c r="S189" i="34"/>
  <c r="T189" i="34"/>
  <c r="U189" i="34"/>
  <c r="V189" i="34"/>
  <c r="W189" i="34"/>
  <c r="X189" i="34"/>
  <c r="Y189" i="34"/>
  <c r="Z189" i="34"/>
  <c r="AA189" i="34"/>
  <c r="AB189" i="34"/>
  <c r="AD189" i="34"/>
  <c r="AE189" i="34"/>
  <c r="AF189" i="34"/>
  <c r="AG189" i="34"/>
  <c r="P190" i="34"/>
  <c r="Q190" i="34"/>
  <c r="R190" i="34"/>
  <c r="S190" i="34"/>
  <c r="T190" i="34"/>
  <c r="U190" i="34"/>
  <c r="V190" i="34"/>
  <c r="W190" i="34"/>
  <c r="X190" i="34"/>
  <c r="Y190" i="34"/>
  <c r="Z190" i="34"/>
  <c r="AA190" i="34"/>
  <c r="AB190" i="34"/>
  <c r="AD190" i="34"/>
  <c r="AE190" i="34"/>
  <c r="AF190" i="34"/>
  <c r="AG190" i="34"/>
  <c r="P191" i="34"/>
  <c r="Q191" i="34"/>
  <c r="R191" i="34"/>
  <c r="S191" i="34"/>
  <c r="T191" i="34"/>
  <c r="U191" i="34"/>
  <c r="V191" i="34"/>
  <c r="W191" i="34"/>
  <c r="X191" i="34"/>
  <c r="Y191" i="34"/>
  <c r="Z191" i="34"/>
  <c r="AA191" i="34"/>
  <c r="AB191" i="34"/>
  <c r="AD191" i="34"/>
  <c r="AE191" i="34"/>
  <c r="AF191" i="34"/>
  <c r="AG191" i="34"/>
  <c r="P192" i="34"/>
  <c r="Q192" i="34"/>
  <c r="R192" i="34"/>
  <c r="S192" i="34"/>
  <c r="T192" i="34"/>
  <c r="U192" i="34"/>
  <c r="V192" i="34"/>
  <c r="W192" i="34"/>
  <c r="X192" i="34"/>
  <c r="Y192" i="34"/>
  <c r="Z192" i="34"/>
  <c r="AA192" i="34"/>
  <c r="AB192" i="34"/>
  <c r="AD192" i="34"/>
  <c r="AE192" i="34"/>
  <c r="AF192" i="34"/>
  <c r="AG192" i="34"/>
  <c r="P193" i="34"/>
  <c r="Q193" i="34"/>
  <c r="R193" i="34"/>
  <c r="S193" i="34"/>
  <c r="T193" i="34"/>
  <c r="U193" i="34"/>
  <c r="V193" i="34"/>
  <c r="W193" i="34"/>
  <c r="X193" i="34"/>
  <c r="Y193" i="34"/>
  <c r="Z193" i="34"/>
  <c r="AA193" i="34"/>
  <c r="AB193" i="34"/>
  <c r="AD193" i="34"/>
  <c r="AE193" i="34"/>
  <c r="AF193" i="34"/>
  <c r="AG193" i="34"/>
  <c r="P194" i="34"/>
  <c r="Q194" i="34"/>
  <c r="R194" i="34"/>
  <c r="S194" i="34"/>
  <c r="T194" i="34"/>
  <c r="U194" i="34"/>
  <c r="V194" i="34"/>
  <c r="W194" i="34"/>
  <c r="X194" i="34"/>
  <c r="Y194" i="34"/>
  <c r="Z194" i="34"/>
  <c r="AA194" i="34"/>
  <c r="AB194" i="34"/>
  <c r="AD194" i="34"/>
  <c r="AE194" i="34"/>
  <c r="AF194" i="34"/>
  <c r="AG194" i="34"/>
  <c r="P195" i="34"/>
  <c r="Q195" i="34"/>
  <c r="R195" i="34"/>
  <c r="S195" i="34"/>
  <c r="T195" i="34"/>
  <c r="U195" i="34"/>
  <c r="V195" i="34"/>
  <c r="W195" i="34"/>
  <c r="X195" i="34"/>
  <c r="Y195" i="34"/>
  <c r="Z195" i="34"/>
  <c r="AA195" i="34"/>
  <c r="AB195" i="34"/>
  <c r="AD195" i="34"/>
  <c r="AE195" i="34"/>
  <c r="AF195" i="34"/>
  <c r="AG195" i="34"/>
  <c r="P196" i="34"/>
  <c r="Q196" i="34"/>
  <c r="R196" i="34"/>
  <c r="S196" i="34"/>
  <c r="T196" i="34"/>
  <c r="U196" i="34"/>
  <c r="V196" i="34"/>
  <c r="W196" i="34"/>
  <c r="X196" i="34"/>
  <c r="Y196" i="34"/>
  <c r="Z196" i="34"/>
  <c r="AA196" i="34"/>
  <c r="AB196" i="34"/>
  <c r="AD196" i="34"/>
  <c r="AE196" i="34"/>
  <c r="AF196" i="34"/>
  <c r="AG196" i="34"/>
  <c r="P197" i="34"/>
  <c r="Q197" i="34"/>
  <c r="R197" i="34"/>
  <c r="S197" i="34"/>
  <c r="T197" i="34"/>
  <c r="U197" i="34"/>
  <c r="V197" i="34"/>
  <c r="W197" i="34"/>
  <c r="X197" i="34"/>
  <c r="Y197" i="34"/>
  <c r="Z197" i="34"/>
  <c r="AA197" i="34"/>
  <c r="AB197" i="34"/>
  <c r="AD197" i="34"/>
  <c r="AE197" i="34"/>
  <c r="AF197" i="34"/>
  <c r="AG197" i="34"/>
  <c r="P198" i="34"/>
  <c r="Q198" i="34"/>
  <c r="R198" i="34"/>
  <c r="S198" i="34"/>
  <c r="T198" i="34"/>
  <c r="U198" i="34"/>
  <c r="V198" i="34"/>
  <c r="W198" i="34"/>
  <c r="X198" i="34"/>
  <c r="Y198" i="34"/>
  <c r="Z198" i="34"/>
  <c r="AA198" i="34"/>
  <c r="AB198" i="34"/>
  <c r="AD198" i="34"/>
  <c r="AE198" i="34"/>
  <c r="AF198" i="34"/>
  <c r="AG198" i="34"/>
  <c r="P199" i="34"/>
  <c r="Q199" i="34"/>
  <c r="R199" i="34"/>
  <c r="S199" i="34"/>
  <c r="T199" i="34"/>
  <c r="U199" i="34"/>
  <c r="V199" i="34"/>
  <c r="W199" i="34"/>
  <c r="X199" i="34"/>
  <c r="Y199" i="34"/>
  <c r="Z199" i="34"/>
  <c r="AA199" i="34"/>
  <c r="AB199" i="34"/>
  <c r="AD199" i="34"/>
  <c r="AE199" i="34"/>
  <c r="AF199" i="34"/>
  <c r="AG199" i="34"/>
  <c r="P200" i="34"/>
  <c r="Q200" i="34"/>
  <c r="R200" i="34"/>
  <c r="S200" i="34"/>
  <c r="T200" i="34"/>
  <c r="U200" i="34"/>
  <c r="V200" i="34"/>
  <c r="W200" i="34"/>
  <c r="X200" i="34"/>
  <c r="Y200" i="34"/>
  <c r="Z200" i="34"/>
  <c r="AA200" i="34"/>
  <c r="AB200" i="34"/>
  <c r="AD200" i="34"/>
  <c r="AE200" i="34"/>
  <c r="AF200" i="34"/>
  <c r="AG200" i="34"/>
  <c r="P201" i="34"/>
  <c r="Q201" i="34"/>
  <c r="R201" i="34"/>
  <c r="S201" i="34"/>
  <c r="T201" i="34"/>
  <c r="U201" i="34"/>
  <c r="V201" i="34"/>
  <c r="W201" i="34"/>
  <c r="X201" i="34"/>
  <c r="Y201" i="34"/>
  <c r="Z201" i="34"/>
  <c r="AA201" i="34"/>
  <c r="AB201" i="34"/>
  <c r="AD201" i="34"/>
  <c r="AE201" i="34"/>
  <c r="AF201" i="34"/>
  <c r="AG201" i="34"/>
  <c r="P202" i="34"/>
  <c r="Q202" i="34"/>
  <c r="R202" i="34"/>
  <c r="S202" i="34"/>
  <c r="T202" i="34"/>
  <c r="U202" i="34"/>
  <c r="V202" i="34"/>
  <c r="W202" i="34"/>
  <c r="X202" i="34"/>
  <c r="Y202" i="34"/>
  <c r="Z202" i="34"/>
  <c r="AA202" i="34"/>
  <c r="AB202" i="34"/>
  <c r="AD202" i="34"/>
  <c r="AE202" i="34"/>
  <c r="AF202" i="34"/>
  <c r="AG202" i="34"/>
  <c r="P203" i="34"/>
  <c r="Q203" i="34"/>
  <c r="R203" i="34"/>
  <c r="S203" i="34"/>
  <c r="T203" i="34"/>
  <c r="U203" i="34"/>
  <c r="V203" i="34"/>
  <c r="W203" i="34"/>
  <c r="X203" i="34"/>
  <c r="Y203" i="34"/>
  <c r="Z203" i="34"/>
  <c r="AA203" i="34"/>
  <c r="AB203" i="34"/>
  <c r="AD203" i="34"/>
  <c r="AE203" i="34"/>
  <c r="AF203" i="34"/>
  <c r="AG203" i="34"/>
  <c r="P204" i="34"/>
  <c r="Q204" i="34"/>
  <c r="R204" i="34"/>
  <c r="S204" i="34"/>
  <c r="T204" i="34"/>
  <c r="U204" i="34"/>
  <c r="V204" i="34"/>
  <c r="W204" i="34"/>
  <c r="X204" i="34"/>
  <c r="Y204" i="34"/>
  <c r="Z204" i="34"/>
  <c r="AA204" i="34"/>
  <c r="AB204" i="34"/>
  <c r="AD204" i="34"/>
  <c r="AE204" i="34"/>
  <c r="AF204" i="34"/>
  <c r="AG204" i="34"/>
  <c r="P205" i="34"/>
  <c r="Q205" i="34"/>
  <c r="R205" i="34"/>
  <c r="S205" i="34"/>
  <c r="T205" i="34"/>
  <c r="U205" i="34"/>
  <c r="V205" i="34"/>
  <c r="W205" i="34"/>
  <c r="X205" i="34"/>
  <c r="Y205" i="34"/>
  <c r="Z205" i="34"/>
  <c r="AA205" i="34"/>
  <c r="AB205" i="34"/>
  <c r="AD205" i="34"/>
  <c r="AE205" i="34"/>
  <c r="AF205" i="34"/>
  <c r="AG205" i="34"/>
  <c r="P206" i="34"/>
  <c r="Q206" i="34"/>
  <c r="R206" i="34"/>
  <c r="S206" i="34"/>
  <c r="T206" i="34"/>
  <c r="U206" i="34"/>
  <c r="V206" i="34"/>
  <c r="W206" i="34"/>
  <c r="X206" i="34"/>
  <c r="Y206" i="34"/>
  <c r="Z206" i="34"/>
  <c r="AA206" i="34"/>
  <c r="AB206" i="34"/>
  <c r="AD206" i="34"/>
  <c r="AE206" i="34"/>
  <c r="AF206" i="34"/>
  <c r="AG206" i="34"/>
  <c r="P207" i="34"/>
  <c r="Q207" i="34"/>
  <c r="R207" i="34"/>
  <c r="S207" i="34"/>
  <c r="T207" i="34"/>
  <c r="U207" i="34"/>
  <c r="V207" i="34"/>
  <c r="W207" i="34"/>
  <c r="X207" i="34"/>
  <c r="Y207" i="34"/>
  <c r="Z207" i="34"/>
  <c r="AA207" i="34"/>
  <c r="AB207" i="34"/>
  <c r="AD207" i="34"/>
  <c r="AE207" i="34"/>
  <c r="AF207" i="34"/>
  <c r="AG207" i="34"/>
  <c r="P208" i="34"/>
  <c r="Q208" i="34"/>
  <c r="R208" i="34"/>
  <c r="S208" i="34"/>
  <c r="T208" i="34"/>
  <c r="U208" i="34"/>
  <c r="V208" i="34"/>
  <c r="W208" i="34"/>
  <c r="X208" i="34"/>
  <c r="Y208" i="34"/>
  <c r="Z208" i="34"/>
  <c r="AA208" i="34"/>
  <c r="AB208" i="34"/>
  <c r="AD208" i="34"/>
  <c r="AE208" i="34"/>
  <c r="AF208" i="34"/>
  <c r="AG208" i="34"/>
  <c r="P209" i="34"/>
  <c r="Q209" i="34"/>
  <c r="R209" i="34"/>
  <c r="S209" i="34"/>
  <c r="T209" i="34"/>
  <c r="U209" i="34"/>
  <c r="V209" i="34"/>
  <c r="W209" i="34"/>
  <c r="X209" i="34"/>
  <c r="Y209" i="34"/>
  <c r="Z209" i="34"/>
  <c r="AA209" i="34"/>
  <c r="AB209" i="34"/>
  <c r="AD209" i="34"/>
  <c r="AE209" i="34"/>
  <c r="AF209" i="34"/>
  <c r="AG209" i="34"/>
  <c r="P210" i="34"/>
  <c r="Q210" i="34"/>
  <c r="R210" i="34"/>
  <c r="S210" i="34"/>
  <c r="T210" i="34"/>
  <c r="U210" i="34"/>
  <c r="V210" i="34"/>
  <c r="W210" i="34"/>
  <c r="X210" i="34"/>
  <c r="Y210" i="34"/>
  <c r="Z210" i="34"/>
  <c r="AA210" i="34"/>
  <c r="AB210" i="34"/>
  <c r="AD210" i="34"/>
  <c r="AE210" i="34"/>
  <c r="AF210" i="34"/>
  <c r="AG210" i="34"/>
  <c r="P211" i="34"/>
  <c r="Q211" i="34"/>
  <c r="R211" i="34"/>
  <c r="S211" i="34"/>
  <c r="T211" i="34"/>
  <c r="U211" i="34"/>
  <c r="V211" i="34"/>
  <c r="W211" i="34"/>
  <c r="X211" i="34"/>
  <c r="Y211" i="34"/>
  <c r="Z211" i="34"/>
  <c r="AA211" i="34"/>
  <c r="AB211" i="34"/>
  <c r="AD211" i="34"/>
  <c r="AE211" i="34"/>
  <c r="AF211" i="34"/>
  <c r="AG211" i="34"/>
  <c r="P212" i="34"/>
  <c r="Q212" i="34"/>
  <c r="R212" i="34"/>
  <c r="S212" i="34"/>
  <c r="T212" i="34"/>
  <c r="U212" i="34"/>
  <c r="V212" i="34"/>
  <c r="W212" i="34"/>
  <c r="X212" i="34"/>
  <c r="Y212" i="34"/>
  <c r="Z212" i="34"/>
  <c r="AA212" i="34"/>
  <c r="AB212" i="34"/>
  <c r="AD212" i="34"/>
  <c r="AE212" i="34"/>
  <c r="AF212" i="34"/>
  <c r="AG212" i="34"/>
  <c r="P213" i="34"/>
  <c r="Q213" i="34"/>
  <c r="R213" i="34"/>
  <c r="S213" i="34"/>
  <c r="T213" i="34"/>
  <c r="U213" i="34"/>
  <c r="V213" i="34"/>
  <c r="W213" i="34"/>
  <c r="X213" i="34"/>
  <c r="Y213" i="34"/>
  <c r="Z213" i="34"/>
  <c r="AA213" i="34"/>
  <c r="AB213" i="34"/>
  <c r="AD213" i="34"/>
  <c r="AE213" i="34"/>
  <c r="AF213" i="34"/>
  <c r="AG213" i="34"/>
  <c r="P214" i="34"/>
  <c r="Q214" i="34"/>
  <c r="R214" i="34"/>
  <c r="S214" i="34"/>
  <c r="T214" i="34"/>
  <c r="U214" i="34"/>
  <c r="V214" i="34"/>
  <c r="W214" i="34"/>
  <c r="X214" i="34"/>
  <c r="Y214" i="34"/>
  <c r="Z214" i="34"/>
  <c r="AA214" i="34"/>
  <c r="AB214" i="34"/>
  <c r="AD214" i="34"/>
  <c r="AE214" i="34"/>
  <c r="AF214" i="34"/>
  <c r="AG214" i="34"/>
  <c r="P215" i="34"/>
  <c r="Q215" i="34"/>
  <c r="R215" i="34"/>
  <c r="S215" i="34"/>
  <c r="T215" i="34"/>
  <c r="U215" i="34"/>
  <c r="V215" i="34"/>
  <c r="W215" i="34"/>
  <c r="X215" i="34"/>
  <c r="Y215" i="34"/>
  <c r="Z215" i="34"/>
  <c r="AA215" i="34"/>
  <c r="AB215" i="34"/>
  <c r="AD215" i="34"/>
  <c r="AE215" i="34"/>
  <c r="AF215" i="34"/>
  <c r="AG215" i="34"/>
  <c r="P216" i="34"/>
  <c r="Q216" i="34"/>
  <c r="R216" i="34"/>
  <c r="S216" i="34"/>
  <c r="T216" i="34"/>
  <c r="U216" i="34"/>
  <c r="V216" i="34"/>
  <c r="W216" i="34"/>
  <c r="X216" i="34"/>
  <c r="Y216" i="34"/>
  <c r="Z216" i="34"/>
  <c r="AA216" i="34"/>
  <c r="AB216" i="34"/>
  <c r="AD216" i="34"/>
  <c r="AE216" i="34"/>
  <c r="AF216" i="34"/>
  <c r="AG216" i="34"/>
  <c r="P217" i="34"/>
  <c r="Q217" i="34"/>
  <c r="R217" i="34"/>
  <c r="S217" i="34"/>
  <c r="T217" i="34"/>
  <c r="U217" i="34"/>
  <c r="V217" i="34"/>
  <c r="W217" i="34"/>
  <c r="X217" i="34"/>
  <c r="Y217" i="34"/>
  <c r="Z217" i="34"/>
  <c r="AA217" i="34"/>
  <c r="AB217" i="34"/>
  <c r="AD217" i="34"/>
  <c r="AE217" i="34"/>
  <c r="AF217" i="34"/>
  <c r="AG217" i="34"/>
  <c r="P218" i="34"/>
  <c r="Q218" i="34"/>
  <c r="R218" i="34"/>
  <c r="S218" i="34"/>
  <c r="T218" i="34"/>
  <c r="U218" i="34"/>
  <c r="V218" i="34"/>
  <c r="W218" i="34"/>
  <c r="X218" i="34"/>
  <c r="Y218" i="34"/>
  <c r="Z218" i="34"/>
  <c r="AA218" i="34"/>
  <c r="AB218" i="34"/>
  <c r="AD218" i="34"/>
  <c r="AE218" i="34"/>
  <c r="AF218" i="34"/>
  <c r="AG218" i="34"/>
  <c r="P219" i="34"/>
  <c r="Q219" i="34"/>
  <c r="R219" i="34"/>
  <c r="S219" i="34"/>
  <c r="T219" i="34"/>
  <c r="U219" i="34"/>
  <c r="V219" i="34"/>
  <c r="W219" i="34"/>
  <c r="X219" i="34"/>
  <c r="Y219" i="34"/>
  <c r="Z219" i="34"/>
  <c r="AA219" i="34"/>
  <c r="AB219" i="34"/>
  <c r="AD219" i="34"/>
  <c r="AE219" i="34"/>
  <c r="AF219" i="34"/>
  <c r="AG219" i="34"/>
  <c r="P220" i="34"/>
  <c r="Q220" i="34"/>
  <c r="R220" i="34"/>
  <c r="S220" i="34"/>
  <c r="T220" i="34"/>
  <c r="U220" i="34"/>
  <c r="V220" i="34"/>
  <c r="W220" i="34"/>
  <c r="X220" i="34"/>
  <c r="Y220" i="34"/>
  <c r="Z220" i="34"/>
  <c r="AA220" i="34"/>
  <c r="AB220" i="34"/>
  <c r="AD220" i="34"/>
  <c r="AE220" i="34"/>
  <c r="AF220" i="34"/>
  <c r="AG220" i="34"/>
  <c r="P221" i="34"/>
  <c r="Q221" i="34"/>
  <c r="R221" i="34"/>
  <c r="S221" i="34"/>
  <c r="T221" i="34"/>
  <c r="U221" i="34"/>
  <c r="V221" i="34"/>
  <c r="W221" i="34"/>
  <c r="X221" i="34"/>
  <c r="Y221" i="34"/>
  <c r="Z221" i="34"/>
  <c r="AA221" i="34"/>
  <c r="AB221" i="34"/>
  <c r="AD221" i="34"/>
  <c r="AE221" i="34"/>
  <c r="AF221" i="34"/>
  <c r="AG221" i="34"/>
  <c r="P222" i="34"/>
  <c r="Q222" i="34"/>
  <c r="R222" i="34"/>
  <c r="S222" i="34"/>
  <c r="T222" i="34"/>
  <c r="U222" i="34"/>
  <c r="V222" i="34"/>
  <c r="W222" i="34"/>
  <c r="X222" i="34"/>
  <c r="Y222" i="34"/>
  <c r="Z222" i="34"/>
  <c r="AA222" i="34"/>
  <c r="AB222" i="34"/>
  <c r="AD222" i="34"/>
  <c r="AE222" i="34"/>
  <c r="AF222" i="34"/>
  <c r="AG222" i="34"/>
  <c r="P223" i="34"/>
  <c r="Q223" i="34"/>
  <c r="R223" i="34"/>
  <c r="S223" i="34"/>
  <c r="T223" i="34"/>
  <c r="U223" i="34"/>
  <c r="V223" i="34"/>
  <c r="W223" i="34"/>
  <c r="X223" i="34"/>
  <c r="Y223" i="34"/>
  <c r="Z223" i="34"/>
  <c r="AA223" i="34"/>
  <c r="AB223" i="34"/>
  <c r="AD223" i="34"/>
  <c r="AE223" i="34"/>
  <c r="AF223" i="34"/>
  <c r="AG223" i="34"/>
  <c r="P224" i="34"/>
  <c r="Q224" i="34"/>
  <c r="R224" i="34"/>
  <c r="S224" i="34"/>
  <c r="T224" i="34"/>
  <c r="U224" i="34"/>
  <c r="V224" i="34"/>
  <c r="W224" i="34"/>
  <c r="X224" i="34"/>
  <c r="Y224" i="34"/>
  <c r="Z224" i="34"/>
  <c r="AA224" i="34"/>
  <c r="AB224" i="34"/>
  <c r="AD224" i="34"/>
  <c r="AE224" i="34"/>
  <c r="AF224" i="34"/>
  <c r="AG224" i="34"/>
  <c r="P225" i="34"/>
  <c r="Q225" i="34"/>
  <c r="R225" i="34"/>
  <c r="S225" i="34"/>
  <c r="T225" i="34"/>
  <c r="U225" i="34"/>
  <c r="V225" i="34"/>
  <c r="W225" i="34"/>
  <c r="X225" i="34"/>
  <c r="Y225" i="34"/>
  <c r="Z225" i="34"/>
  <c r="AA225" i="34"/>
  <c r="AB225" i="34"/>
  <c r="AD225" i="34"/>
  <c r="AE225" i="34"/>
  <c r="AF225" i="34"/>
  <c r="AG225" i="34"/>
  <c r="P226" i="34"/>
  <c r="Q226" i="34"/>
  <c r="R226" i="34"/>
  <c r="S226" i="34"/>
  <c r="T226" i="34"/>
  <c r="U226" i="34"/>
  <c r="V226" i="34"/>
  <c r="W226" i="34"/>
  <c r="X226" i="34"/>
  <c r="Y226" i="34"/>
  <c r="Z226" i="34"/>
  <c r="AA226" i="34"/>
  <c r="AB226" i="34"/>
  <c r="AD226" i="34"/>
  <c r="AE226" i="34"/>
  <c r="AF226" i="34"/>
  <c r="AG226" i="34"/>
  <c r="P227" i="34"/>
  <c r="Q227" i="34"/>
  <c r="R227" i="34"/>
  <c r="S227" i="34"/>
  <c r="T227" i="34"/>
  <c r="U227" i="34"/>
  <c r="V227" i="34"/>
  <c r="W227" i="34"/>
  <c r="X227" i="34"/>
  <c r="Y227" i="34"/>
  <c r="Z227" i="34"/>
  <c r="AA227" i="34"/>
  <c r="AB227" i="34"/>
  <c r="AD227" i="34"/>
  <c r="AE227" i="34"/>
  <c r="AF227" i="34"/>
  <c r="AG227" i="34"/>
  <c r="P228" i="34"/>
  <c r="Q228" i="34"/>
  <c r="R228" i="34"/>
  <c r="S228" i="34"/>
  <c r="T228" i="34"/>
  <c r="U228" i="34"/>
  <c r="V228" i="34"/>
  <c r="W228" i="34"/>
  <c r="X228" i="34"/>
  <c r="Y228" i="34"/>
  <c r="Z228" i="34"/>
  <c r="AA228" i="34"/>
  <c r="AB228" i="34"/>
  <c r="AD228" i="34"/>
  <c r="AE228" i="34"/>
  <c r="AF228" i="34"/>
  <c r="AG228" i="34"/>
  <c r="P229" i="34"/>
  <c r="Q229" i="34"/>
  <c r="R229" i="34"/>
  <c r="S229" i="34"/>
  <c r="T229" i="34"/>
  <c r="U229" i="34"/>
  <c r="V229" i="34"/>
  <c r="W229" i="34"/>
  <c r="X229" i="34"/>
  <c r="Y229" i="34"/>
  <c r="Z229" i="34"/>
  <c r="AA229" i="34"/>
  <c r="AB229" i="34"/>
  <c r="AD229" i="34"/>
  <c r="AE229" i="34"/>
  <c r="AF229" i="34"/>
  <c r="AG229" i="34"/>
  <c r="P230" i="34"/>
  <c r="Q230" i="34"/>
  <c r="R230" i="34"/>
  <c r="S230" i="34"/>
  <c r="T230" i="34"/>
  <c r="U230" i="34"/>
  <c r="V230" i="34"/>
  <c r="W230" i="34"/>
  <c r="X230" i="34"/>
  <c r="Y230" i="34"/>
  <c r="Z230" i="34"/>
  <c r="AA230" i="34"/>
  <c r="AB230" i="34"/>
  <c r="AD230" i="34"/>
  <c r="AE230" i="34"/>
  <c r="AF230" i="34"/>
  <c r="AG230" i="34"/>
  <c r="P231" i="34"/>
  <c r="Q231" i="34"/>
  <c r="R231" i="34"/>
  <c r="S231" i="34"/>
  <c r="T231" i="34"/>
  <c r="U231" i="34"/>
  <c r="V231" i="34"/>
  <c r="W231" i="34"/>
  <c r="X231" i="34"/>
  <c r="Y231" i="34"/>
  <c r="Z231" i="34"/>
  <c r="AA231" i="34"/>
  <c r="AB231" i="34"/>
  <c r="AD231" i="34"/>
  <c r="AE231" i="34"/>
  <c r="AF231" i="34"/>
  <c r="AG231" i="34"/>
  <c r="P232" i="34"/>
  <c r="Q232" i="34"/>
  <c r="R232" i="34"/>
  <c r="S232" i="34"/>
  <c r="T232" i="34"/>
  <c r="U232" i="34"/>
  <c r="V232" i="34"/>
  <c r="W232" i="34"/>
  <c r="X232" i="34"/>
  <c r="Y232" i="34"/>
  <c r="Z232" i="34"/>
  <c r="AA232" i="34"/>
  <c r="AB232" i="34"/>
  <c r="AD232" i="34"/>
  <c r="AE232" i="34"/>
  <c r="AF232" i="34"/>
  <c r="AG232" i="34"/>
  <c r="P233" i="34"/>
  <c r="Q233" i="34"/>
  <c r="R233" i="34"/>
  <c r="S233" i="34"/>
  <c r="T233" i="34"/>
  <c r="U233" i="34"/>
  <c r="V233" i="34"/>
  <c r="W233" i="34"/>
  <c r="X233" i="34"/>
  <c r="Y233" i="34"/>
  <c r="Z233" i="34"/>
  <c r="AA233" i="34"/>
  <c r="AB233" i="34"/>
  <c r="AD233" i="34"/>
  <c r="AE233" i="34"/>
  <c r="AF233" i="34"/>
  <c r="AG233" i="34"/>
  <c r="P234" i="34"/>
  <c r="Q234" i="34"/>
  <c r="R234" i="34"/>
  <c r="S234" i="34"/>
  <c r="T234" i="34"/>
  <c r="U234" i="34"/>
  <c r="V234" i="34"/>
  <c r="W234" i="34"/>
  <c r="X234" i="34"/>
  <c r="Y234" i="34"/>
  <c r="Z234" i="34"/>
  <c r="AA234" i="34"/>
  <c r="AB234" i="34"/>
  <c r="AD234" i="34"/>
  <c r="AE234" i="34"/>
  <c r="AF234" i="34"/>
  <c r="AG234" i="34"/>
  <c r="P235" i="34"/>
  <c r="Q235" i="34"/>
  <c r="R235" i="34"/>
  <c r="S235" i="34"/>
  <c r="T235" i="34"/>
  <c r="U235" i="34"/>
  <c r="V235" i="34"/>
  <c r="W235" i="34"/>
  <c r="X235" i="34"/>
  <c r="Y235" i="34"/>
  <c r="Z235" i="34"/>
  <c r="AA235" i="34"/>
  <c r="AB235" i="34"/>
  <c r="AD235" i="34"/>
  <c r="AE235" i="34"/>
  <c r="AF235" i="34"/>
  <c r="AG235" i="34"/>
  <c r="P236" i="34"/>
  <c r="Q236" i="34"/>
  <c r="R236" i="34"/>
  <c r="S236" i="34"/>
  <c r="T236" i="34"/>
  <c r="U236" i="34"/>
  <c r="V236" i="34"/>
  <c r="W236" i="34"/>
  <c r="X236" i="34"/>
  <c r="Y236" i="34"/>
  <c r="Z236" i="34"/>
  <c r="AA236" i="34"/>
  <c r="AB236" i="34"/>
  <c r="AD236" i="34"/>
  <c r="AE236" i="34"/>
  <c r="AF236" i="34"/>
  <c r="AG236" i="34"/>
  <c r="P237" i="34"/>
  <c r="Q237" i="34"/>
  <c r="R237" i="34"/>
  <c r="S237" i="34"/>
  <c r="T237" i="34"/>
  <c r="U237" i="34"/>
  <c r="V237" i="34"/>
  <c r="W237" i="34"/>
  <c r="X237" i="34"/>
  <c r="Y237" i="34"/>
  <c r="Z237" i="34"/>
  <c r="AA237" i="34"/>
  <c r="AB237" i="34"/>
  <c r="AD237" i="34"/>
  <c r="AE237" i="34"/>
  <c r="AF237" i="34"/>
  <c r="AG237" i="34"/>
  <c r="P238" i="34"/>
  <c r="Q238" i="34"/>
  <c r="R238" i="34"/>
  <c r="S238" i="34"/>
  <c r="T238" i="34"/>
  <c r="U238" i="34"/>
  <c r="V238" i="34"/>
  <c r="W238" i="34"/>
  <c r="X238" i="34"/>
  <c r="Y238" i="34"/>
  <c r="Z238" i="34"/>
  <c r="AA238" i="34"/>
  <c r="AB238" i="34"/>
  <c r="AD238" i="34"/>
  <c r="AE238" i="34"/>
  <c r="AF238" i="34"/>
  <c r="AG238" i="34"/>
  <c r="P239" i="34"/>
  <c r="Q239" i="34"/>
  <c r="R239" i="34"/>
  <c r="S239" i="34"/>
  <c r="T239" i="34"/>
  <c r="U239" i="34"/>
  <c r="V239" i="34"/>
  <c r="W239" i="34"/>
  <c r="X239" i="34"/>
  <c r="Y239" i="34"/>
  <c r="Z239" i="34"/>
  <c r="AA239" i="34"/>
  <c r="AB239" i="34"/>
  <c r="AD239" i="34"/>
  <c r="AE239" i="34"/>
  <c r="AF239" i="34"/>
  <c r="AG239" i="34"/>
  <c r="P240" i="34"/>
  <c r="Q240" i="34"/>
  <c r="R240" i="34"/>
  <c r="S240" i="34"/>
  <c r="T240" i="34"/>
  <c r="U240" i="34"/>
  <c r="V240" i="34"/>
  <c r="W240" i="34"/>
  <c r="X240" i="34"/>
  <c r="Y240" i="34"/>
  <c r="Z240" i="34"/>
  <c r="AA240" i="34"/>
  <c r="AB240" i="34"/>
  <c r="AD240" i="34"/>
  <c r="AE240" i="34"/>
  <c r="AF240" i="34"/>
  <c r="AG240" i="34"/>
  <c r="P241" i="34"/>
  <c r="Q241" i="34"/>
  <c r="R241" i="34"/>
  <c r="S241" i="34"/>
  <c r="T241" i="34"/>
  <c r="U241" i="34"/>
  <c r="V241" i="34"/>
  <c r="W241" i="34"/>
  <c r="X241" i="34"/>
  <c r="Y241" i="34"/>
  <c r="Z241" i="34"/>
  <c r="AA241" i="34"/>
  <c r="AB241" i="34"/>
  <c r="AD241" i="34"/>
  <c r="AE241" i="34"/>
  <c r="AF241" i="34"/>
  <c r="AG241" i="34"/>
  <c r="P242" i="34"/>
  <c r="Q242" i="34"/>
  <c r="R242" i="34"/>
  <c r="S242" i="34"/>
  <c r="T242" i="34"/>
  <c r="U242" i="34"/>
  <c r="V242" i="34"/>
  <c r="W242" i="34"/>
  <c r="X242" i="34"/>
  <c r="Y242" i="34"/>
  <c r="Z242" i="34"/>
  <c r="AA242" i="34"/>
  <c r="AB242" i="34"/>
  <c r="AD242" i="34"/>
  <c r="AE242" i="34"/>
  <c r="AF242" i="34"/>
  <c r="AG242" i="34"/>
  <c r="P243" i="34"/>
  <c r="Q243" i="34"/>
  <c r="R243" i="34"/>
  <c r="S243" i="34"/>
  <c r="T243" i="34"/>
  <c r="U243" i="34"/>
  <c r="V243" i="34"/>
  <c r="W243" i="34"/>
  <c r="X243" i="34"/>
  <c r="Y243" i="34"/>
  <c r="Z243" i="34"/>
  <c r="AA243" i="34"/>
  <c r="AB243" i="34"/>
  <c r="AD243" i="34"/>
  <c r="AE243" i="34"/>
  <c r="AF243" i="34"/>
  <c r="AG243" i="34"/>
  <c r="P244" i="34"/>
  <c r="Q244" i="34"/>
  <c r="R244" i="34"/>
  <c r="S244" i="34"/>
  <c r="T244" i="34"/>
  <c r="U244" i="34"/>
  <c r="V244" i="34"/>
  <c r="W244" i="34"/>
  <c r="X244" i="34"/>
  <c r="Y244" i="34"/>
  <c r="Z244" i="34"/>
  <c r="AA244" i="34"/>
  <c r="AB244" i="34"/>
  <c r="AD244" i="34"/>
  <c r="AE244" i="34"/>
  <c r="AF244" i="34"/>
  <c r="AG244" i="34"/>
  <c r="P245" i="34"/>
  <c r="Q245" i="34"/>
  <c r="R245" i="34"/>
  <c r="S245" i="34"/>
  <c r="T245" i="34"/>
  <c r="U245" i="34"/>
  <c r="V245" i="34"/>
  <c r="W245" i="34"/>
  <c r="X245" i="34"/>
  <c r="Y245" i="34"/>
  <c r="Z245" i="34"/>
  <c r="AA245" i="34"/>
  <c r="AB245" i="34"/>
  <c r="AD245" i="34"/>
  <c r="AE245" i="34"/>
  <c r="AF245" i="34"/>
  <c r="AG245" i="34"/>
  <c r="P246" i="34"/>
  <c r="Q246" i="34"/>
  <c r="R246" i="34"/>
  <c r="S246" i="34"/>
  <c r="T246" i="34"/>
  <c r="U246" i="34"/>
  <c r="V246" i="34"/>
  <c r="W246" i="34"/>
  <c r="X246" i="34"/>
  <c r="Y246" i="34"/>
  <c r="Z246" i="34"/>
  <c r="AA246" i="34"/>
  <c r="AB246" i="34"/>
  <c r="AD246" i="34"/>
  <c r="AE246" i="34"/>
  <c r="AF246" i="34"/>
  <c r="AG246" i="34"/>
  <c r="P247" i="34"/>
  <c r="Q247" i="34"/>
  <c r="R247" i="34"/>
  <c r="S247" i="34"/>
  <c r="T247" i="34"/>
  <c r="U247" i="34"/>
  <c r="V247" i="34"/>
  <c r="W247" i="34"/>
  <c r="X247" i="34"/>
  <c r="Y247" i="34"/>
  <c r="Z247" i="34"/>
  <c r="AA247" i="34"/>
  <c r="AB247" i="34"/>
  <c r="AD247" i="34"/>
  <c r="AE247" i="34"/>
  <c r="AF247" i="34"/>
  <c r="AG247" i="34"/>
  <c r="P248" i="34"/>
  <c r="Q248" i="34"/>
  <c r="R248" i="34"/>
  <c r="S248" i="34"/>
  <c r="T248" i="34"/>
  <c r="U248" i="34"/>
  <c r="V248" i="34"/>
  <c r="W248" i="34"/>
  <c r="X248" i="34"/>
  <c r="Y248" i="34"/>
  <c r="Z248" i="34"/>
  <c r="AA248" i="34"/>
  <c r="AB248" i="34"/>
  <c r="AD248" i="34"/>
  <c r="AE248" i="34"/>
  <c r="AF248" i="34"/>
  <c r="AG248" i="34"/>
  <c r="P249" i="34"/>
  <c r="Q249" i="34"/>
  <c r="R249" i="34"/>
  <c r="S249" i="34"/>
  <c r="T249" i="34"/>
  <c r="U249" i="34"/>
  <c r="V249" i="34"/>
  <c r="W249" i="34"/>
  <c r="X249" i="34"/>
  <c r="Y249" i="34"/>
  <c r="Z249" i="34"/>
  <c r="AA249" i="34"/>
  <c r="AB249" i="34"/>
  <c r="AD249" i="34"/>
  <c r="AE249" i="34"/>
  <c r="AF249" i="34"/>
  <c r="AG249" i="34"/>
  <c r="P250" i="34"/>
  <c r="Q250" i="34"/>
  <c r="R250" i="34"/>
  <c r="S250" i="34"/>
  <c r="T250" i="34"/>
  <c r="U250" i="34"/>
  <c r="V250" i="34"/>
  <c r="W250" i="34"/>
  <c r="X250" i="34"/>
  <c r="Y250" i="34"/>
  <c r="Z250" i="34"/>
  <c r="AA250" i="34"/>
  <c r="AB250" i="34"/>
  <c r="AD250" i="34"/>
  <c r="AE250" i="34"/>
  <c r="AF250" i="34"/>
  <c r="AG250" i="34"/>
  <c r="P251" i="34"/>
  <c r="Q251" i="34"/>
  <c r="R251" i="34"/>
  <c r="S251" i="34"/>
  <c r="T251" i="34"/>
  <c r="U251" i="34"/>
  <c r="V251" i="34"/>
  <c r="W251" i="34"/>
  <c r="X251" i="34"/>
  <c r="Y251" i="34"/>
  <c r="Z251" i="34"/>
  <c r="AA251" i="34"/>
  <c r="AB251" i="34"/>
  <c r="AD251" i="34"/>
  <c r="AE251" i="34"/>
  <c r="AF251" i="34"/>
  <c r="AG251" i="34"/>
  <c r="P252" i="34"/>
  <c r="Q252" i="34"/>
  <c r="R252" i="34"/>
  <c r="S252" i="34"/>
  <c r="T252" i="34"/>
  <c r="U252" i="34"/>
  <c r="V252" i="34"/>
  <c r="W252" i="34"/>
  <c r="X252" i="34"/>
  <c r="Y252" i="34"/>
  <c r="Z252" i="34"/>
  <c r="AA252" i="34"/>
  <c r="AB252" i="34"/>
  <c r="AD252" i="34"/>
  <c r="AE252" i="34"/>
  <c r="AF252" i="34"/>
  <c r="AG252" i="34"/>
  <c r="P253" i="34"/>
  <c r="Q253" i="34"/>
  <c r="R253" i="34"/>
  <c r="S253" i="34"/>
  <c r="T253" i="34"/>
  <c r="U253" i="34"/>
  <c r="V253" i="34"/>
  <c r="W253" i="34"/>
  <c r="X253" i="34"/>
  <c r="Y253" i="34"/>
  <c r="Z253" i="34"/>
  <c r="AA253" i="34"/>
  <c r="AB253" i="34"/>
  <c r="AD253" i="34"/>
  <c r="AE253" i="34"/>
  <c r="AF253" i="34"/>
  <c r="AG253" i="34"/>
  <c r="P254" i="34"/>
  <c r="Q254" i="34"/>
  <c r="R254" i="34"/>
  <c r="S254" i="34"/>
  <c r="T254" i="34"/>
  <c r="U254" i="34"/>
  <c r="V254" i="34"/>
  <c r="W254" i="34"/>
  <c r="X254" i="34"/>
  <c r="Y254" i="34"/>
  <c r="Z254" i="34"/>
  <c r="AA254" i="34"/>
  <c r="AB254" i="34"/>
  <c r="AD254" i="34"/>
  <c r="AE254" i="34"/>
  <c r="AF254" i="34"/>
  <c r="AG254" i="34"/>
  <c r="P255" i="34"/>
  <c r="Q255" i="34"/>
  <c r="R255" i="34"/>
  <c r="S255" i="34"/>
  <c r="T255" i="34"/>
  <c r="U255" i="34"/>
  <c r="V255" i="34"/>
  <c r="W255" i="34"/>
  <c r="X255" i="34"/>
  <c r="Y255" i="34"/>
  <c r="Z255" i="34"/>
  <c r="AA255" i="34"/>
  <c r="AB255" i="34"/>
  <c r="AD255" i="34"/>
  <c r="AE255" i="34"/>
  <c r="AF255" i="34"/>
  <c r="AG255" i="34"/>
  <c r="P256" i="34"/>
  <c r="Q256" i="34"/>
  <c r="R256" i="34"/>
  <c r="S256" i="34"/>
  <c r="T256" i="34"/>
  <c r="U256" i="34"/>
  <c r="V256" i="34"/>
  <c r="W256" i="34"/>
  <c r="X256" i="34"/>
  <c r="Y256" i="34"/>
  <c r="Z256" i="34"/>
  <c r="AA256" i="34"/>
  <c r="AB256" i="34"/>
  <c r="AD256" i="34"/>
  <c r="AE256" i="34"/>
  <c r="AF256" i="34"/>
  <c r="AG256" i="34"/>
  <c r="P257" i="34"/>
  <c r="Q257" i="34"/>
  <c r="R257" i="34"/>
  <c r="S257" i="34"/>
  <c r="T257" i="34"/>
  <c r="U257" i="34"/>
  <c r="V257" i="34"/>
  <c r="W257" i="34"/>
  <c r="X257" i="34"/>
  <c r="Y257" i="34"/>
  <c r="Z257" i="34"/>
  <c r="AA257" i="34"/>
  <c r="AB257" i="34"/>
  <c r="AD257" i="34"/>
  <c r="AE257" i="34"/>
  <c r="AF257" i="34"/>
  <c r="AG257" i="34"/>
  <c r="P258" i="34"/>
  <c r="Q258" i="34"/>
  <c r="R258" i="34"/>
  <c r="S258" i="34"/>
  <c r="T258" i="34"/>
  <c r="U258" i="34"/>
  <c r="V258" i="34"/>
  <c r="W258" i="34"/>
  <c r="X258" i="34"/>
  <c r="Y258" i="34"/>
  <c r="Z258" i="34"/>
  <c r="AA258" i="34"/>
  <c r="AB258" i="34"/>
  <c r="AD258" i="34"/>
  <c r="AE258" i="34"/>
  <c r="AF258" i="34"/>
  <c r="AG258" i="34"/>
  <c r="P259" i="34"/>
  <c r="Q259" i="34"/>
  <c r="R259" i="34"/>
  <c r="S259" i="34"/>
  <c r="T259" i="34"/>
  <c r="U259" i="34"/>
  <c r="V259" i="34"/>
  <c r="W259" i="34"/>
  <c r="X259" i="34"/>
  <c r="Y259" i="34"/>
  <c r="Z259" i="34"/>
  <c r="AA259" i="34"/>
  <c r="AB259" i="34"/>
  <c r="AD259" i="34"/>
  <c r="AE259" i="34"/>
  <c r="AF259" i="34"/>
  <c r="AG259" i="34"/>
  <c r="P260" i="34"/>
  <c r="Q260" i="34"/>
  <c r="R260" i="34"/>
  <c r="S260" i="34"/>
  <c r="T260" i="34"/>
  <c r="U260" i="34"/>
  <c r="V260" i="34"/>
  <c r="W260" i="34"/>
  <c r="X260" i="34"/>
  <c r="Y260" i="34"/>
  <c r="Z260" i="34"/>
  <c r="AA260" i="34"/>
  <c r="AB260" i="34"/>
  <c r="AD260" i="34"/>
  <c r="AE260" i="34"/>
  <c r="AF260" i="34"/>
  <c r="AG260" i="34"/>
  <c r="P261" i="34"/>
  <c r="Q261" i="34"/>
  <c r="R261" i="34"/>
  <c r="S261" i="34"/>
  <c r="T261" i="34"/>
  <c r="U261" i="34"/>
  <c r="V261" i="34"/>
  <c r="W261" i="34"/>
  <c r="X261" i="34"/>
  <c r="Y261" i="34"/>
  <c r="Z261" i="34"/>
  <c r="AA261" i="34"/>
  <c r="AB261" i="34"/>
  <c r="AD261" i="34"/>
  <c r="AE261" i="34"/>
  <c r="AF261" i="34"/>
  <c r="AG261" i="34"/>
  <c r="P262" i="34"/>
  <c r="Q262" i="34"/>
  <c r="R262" i="34"/>
  <c r="S262" i="34"/>
  <c r="T262" i="34"/>
  <c r="U262" i="34"/>
  <c r="V262" i="34"/>
  <c r="W262" i="34"/>
  <c r="X262" i="34"/>
  <c r="Y262" i="34"/>
  <c r="Z262" i="34"/>
  <c r="AA262" i="34"/>
  <c r="AB262" i="34"/>
  <c r="AD262" i="34"/>
  <c r="AE262" i="34"/>
  <c r="AF262" i="34"/>
  <c r="AG262" i="34"/>
  <c r="P263" i="34"/>
  <c r="Q263" i="34"/>
  <c r="R263" i="34"/>
  <c r="S263" i="34"/>
  <c r="T263" i="34"/>
  <c r="U263" i="34"/>
  <c r="V263" i="34"/>
  <c r="W263" i="34"/>
  <c r="X263" i="34"/>
  <c r="Y263" i="34"/>
  <c r="Z263" i="34"/>
  <c r="AA263" i="34"/>
  <c r="AB263" i="34"/>
  <c r="AD263" i="34"/>
  <c r="AE263" i="34"/>
  <c r="AF263" i="34"/>
  <c r="AG263" i="34"/>
  <c r="P264" i="34"/>
  <c r="Q264" i="34"/>
  <c r="R264" i="34"/>
  <c r="S264" i="34"/>
  <c r="T264" i="34"/>
  <c r="U264" i="34"/>
  <c r="V264" i="34"/>
  <c r="W264" i="34"/>
  <c r="X264" i="34"/>
  <c r="Y264" i="34"/>
  <c r="Z264" i="34"/>
  <c r="AA264" i="34"/>
  <c r="AB264" i="34"/>
  <c r="AD264" i="34"/>
  <c r="AE264" i="34"/>
  <c r="AF264" i="34"/>
  <c r="AG264" i="34"/>
  <c r="P265" i="34"/>
  <c r="Q265" i="34"/>
  <c r="R265" i="34"/>
  <c r="S265" i="34"/>
  <c r="T265" i="34"/>
  <c r="U265" i="34"/>
  <c r="V265" i="34"/>
  <c r="W265" i="34"/>
  <c r="X265" i="34"/>
  <c r="Y265" i="34"/>
  <c r="Z265" i="34"/>
  <c r="AA265" i="34"/>
  <c r="AB265" i="34"/>
  <c r="AD265" i="34"/>
  <c r="AE265" i="34"/>
  <c r="AF265" i="34"/>
  <c r="AG265" i="34"/>
  <c r="P266" i="34"/>
  <c r="Q266" i="34"/>
  <c r="R266" i="34"/>
  <c r="S266" i="34"/>
  <c r="T266" i="34"/>
  <c r="U266" i="34"/>
  <c r="V266" i="34"/>
  <c r="W266" i="34"/>
  <c r="X266" i="34"/>
  <c r="Y266" i="34"/>
  <c r="Z266" i="34"/>
  <c r="AA266" i="34"/>
  <c r="AB266" i="34"/>
  <c r="AD266" i="34"/>
  <c r="AE266" i="34"/>
  <c r="AF266" i="34"/>
  <c r="AG266" i="34"/>
  <c r="P267" i="34"/>
  <c r="Q267" i="34"/>
  <c r="R267" i="34"/>
  <c r="S267" i="34"/>
  <c r="T267" i="34"/>
  <c r="U267" i="34"/>
  <c r="V267" i="34"/>
  <c r="W267" i="34"/>
  <c r="X267" i="34"/>
  <c r="Y267" i="34"/>
  <c r="Z267" i="34"/>
  <c r="AA267" i="34"/>
  <c r="AB267" i="34"/>
  <c r="AD267" i="34"/>
  <c r="AE267" i="34"/>
  <c r="AF267" i="34"/>
  <c r="AG267" i="34"/>
  <c r="P268" i="34"/>
  <c r="Q268" i="34"/>
  <c r="R268" i="34"/>
  <c r="S268" i="34"/>
  <c r="T268" i="34"/>
  <c r="U268" i="34"/>
  <c r="V268" i="34"/>
  <c r="W268" i="34"/>
  <c r="X268" i="34"/>
  <c r="Y268" i="34"/>
  <c r="Z268" i="34"/>
  <c r="AA268" i="34"/>
  <c r="AB268" i="34"/>
  <c r="AD268" i="34"/>
  <c r="AE268" i="34"/>
  <c r="AF268" i="34"/>
  <c r="AG268" i="34"/>
  <c r="P269" i="34"/>
  <c r="Q269" i="34"/>
  <c r="R269" i="34"/>
  <c r="S269" i="34"/>
  <c r="T269" i="34"/>
  <c r="U269" i="34"/>
  <c r="V269" i="34"/>
  <c r="W269" i="34"/>
  <c r="X269" i="34"/>
  <c r="Y269" i="34"/>
  <c r="Z269" i="34"/>
  <c r="AA269" i="34"/>
  <c r="AB269" i="34"/>
  <c r="AD269" i="34"/>
  <c r="AE269" i="34"/>
  <c r="AF269" i="34"/>
  <c r="AG269" i="34"/>
  <c r="P270" i="34"/>
  <c r="Q270" i="34"/>
  <c r="R270" i="34"/>
  <c r="S270" i="34"/>
  <c r="T270" i="34"/>
  <c r="U270" i="34"/>
  <c r="V270" i="34"/>
  <c r="W270" i="34"/>
  <c r="X270" i="34"/>
  <c r="Y270" i="34"/>
  <c r="Z270" i="34"/>
  <c r="AA270" i="34"/>
  <c r="AB270" i="34"/>
  <c r="AD270" i="34"/>
  <c r="AE270" i="34"/>
  <c r="AF270" i="34"/>
  <c r="AG270" i="34"/>
  <c r="P271" i="34"/>
  <c r="Q271" i="34"/>
  <c r="R271" i="34"/>
  <c r="S271" i="34"/>
  <c r="T271" i="34"/>
  <c r="U271" i="34"/>
  <c r="V271" i="34"/>
  <c r="W271" i="34"/>
  <c r="X271" i="34"/>
  <c r="Y271" i="34"/>
  <c r="Z271" i="34"/>
  <c r="AA271" i="34"/>
  <c r="AB271" i="34"/>
  <c r="AD271" i="34"/>
  <c r="AE271" i="34"/>
  <c r="AF271" i="34"/>
  <c r="AG271" i="34"/>
  <c r="P272" i="34"/>
  <c r="Q272" i="34"/>
  <c r="R272" i="34"/>
  <c r="S272" i="34"/>
  <c r="T272" i="34"/>
  <c r="U272" i="34"/>
  <c r="V272" i="34"/>
  <c r="W272" i="34"/>
  <c r="X272" i="34"/>
  <c r="Y272" i="34"/>
  <c r="Z272" i="34"/>
  <c r="AA272" i="34"/>
  <c r="AB272" i="34"/>
  <c r="AD272" i="34"/>
  <c r="AE272" i="34"/>
  <c r="AF272" i="34"/>
  <c r="AG272" i="34"/>
  <c r="P273" i="34"/>
  <c r="Q273" i="34"/>
  <c r="R273" i="34"/>
  <c r="S273" i="34"/>
  <c r="T273" i="34"/>
  <c r="U273" i="34"/>
  <c r="V273" i="34"/>
  <c r="W273" i="34"/>
  <c r="X273" i="34"/>
  <c r="Y273" i="34"/>
  <c r="Z273" i="34"/>
  <c r="AA273" i="34"/>
  <c r="AB273" i="34"/>
  <c r="AD273" i="34"/>
  <c r="AE273" i="34"/>
  <c r="AF273" i="34"/>
  <c r="AG273" i="34"/>
  <c r="P274" i="34"/>
  <c r="Q274" i="34"/>
  <c r="R274" i="34"/>
  <c r="S274" i="34"/>
  <c r="T274" i="34"/>
  <c r="U274" i="34"/>
  <c r="V274" i="34"/>
  <c r="W274" i="34"/>
  <c r="X274" i="34"/>
  <c r="Y274" i="34"/>
  <c r="Z274" i="34"/>
  <c r="AA274" i="34"/>
  <c r="AB274" i="34"/>
  <c r="AD274" i="34"/>
  <c r="AE274" i="34"/>
  <c r="AF274" i="34"/>
  <c r="AG274" i="34"/>
  <c r="P275" i="34"/>
  <c r="Q275" i="34"/>
  <c r="R275" i="34"/>
  <c r="S275" i="34"/>
  <c r="T275" i="34"/>
  <c r="U275" i="34"/>
  <c r="V275" i="34"/>
  <c r="W275" i="34"/>
  <c r="X275" i="34"/>
  <c r="Y275" i="34"/>
  <c r="Z275" i="34"/>
  <c r="AA275" i="34"/>
  <c r="AB275" i="34"/>
  <c r="AD275" i="34"/>
  <c r="AE275" i="34"/>
  <c r="AF275" i="34"/>
  <c r="AG275" i="34"/>
  <c r="P276" i="34"/>
  <c r="Q276" i="34"/>
  <c r="R276" i="34"/>
  <c r="S276" i="34"/>
  <c r="T276" i="34"/>
  <c r="U276" i="34"/>
  <c r="V276" i="34"/>
  <c r="W276" i="34"/>
  <c r="X276" i="34"/>
  <c r="Y276" i="34"/>
  <c r="Z276" i="34"/>
  <c r="AA276" i="34"/>
  <c r="AB276" i="34"/>
  <c r="AD276" i="34"/>
  <c r="AE276" i="34"/>
  <c r="AF276" i="34"/>
  <c r="AG276" i="34"/>
  <c r="P277" i="34"/>
  <c r="Q277" i="34"/>
  <c r="R277" i="34"/>
  <c r="S277" i="34"/>
  <c r="T277" i="34"/>
  <c r="U277" i="34"/>
  <c r="V277" i="34"/>
  <c r="W277" i="34"/>
  <c r="X277" i="34"/>
  <c r="Y277" i="34"/>
  <c r="Z277" i="34"/>
  <c r="AA277" i="34"/>
  <c r="AB277" i="34"/>
  <c r="AD277" i="34"/>
  <c r="AE277" i="34"/>
  <c r="AF277" i="34"/>
  <c r="AG277" i="34"/>
  <c r="P278" i="34"/>
  <c r="Q278" i="34"/>
  <c r="R278" i="34"/>
  <c r="S278" i="34"/>
  <c r="T278" i="34"/>
  <c r="U278" i="34"/>
  <c r="V278" i="34"/>
  <c r="W278" i="34"/>
  <c r="X278" i="34"/>
  <c r="Y278" i="34"/>
  <c r="Z278" i="34"/>
  <c r="AA278" i="34"/>
  <c r="AB278" i="34"/>
  <c r="AD278" i="34"/>
  <c r="AE278" i="34"/>
  <c r="AF278" i="34"/>
  <c r="AG278" i="34"/>
  <c r="P279" i="34"/>
  <c r="Q279" i="34"/>
  <c r="R279" i="34"/>
  <c r="S279" i="34"/>
  <c r="T279" i="34"/>
  <c r="U279" i="34"/>
  <c r="V279" i="34"/>
  <c r="W279" i="34"/>
  <c r="X279" i="34"/>
  <c r="Y279" i="34"/>
  <c r="Z279" i="34"/>
  <c r="AA279" i="34"/>
  <c r="AB279" i="34"/>
  <c r="AD279" i="34"/>
  <c r="AE279" i="34"/>
  <c r="AF279" i="34"/>
  <c r="AG279" i="34"/>
  <c r="P280" i="34"/>
  <c r="Q280" i="34"/>
  <c r="R280" i="34"/>
  <c r="S280" i="34"/>
  <c r="T280" i="34"/>
  <c r="U280" i="34"/>
  <c r="V280" i="34"/>
  <c r="W280" i="34"/>
  <c r="X280" i="34"/>
  <c r="Y280" i="34"/>
  <c r="Z280" i="34"/>
  <c r="AA280" i="34"/>
  <c r="AB280" i="34"/>
  <c r="AD280" i="34"/>
  <c r="AE280" i="34"/>
  <c r="AF280" i="34"/>
  <c r="AG280" i="34"/>
  <c r="P281" i="34"/>
  <c r="Q281" i="34"/>
  <c r="R281" i="34"/>
  <c r="S281" i="34"/>
  <c r="T281" i="34"/>
  <c r="U281" i="34"/>
  <c r="V281" i="34"/>
  <c r="W281" i="34"/>
  <c r="X281" i="34"/>
  <c r="Y281" i="34"/>
  <c r="Z281" i="34"/>
  <c r="AA281" i="34"/>
  <c r="AB281" i="34"/>
  <c r="AD281" i="34"/>
  <c r="AE281" i="34"/>
  <c r="AF281" i="34"/>
  <c r="AG281" i="34"/>
  <c r="P282" i="34"/>
  <c r="Q282" i="34"/>
  <c r="R282" i="34"/>
  <c r="S282" i="34"/>
  <c r="T282" i="34"/>
  <c r="U282" i="34"/>
  <c r="V282" i="34"/>
  <c r="W282" i="34"/>
  <c r="X282" i="34"/>
  <c r="Y282" i="34"/>
  <c r="Z282" i="34"/>
  <c r="AA282" i="34"/>
  <c r="AB282" i="34"/>
  <c r="AD282" i="34"/>
  <c r="AE282" i="34"/>
  <c r="AF282" i="34"/>
  <c r="AG282" i="34"/>
  <c r="P283" i="34"/>
  <c r="Q283" i="34"/>
  <c r="R283" i="34"/>
  <c r="S283" i="34"/>
  <c r="T283" i="34"/>
  <c r="U283" i="34"/>
  <c r="V283" i="34"/>
  <c r="W283" i="34"/>
  <c r="X283" i="34"/>
  <c r="Y283" i="34"/>
  <c r="Z283" i="34"/>
  <c r="AA283" i="34"/>
  <c r="AB283" i="34"/>
  <c r="AD283" i="34"/>
  <c r="AE283" i="34"/>
  <c r="AF283" i="34"/>
  <c r="AG283" i="34"/>
  <c r="P284" i="34"/>
  <c r="Q284" i="34"/>
  <c r="R284" i="34"/>
  <c r="S284" i="34"/>
  <c r="T284" i="34"/>
  <c r="U284" i="34"/>
  <c r="V284" i="34"/>
  <c r="W284" i="34"/>
  <c r="X284" i="34"/>
  <c r="Y284" i="34"/>
  <c r="Z284" i="34"/>
  <c r="AA284" i="34"/>
  <c r="AB284" i="34"/>
  <c r="AD284" i="34"/>
  <c r="AE284" i="34"/>
  <c r="AF284" i="34"/>
  <c r="AG284" i="34"/>
  <c r="P285" i="34"/>
  <c r="Q285" i="34"/>
  <c r="R285" i="34"/>
  <c r="S285" i="34"/>
  <c r="T285" i="34"/>
  <c r="U285" i="34"/>
  <c r="V285" i="34"/>
  <c r="W285" i="34"/>
  <c r="X285" i="34"/>
  <c r="Y285" i="34"/>
  <c r="Z285" i="34"/>
  <c r="AA285" i="34"/>
  <c r="AB285" i="34"/>
  <c r="AD285" i="34"/>
  <c r="AE285" i="34"/>
  <c r="AF285" i="34"/>
  <c r="AG285" i="34"/>
  <c r="P286" i="34"/>
  <c r="Q286" i="34"/>
  <c r="R286" i="34"/>
  <c r="S286" i="34"/>
  <c r="T286" i="34"/>
  <c r="U286" i="34"/>
  <c r="V286" i="34"/>
  <c r="W286" i="34"/>
  <c r="X286" i="34"/>
  <c r="Y286" i="34"/>
  <c r="Z286" i="34"/>
  <c r="AA286" i="34"/>
  <c r="AB286" i="34"/>
  <c r="AD286" i="34"/>
  <c r="AE286" i="34"/>
  <c r="AF286" i="34"/>
  <c r="AG286" i="34"/>
  <c r="P287" i="34"/>
  <c r="Q287" i="34"/>
  <c r="R287" i="34"/>
  <c r="S287" i="34"/>
  <c r="T287" i="34"/>
  <c r="U287" i="34"/>
  <c r="V287" i="34"/>
  <c r="W287" i="34"/>
  <c r="X287" i="34"/>
  <c r="Y287" i="34"/>
  <c r="Z287" i="34"/>
  <c r="AA287" i="34"/>
  <c r="AB287" i="34"/>
  <c r="AD287" i="34"/>
  <c r="AE287" i="34"/>
  <c r="AF287" i="34"/>
  <c r="AG287" i="34"/>
  <c r="P288" i="34"/>
  <c r="Q288" i="34"/>
  <c r="R288" i="34"/>
  <c r="S288" i="34"/>
  <c r="T288" i="34"/>
  <c r="U288" i="34"/>
  <c r="V288" i="34"/>
  <c r="W288" i="34"/>
  <c r="X288" i="34"/>
  <c r="Y288" i="34"/>
  <c r="Z288" i="34"/>
  <c r="AA288" i="34"/>
  <c r="AB288" i="34"/>
  <c r="AD288" i="34"/>
  <c r="AE288" i="34"/>
  <c r="AF288" i="34"/>
  <c r="AG288" i="34"/>
  <c r="P289" i="34"/>
  <c r="Q289" i="34"/>
  <c r="R289" i="34"/>
  <c r="S289" i="34"/>
  <c r="T289" i="34"/>
  <c r="U289" i="34"/>
  <c r="V289" i="34"/>
  <c r="W289" i="34"/>
  <c r="X289" i="34"/>
  <c r="Y289" i="34"/>
  <c r="Z289" i="34"/>
  <c r="AA289" i="34"/>
  <c r="AB289" i="34"/>
  <c r="AD289" i="34"/>
  <c r="AE289" i="34"/>
  <c r="AF289" i="34"/>
  <c r="AG289" i="34"/>
  <c r="P290" i="34"/>
  <c r="Q290" i="34"/>
  <c r="R290" i="34"/>
  <c r="S290" i="34"/>
  <c r="T290" i="34"/>
  <c r="U290" i="34"/>
  <c r="V290" i="34"/>
  <c r="W290" i="34"/>
  <c r="X290" i="34"/>
  <c r="Y290" i="34"/>
  <c r="Z290" i="34"/>
  <c r="AA290" i="34"/>
  <c r="AB290" i="34"/>
  <c r="AD290" i="34"/>
  <c r="AE290" i="34"/>
  <c r="AF290" i="34"/>
  <c r="AG290" i="34"/>
  <c r="P291" i="34"/>
  <c r="Q291" i="34"/>
  <c r="R291" i="34"/>
  <c r="S291" i="34"/>
  <c r="T291" i="34"/>
  <c r="U291" i="34"/>
  <c r="V291" i="34"/>
  <c r="W291" i="34"/>
  <c r="X291" i="34"/>
  <c r="Y291" i="34"/>
  <c r="Z291" i="34"/>
  <c r="AA291" i="34"/>
  <c r="AB291" i="34"/>
  <c r="AD291" i="34"/>
  <c r="AE291" i="34"/>
  <c r="AF291" i="34"/>
  <c r="AG291" i="34"/>
  <c r="P292" i="34"/>
  <c r="Q292" i="34"/>
  <c r="R292" i="34"/>
  <c r="S292" i="34"/>
  <c r="T292" i="34"/>
  <c r="U292" i="34"/>
  <c r="V292" i="34"/>
  <c r="W292" i="34"/>
  <c r="X292" i="34"/>
  <c r="Y292" i="34"/>
  <c r="Z292" i="34"/>
  <c r="AA292" i="34"/>
  <c r="AB292" i="34"/>
  <c r="AD292" i="34"/>
  <c r="AE292" i="34"/>
  <c r="AF292" i="34"/>
  <c r="AG292" i="34"/>
  <c r="P293" i="34"/>
  <c r="Q293" i="34"/>
  <c r="R293" i="34"/>
  <c r="S293" i="34"/>
  <c r="T293" i="34"/>
  <c r="U293" i="34"/>
  <c r="V293" i="34"/>
  <c r="W293" i="34"/>
  <c r="X293" i="34"/>
  <c r="Y293" i="34"/>
  <c r="Z293" i="34"/>
  <c r="AA293" i="34"/>
  <c r="AB293" i="34"/>
  <c r="AD293" i="34"/>
  <c r="AE293" i="34"/>
  <c r="AF293" i="34"/>
  <c r="AG293" i="34"/>
  <c r="P294" i="34"/>
  <c r="Q294" i="34"/>
  <c r="R294" i="34"/>
  <c r="S294" i="34"/>
  <c r="T294" i="34"/>
  <c r="U294" i="34"/>
  <c r="V294" i="34"/>
  <c r="W294" i="34"/>
  <c r="X294" i="34"/>
  <c r="Y294" i="34"/>
  <c r="Z294" i="34"/>
  <c r="AA294" i="34"/>
  <c r="AB294" i="34"/>
  <c r="AD294" i="34"/>
  <c r="AE294" i="34"/>
  <c r="AF294" i="34"/>
  <c r="AG294" i="34"/>
  <c r="P295" i="34"/>
  <c r="Q295" i="34"/>
  <c r="R295" i="34"/>
  <c r="S295" i="34"/>
  <c r="T295" i="34"/>
  <c r="U295" i="34"/>
  <c r="V295" i="34"/>
  <c r="W295" i="34"/>
  <c r="X295" i="34"/>
  <c r="Y295" i="34"/>
  <c r="Z295" i="34"/>
  <c r="AA295" i="34"/>
  <c r="AB295" i="34"/>
  <c r="AD295" i="34"/>
  <c r="AE295" i="34"/>
  <c r="AF295" i="34"/>
  <c r="AG295" i="34"/>
  <c r="P296" i="34"/>
  <c r="Q296" i="34"/>
  <c r="R296" i="34"/>
  <c r="S296" i="34"/>
  <c r="T296" i="34"/>
  <c r="U296" i="34"/>
  <c r="V296" i="34"/>
  <c r="W296" i="34"/>
  <c r="X296" i="34"/>
  <c r="Y296" i="34"/>
  <c r="Z296" i="34"/>
  <c r="AA296" i="34"/>
  <c r="AB296" i="34"/>
  <c r="AD296" i="34"/>
  <c r="AE296" i="34"/>
  <c r="AF296" i="34"/>
  <c r="AG296" i="34"/>
  <c r="P297" i="34"/>
  <c r="Q297" i="34"/>
  <c r="R297" i="34"/>
  <c r="S297" i="34"/>
  <c r="T297" i="34"/>
  <c r="U297" i="34"/>
  <c r="V297" i="34"/>
  <c r="W297" i="34"/>
  <c r="X297" i="34"/>
  <c r="Y297" i="34"/>
  <c r="Z297" i="34"/>
  <c r="AA297" i="34"/>
  <c r="AB297" i="34"/>
  <c r="AD297" i="34"/>
  <c r="AE297" i="34"/>
  <c r="AF297" i="34"/>
  <c r="AG297" i="34"/>
  <c r="P298" i="34"/>
  <c r="Q298" i="34"/>
  <c r="R298" i="34"/>
  <c r="S298" i="34"/>
  <c r="T298" i="34"/>
  <c r="U298" i="34"/>
  <c r="V298" i="34"/>
  <c r="W298" i="34"/>
  <c r="X298" i="34"/>
  <c r="Y298" i="34"/>
  <c r="Z298" i="34"/>
  <c r="AA298" i="34"/>
  <c r="AB298" i="34"/>
  <c r="AD298" i="34"/>
  <c r="AE298" i="34"/>
  <c r="AF298" i="34"/>
  <c r="AG298" i="34"/>
  <c r="P299" i="34"/>
  <c r="Q299" i="34"/>
  <c r="R299" i="34"/>
  <c r="S299" i="34"/>
  <c r="T299" i="34"/>
  <c r="U299" i="34"/>
  <c r="V299" i="34"/>
  <c r="W299" i="34"/>
  <c r="X299" i="34"/>
  <c r="Y299" i="34"/>
  <c r="Z299" i="34"/>
  <c r="AA299" i="34"/>
  <c r="AB299" i="34"/>
  <c r="AD299" i="34"/>
  <c r="AE299" i="34"/>
  <c r="AF299" i="34"/>
  <c r="AG299" i="34"/>
  <c r="P300" i="34"/>
  <c r="Q300" i="34"/>
  <c r="R300" i="34"/>
  <c r="S300" i="34"/>
  <c r="T300" i="34"/>
  <c r="U300" i="34"/>
  <c r="V300" i="34"/>
  <c r="W300" i="34"/>
  <c r="X300" i="34"/>
  <c r="Y300" i="34"/>
  <c r="Z300" i="34"/>
  <c r="AA300" i="34"/>
  <c r="AB300" i="34"/>
  <c r="AD300" i="34"/>
  <c r="AE300" i="34"/>
  <c r="AF300" i="34"/>
  <c r="AG300" i="34"/>
  <c r="P301" i="34"/>
  <c r="Q301" i="34"/>
  <c r="R301" i="34"/>
  <c r="S301" i="34"/>
  <c r="T301" i="34"/>
  <c r="U301" i="34"/>
  <c r="V301" i="34"/>
  <c r="W301" i="34"/>
  <c r="X301" i="34"/>
  <c r="Y301" i="34"/>
  <c r="Z301" i="34"/>
  <c r="AA301" i="34"/>
  <c r="AB301" i="34"/>
  <c r="AD301" i="34"/>
  <c r="AE301" i="34"/>
  <c r="AF301" i="34"/>
  <c r="AG301" i="34"/>
  <c r="P302" i="34"/>
  <c r="Q302" i="34"/>
  <c r="R302" i="34"/>
  <c r="S302" i="34"/>
  <c r="T302" i="34"/>
  <c r="U302" i="34"/>
  <c r="V302" i="34"/>
  <c r="W302" i="34"/>
  <c r="X302" i="34"/>
  <c r="Y302" i="34"/>
  <c r="Z302" i="34"/>
  <c r="AA302" i="34"/>
  <c r="AB302" i="34"/>
  <c r="AD302" i="34"/>
  <c r="AE302" i="34"/>
  <c r="AF302" i="34"/>
  <c r="AG302" i="34"/>
  <c r="P303" i="34"/>
  <c r="Q303" i="34"/>
  <c r="R303" i="34"/>
  <c r="S303" i="34"/>
  <c r="T303" i="34"/>
  <c r="U303" i="34"/>
  <c r="V303" i="34"/>
  <c r="W303" i="34"/>
  <c r="X303" i="34"/>
  <c r="Y303" i="34"/>
  <c r="Z303" i="34"/>
  <c r="AA303" i="34"/>
  <c r="AB303" i="34"/>
  <c r="AD303" i="34"/>
  <c r="AE303" i="34"/>
  <c r="AF303" i="34"/>
  <c r="AG303" i="34"/>
  <c r="P304" i="34"/>
  <c r="Q304" i="34"/>
  <c r="R304" i="34"/>
  <c r="S304" i="34"/>
  <c r="T304" i="34"/>
  <c r="U304" i="34"/>
  <c r="V304" i="34"/>
  <c r="W304" i="34"/>
  <c r="X304" i="34"/>
  <c r="Y304" i="34"/>
  <c r="Z304" i="34"/>
  <c r="AA304" i="34"/>
  <c r="AB304" i="34"/>
  <c r="AD304" i="34"/>
  <c r="AE304" i="34"/>
  <c r="AF304" i="34"/>
  <c r="AG304" i="34"/>
  <c r="P305" i="34"/>
  <c r="Q305" i="34"/>
  <c r="R305" i="34"/>
  <c r="S305" i="34"/>
  <c r="T305" i="34"/>
  <c r="U305" i="34"/>
  <c r="V305" i="34"/>
  <c r="W305" i="34"/>
  <c r="X305" i="34"/>
  <c r="Y305" i="34"/>
  <c r="Z305" i="34"/>
  <c r="AA305" i="34"/>
  <c r="AB305" i="34"/>
  <c r="AD305" i="34"/>
  <c r="AE305" i="34"/>
  <c r="AF305" i="34"/>
  <c r="AG305" i="34"/>
  <c r="P306" i="34"/>
  <c r="Q306" i="34"/>
  <c r="R306" i="34"/>
  <c r="S306" i="34"/>
  <c r="T306" i="34"/>
  <c r="U306" i="34"/>
  <c r="V306" i="34"/>
  <c r="W306" i="34"/>
  <c r="X306" i="34"/>
  <c r="Y306" i="34"/>
  <c r="Z306" i="34"/>
  <c r="AA306" i="34"/>
  <c r="AB306" i="34"/>
  <c r="AD306" i="34"/>
  <c r="AE306" i="34"/>
  <c r="AF306" i="34"/>
  <c r="AG306" i="34"/>
  <c r="P307" i="34"/>
  <c r="Q307" i="34"/>
  <c r="R307" i="34"/>
  <c r="S307" i="34"/>
  <c r="T307" i="34"/>
  <c r="U307" i="34"/>
  <c r="V307" i="34"/>
  <c r="W307" i="34"/>
  <c r="X307" i="34"/>
  <c r="Y307" i="34"/>
  <c r="Z307" i="34"/>
  <c r="AA307" i="34"/>
  <c r="AB307" i="34"/>
  <c r="AD307" i="34"/>
  <c r="AE307" i="34"/>
  <c r="AF307" i="34"/>
  <c r="AG307" i="34"/>
  <c r="P308" i="34"/>
  <c r="Q308" i="34"/>
  <c r="R308" i="34"/>
  <c r="S308" i="34"/>
  <c r="T308" i="34"/>
  <c r="U308" i="34"/>
  <c r="V308" i="34"/>
  <c r="W308" i="34"/>
  <c r="X308" i="34"/>
  <c r="Y308" i="34"/>
  <c r="Z308" i="34"/>
  <c r="AA308" i="34"/>
  <c r="AB308" i="34"/>
  <c r="AD308" i="34"/>
  <c r="AE308" i="34"/>
  <c r="AF308" i="34"/>
  <c r="AG308" i="34"/>
  <c r="P309" i="34"/>
  <c r="Q309" i="34"/>
  <c r="R309" i="34"/>
  <c r="S309" i="34"/>
  <c r="T309" i="34"/>
  <c r="U309" i="34"/>
  <c r="V309" i="34"/>
  <c r="W309" i="34"/>
  <c r="X309" i="34"/>
  <c r="Y309" i="34"/>
  <c r="Z309" i="34"/>
  <c r="AA309" i="34"/>
  <c r="AB309" i="34"/>
  <c r="AD309" i="34"/>
  <c r="AE309" i="34"/>
  <c r="AF309" i="34"/>
  <c r="AG309" i="34"/>
  <c r="P310" i="34"/>
  <c r="Q310" i="34"/>
  <c r="R310" i="34"/>
  <c r="S310" i="34"/>
  <c r="T310" i="34"/>
  <c r="U310" i="34"/>
  <c r="V310" i="34"/>
  <c r="W310" i="34"/>
  <c r="X310" i="34"/>
  <c r="Y310" i="34"/>
  <c r="Z310" i="34"/>
  <c r="AA310" i="34"/>
  <c r="AB310" i="34"/>
  <c r="AD310" i="34"/>
  <c r="AE310" i="34"/>
  <c r="AF310" i="34"/>
  <c r="AG310" i="34"/>
  <c r="P311" i="34"/>
  <c r="Q311" i="34"/>
  <c r="R311" i="34"/>
  <c r="S311" i="34"/>
  <c r="T311" i="34"/>
  <c r="U311" i="34"/>
  <c r="V311" i="34"/>
  <c r="W311" i="34"/>
  <c r="X311" i="34"/>
  <c r="Y311" i="34"/>
  <c r="Z311" i="34"/>
  <c r="AA311" i="34"/>
  <c r="AB311" i="34"/>
  <c r="AD311" i="34"/>
  <c r="AE311" i="34"/>
  <c r="AF311" i="34"/>
  <c r="AG311" i="34"/>
  <c r="P312" i="34"/>
  <c r="Q312" i="34"/>
  <c r="R312" i="34"/>
  <c r="S312" i="34"/>
  <c r="T312" i="34"/>
  <c r="U312" i="34"/>
  <c r="V312" i="34"/>
  <c r="W312" i="34"/>
  <c r="X312" i="34"/>
  <c r="Y312" i="34"/>
  <c r="Z312" i="34"/>
  <c r="AA312" i="34"/>
  <c r="AB312" i="34"/>
  <c r="AD312" i="34"/>
  <c r="AE312" i="34"/>
  <c r="AF312" i="34"/>
  <c r="AG312" i="34"/>
  <c r="P313" i="34"/>
  <c r="Q313" i="34"/>
  <c r="R313" i="34"/>
  <c r="S313" i="34"/>
  <c r="T313" i="34"/>
  <c r="U313" i="34"/>
  <c r="V313" i="34"/>
  <c r="W313" i="34"/>
  <c r="X313" i="34"/>
  <c r="Y313" i="34"/>
  <c r="Z313" i="34"/>
  <c r="AA313" i="34"/>
  <c r="AB313" i="34"/>
  <c r="AD313" i="34"/>
  <c r="AE313" i="34"/>
  <c r="AF313" i="34"/>
  <c r="AG313" i="34"/>
  <c r="P314" i="34"/>
  <c r="Q314" i="34"/>
  <c r="R314" i="34"/>
  <c r="S314" i="34"/>
  <c r="T314" i="34"/>
  <c r="U314" i="34"/>
  <c r="V314" i="34"/>
  <c r="W314" i="34"/>
  <c r="X314" i="34"/>
  <c r="Y314" i="34"/>
  <c r="Z314" i="34"/>
  <c r="AA314" i="34"/>
  <c r="AB314" i="34"/>
  <c r="AD314" i="34"/>
  <c r="AE314" i="34"/>
  <c r="AF314" i="34"/>
  <c r="AG314" i="34"/>
  <c r="P315" i="34"/>
  <c r="Q315" i="34"/>
  <c r="R315" i="34"/>
  <c r="S315" i="34"/>
  <c r="T315" i="34"/>
  <c r="U315" i="34"/>
  <c r="V315" i="34"/>
  <c r="W315" i="34"/>
  <c r="X315" i="34"/>
  <c r="Y315" i="34"/>
  <c r="Z315" i="34"/>
  <c r="AA315" i="34"/>
  <c r="AB315" i="34"/>
  <c r="AD315" i="34"/>
  <c r="AE315" i="34"/>
  <c r="AF315" i="34"/>
  <c r="AG315" i="34"/>
  <c r="P316" i="34"/>
  <c r="Q316" i="34"/>
  <c r="R316" i="34"/>
  <c r="S316" i="34"/>
  <c r="T316" i="34"/>
  <c r="U316" i="34"/>
  <c r="V316" i="34"/>
  <c r="W316" i="34"/>
  <c r="X316" i="34"/>
  <c r="Y316" i="34"/>
  <c r="Z316" i="34"/>
  <c r="AA316" i="34"/>
  <c r="AB316" i="34"/>
  <c r="AD316" i="34"/>
  <c r="AE316" i="34"/>
  <c r="AF316" i="34"/>
  <c r="AG316" i="34"/>
  <c r="P317" i="34"/>
  <c r="Q317" i="34"/>
  <c r="R317" i="34"/>
  <c r="S317" i="34"/>
  <c r="T317" i="34"/>
  <c r="U317" i="34"/>
  <c r="V317" i="34"/>
  <c r="W317" i="34"/>
  <c r="X317" i="34"/>
  <c r="Y317" i="34"/>
  <c r="Z317" i="34"/>
  <c r="AA317" i="34"/>
  <c r="AB317" i="34"/>
  <c r="AD317" i="34"/>
  <c r="AE317" i="34"/>
  <c r="AF317" i="34"/>
  <c r="AG317" i="34"/>
  <c r="P318" i="34"/>
  <c r="Q318" i="34"/>
  <c r="R318" i="34"/>
  <c r="S318" i="34"/>
  <c r="T318" i="34"/>
  <c r="U318" i="34"/>
  <c r="V318" i="34"/>
  <c r="W318" i="34"/>
  <c r="X318" i="34"/>
  <c r="Y318" i="34"/>
  <c r="Z318" i="34"/>
  <c r="AA318" i="34"/>
  <c r="AB318" i="34"/>
  <c r="AD318" i="34"/>
  <c r="AE318" i="34"/>
  <c r="AF318" i="34"/>
  <c r="AG318" i="34"/>
  <c r="P319" i="34"/>
  <c r="Q319" i="34"/>
  <c r="R319" i="34"/>
  <c r="S319" i="34"/>
  <c r="T319" i="34"/>
  <c r="U319" i="34"/>
  <c r="V319" i="34"/>
  <c r="W319" i="34"/>
  <c r="X319" i="34"/>
  <c r="Y319" i="34"/>
  <c r="Z319" i="34"/>
  <c r="AA319" i="34"/>
  <c r="AB319" i="34"/>
  <c r="AD319" i="34"/>
  <c r="AE319" i="34"/>
  <c r="AF319" i="34"/>
  <c r="AG319" i="34"/>
  <c r="P320" i="34"/>
  <c r="Q320" i="34"/>
  <c r="R320" i="34"/>
  <c r="S320" i="34"/>
  <c r="T320" i="34"/>
  <c r="U320" i="34"/>
  <c r="V320" i="34"/>
  <c r="W320" i="34"/>
  <c r="X320" i="34"/>
  <c r="Y320" i="34"/>
  <c r="Z320" i="34"/>
  <c r="AA320" i="34"/>
  <c r="AB320" i="34"/>
  <c r="AD320" i="34"/>
  <c r="AE320" i="34"/>
  <c r="AF320" i="34"/>
  <c r="AG320" i="34"/>
  <c r="P321" i="34"/>
  <c r="Q321" i="34"/>
  <c r="R321" i="34"/>
  <c r="S321" i="34"/>
  <c r="T321" i="34"/>
  <c r="U321" i="34"/>
  <c r="V321" i="34"/>
  <c r="W321" i="34"/>
  <c r="X321" i="34"/>
  <c r="Y321" i="34"/>
  <c r="Z321" i="34"/>
  <c r="AA321" i="34"/>
  <c r="AB321" i="34"/>
  <c r="AD321" i="34"/>
  <c r="AE321" i="34"/>
  <c r="AF321" i="34"/>
  <c r="AG321" i="34"/>
  <c r="P322" i="34"/>
  <c r="Q322" i="34"/>
  <c r="R322" i="34"/>
  <c r="S322" i="34"/>
  <c r="T322" i="34"/>
  <c r="U322" i="34"/>
  <c r="V322" i="34"/>
  <c r="W322" i="34"/>
  <c r="X322" i="34"/>
  <c r="Y322" i="34"/>
  <c r="Z322" i="34"/>
  <c r="AA322" i="34"/>
  <c r="AB322" i="34"/>
  <c r="AD322" i="34"/>
  <c r="AE322" i="34"/>
  <c r="AF322" i="34"/>
  <c r="AG322" i="34"/>
  <c r="P323" i="34"/>
  <c r="Q323" i="34"/>
  <c r="R323" i="34"/>
  <c r="S323" i="34"/>
  <c r="T323" i="34"/>
  <c r="U323" i="34"/>
  <c r="V323" i="34"/>
  <c r="W323" i="34"/>
  <c r="X323" i="34"/>
  <c r="Y323" i="34"/>
  <c r="Z323" i="34"/>
  <c r="AA323" i="34"/>
  <c r="AB323" i="34"/>
  <c r="AD323" i="34"/>
  <c r="AE323" i="34"/>
  <c r="AF323" i="34"/>
  <c r="AG323" i="34"/>
  <c r="P324" i="34"/>
  <c r="Q324" i="34"/>
  <c r="R324" i="34"/>
  <c r="S324" i="34"/>
  <c r="T324" i="34"/>
  <c r="U324" i="34"/>
  <c r="V324" i="34"/>
  <c r="W324" i="34"/>
  <c r="X324" i="34"/>
  <c r="Y324" i="34"/>
  <c r="Z324" i="34"/>
  <c r="AA324" i="34"/>
  <c r="AB324" i="34"/>
  <c r="AD324" i="34"/>
  <c r="AE324" i="34"/>
  <c r="AF324" i="34"/>
  <c r="AG324" i="34"/>
  <c r="P325" i="34"/>
  <c r="Q325" i="34"/>
  <c r="R325" i="34"/>
  <c r="S325" i="34"/>
  <c r="T325" i="34"/>
  <c r="U325" i="34"/>
  <c r="V325" i="34"/>
  <c r="W325" i="34"/>
  <c r="X325" i="34"/>
  <c r="Y325" i="34"/>
  <c r="Z325" i="34"/>
  <c r="AA325" i="34"/>
  <c r="AB325" i="34"/>
  <c r="AD325" i="34"/>
  <c r="AE325" i="34"/>
  <c r="AF325" i="34"/>
  <c r="AG325" i="34"/>
  <c r="P326" i="34"/>
  <c r="Q326" i="34"/>
  <c r="R326" i="34"/>
  <c r="S326" i="34"/>
  <c r="T326" i="34"/>
  <c r="U326" i="34"/>
  <c r="V326" i="34"/>
  <c r="W326" i="34"/>
  <c r="X326" i="34"/>
  <c r="Y326" i="34"/>
  <c r="Z326" i="34"/>
  <c r="AA326" i="34"/>
  <c r="AB326" i="34"/>
  <c r="AD326" i="34"/>
  <c r="AE326" i="34"/>
  <c r="AF326" i="34"/>
  <c r="AG326" i="34"/>
  <c r="P327" i="34"/>
  <c r="Q327" i="34"/>
  <c r="R327" i="34"/>
  <c r="S327" i="34"/>
  <c r="T327" i="34"/>
  <c r="U327" i="34"/>
  <c r="V327" i="34"/>
  <c r="W327" i="34"/>
  <c r="X327" i="34"/>
  <c r="Y327" i="34"/>
  <c r="Z327" i="34"/>
  <c r="AA327" i="34"/>
  <c r="AB327" i="34"/>
  <c r="AD327" i="34"/>
  <c r="AE327" i="34"/>
  <c r="AF327" i="34"/>
  <c r="AG327" i="34"/>
  <c r="P328" i="34"/>
  <c r="Q328" i="34"/>
  <c r="R328" i="34"/>
  <c r="S328" i="34"/>
  <c r="T328" i="34"/>
  <c r="U328" i="34"/>
  <c r="V328" i="34"/>
  <c r="W328" i="34"/>
  <c r="X328" i="34"/>
  <c r="Y328" i="34"/>
  <c r="Z328" i="34"/>
  <c r="AA328" i="34"/>
  <c r="AB328" i="34"/>
  <c r="AD328" i="34"/>
  <c r="AE328" i="34"/>
  <c r="AF328" i="34"/>
  <c r="AG328" i="34"/>
  <c r="P329" i="34"/>
  <c r="Q329" i="34"/>
  <c r="R329" i="34"/>
  <c r="S329" i="34"/>
  <c r="T329" i="34"/>
  <c r="U329" i="34"/>
  <c r="V329" i="34"/>
  <c r="W329" i="34"/>
  <c r="X329" i="34"/>
  <c r="Y329" i="34"/>
  <c r="Z329" i="34"/>
  <c r="AA329" i="34"/>
  <c r="AB329" i="34"/>
  <c r="AD329" i="34"/>
  <c r="AE329" i="34"/>
  <c r="AF329" i="34"/>
  <c r="AG329" i="34"/>
  <c r="P330" i="34"/>
  <c r="Q330" i="34"/>
  <c r="R330" i="34"/>
  <c r="S330" i="34"/>
  <c r="T330" i="34"/>
  <c r="U330" i="34"/>
  <c r="V330" i="34"/>
  <c r="W330" i="34"/>
  <c r="X330" i="34"/>
  <c r="Y330" i="34"/>
  <c r="Z330" i="34"/>
  <c r="AA330" i="34"/>
  <c r="AB330" i="34"/>
  <c r="AD330" i="34"/>
  <c r="AE330" i="34"/>
  <c r="AF330" i="34"/>
  <c r="AG330" i="34"/>
  <c r="P331" i="34"/>
  <c r="Q331" i="34"/>
  <c r="R331" i="34"/>
  <c r="S331" i="34"/>
  <c r="T331" i="34"/>
  <c r="U331" i="34"/>
  <c r="V331" i="34"/>
  <c r="W331" i="34"/>
  <c r="X331" i="34"/>
  <c r="Y331" i="34"/>
  <c r="Z331" i="34"/>
  <c r="AA331" i="34"/>
  <c r="AB331" i="34"/>
  <c r="AD331" i="34"/>
  <c r="AE331" i="34"/>
  <c r="AF331" i="34"/>
  <c r="AG331" i="34"/>
  <c r="P332" i="34"/>
  <c r="Q332" i="34"/>
  <c r="R332" i="34"/>
  <c r="S332" i="34"/>
  <c r="T332" i="34"/>
  <c r="U332" i="34"/>
  <c r="V332" i="34"/>
  <c r="W332" i="34"/>
  <c r="X332" i="34"/>
  <c r="Y332" i="34"/>
  <c r="Z332" i="34"/>
  <c r="AA332" i="34"/>
  <c r="AB332" i="34"/>
  <c r="AD332" i="34"/>
  <c r="AE332" i="34"/>
  <c r="AF332" i="34"/>
  <c r="AG332" i="34"/>
  <c r="P333" i="34"/>
  <c r="Q333" i="34"/>
  <c r="R333" i="34"/>
  <c r="S333" i="34"/>
  <c r="T333" i="34"/>
  <c r="U333" i="34"/>
  <c r="V333" i="34"/>
  <c r="W333" i="34"/>
  <c r="X333" i="34"/>
  <c r="Y333" i="34"/>
  <c r="Z333" i="34"/>
  <c r="AA333" i="34"/>
  <c r="AB333" i="34"/>
  <c r="AD333" i="34"/>
  <c r="AE333" i="34"/>
  <c r="AF333" i="34"/>
  <c r="AG333" i="34"/>
  <c r="P334" i="34"/>
  <c r="Q334" i="34"/>
  <c r="R334" i="34"/>
  <c r="S334" i="34"/>
  <c r="T334" i="34"/>
  <c r="U334" i="34"/>
  <c r="V334" i="34"/>
  <c r="W334" i="34"/>
  <c r="X334" i="34"/>
  <c r="Y334" i="34"/>
  <c r="Z334" i="34"/>
  <c r="AA334" i="34"/>
  <c r="AB334" i="34"/>
  <c r="AD334" i="34"/>
  <c r="AE334" i="34"/>
  <c r="AF334" i="34"/>
  <c r="AG334" i="34"/>
  <c r="P335" i="34"/>
  <c r="Q335" i="34"/>
  <c r="R335" i="34"/>
  <c r="S335" i="34"/>
  <c r="T335" i="34"/>
  <c r="U335" i="34"/>
  <c r="V335" i="34"/>
  <c r="W335" i="34"/>
  <c r="X335" i="34"/>
  <c r="Y335" i="34"/>
  <c r="Z335" i="34"/>
  <c r="AA335" i="34"/>
  <c r="AB335" i="34"/>
  <c r="AD335" i="34"/>
  <c r="AE335" i="34"/>
  <c r="AF335" i="34"/>
  <c r="AG335" i="34"/>
  <c r="P336" i="34"/>
  <c r="Q336" i="34"/>
  <c r="R336" i="34"/>
  <c r="S336" i="34"/>
  <c r="T336" i="34"/>
  <c r="U336" i="34"/>
  <c r="V336" i="34"/>
  <c r="W336" i="34"/>
  <c r="X336" i="34"/>
  <c r="Y336" i="34"/>
  <c r="Z336" i="34"/>
  <c r="AA336" i="34"/>
  <c r="AB336" i="34"/>
  <c r="AD336" i="34"/>
  <c r="AE336" i="34"/>
  <c r="AF336" i="34"/>
  <c r="AG336" i="34"/>
  <c r="P337" i="34"/>
  <c r="Q337" i="34"/>
  <c r="R337" i="34"/>
  <c r="S337" i="34"/>
  <c r="T337" i="34"/>
  <c r="U337" i="34"/>
  <c r="V337" i="34"/>
  <c r="W337" i="34"/>
  <c r="X337" i="34"/>
  <c r="Y337" i="34"/>
  <c r="Z337" i="34"/>
  <c r="AA337" i="34"/>
  <c r="AB337" i="34"/>
  <c r="AD337" i="34"/>
  <c r="AE337" i="34"/>
  <c r="AF337" i="34"/>
  <c r="AG337" i="34"/>
  <c r="P338" i="34"/>
  <c r="Q338" i="34"/>
  <c r="R338" i="34"/>
  <c r="S338" i="34"/>
  <c r="T338" i="34"/>
  <c r="U338" i="34"/>
  <c r="V338" i="34"/>
  <c r="W338" i="34"/>
  <c r="X338" i="34"/>
  <c r="Y338" i="34"/>
  <c r="Z338" i="34"/>
  <c r="AA338" i="34"/>
  <c r="AB338" i="34"/>
  <c r="AD338" i="34"/>
  <c r="AE338" i="34"/>
  <c r="AF338" i="34"/>
  <c r="AG338" i="34"/>
  <c r="P339" i="34"/>
  <c r="Q339" i="34"/>
  <c r="R339" i="34"/>
  <c r="S339" i="34"/>
  <c r="T339" i="34"/>
  <c r="U339" i="34"/>
  <c r="V339" i="34"/>
  <c r="W339" i="34"/>
  <c r="X339" i="34"/>
  <c r="Y339" i="34"/>
  <c r="Z339" i="34"/>
  <c r="AA339" i="34"/>
  <c r="AB339" i="34"/>
  <c r="AD339" i="34"/>
  <c r="AE339" i="34"/>
  <c r="AF339" i="34"/>
  <c r="AG339" i="34"/>
  <c r="P340" i="34"/>
  <c r="Q340" i="34"/>
  <c r="R340" i="34"/>
  <c r="S340" i="34"/>
  <c r="T340" i="34"/>
  <c r="U340" i="34"/>
  <c r="V340" i="34"/>
  <c r="W340" i="34"/>
  <c r="X340" i="34"/>
  <c r="Y340" i="34"/>
  <c r="Z340" i="34"/>
  <c r="AA340" i="34"/>
  <c r="AB340" i="34"/>
  <c r="AD340" i="34"/>
  <c r="AE340" i="34"/>
  <c r="AF340" i="34"/>
  <c r="AG340" i="34"/>
  <c r="P341" i="34"/>
  <c r="Q341" i="34"/>
  <c r="R341" i="34"/>
  <c r="S341" i="34"/>
  <c r="T341" i="34"/>
  <c r="U341" i="34"/>
  <c r="V341" i="34"/>
  <c r="W341" i="34"/>
  <c r="X341" i="34"/>
  <c r="Y341" i="34"/>
  <c r="Z341" i="34"/>
  <c r="AA341" i="34"/>
  <c r="AB341" i="34"/>
  <c r="AD341" i="34"/>
  <c r="AE341" i="34"/>
  <c r="AF341" i="34"/>
  <c r="AG341" i="34"/>
  <c r="P342" i="34"/>
  <c r="Q342" i="34"/>
  <c r="R342" i="34"/>
  <c r="S342" i="34"/>
  <c r="T342" i="34"/>
  <c r="U342" i="34"/>
  <c r="V342" i="34"/>
  <c r="W342" i="34"/>
  <c r="X342" i="34"/>
  <c r="Y342" i="34"/>
  <c r="Z342" i="34"/>
  <c r="AA342" i="34"/>
  <c r="AB342" i="34"/>
  <c r="AD342" i="34"/>
  <c r="AE342" i="34"/>
  <c r="AF342" i="34"/>
  <c r="AG342" i="34"/>
  <c r="P343" i="34"/>
  <c r="Q343" i="34"/>
  <c r="R343" i="34"/>
  <c r="S343" i="34"/>
  <c r="T343" i="34"/>
  <c r="U343" i="34"/>
  <c r="V343" i="34"/>
  <c r="W343" i="34"/>
  <c r="X343" i="34"/>
  <c r="Y343" i="34"/>
  <c r="Z343" i="34"/>
  <c r="AA343" i="34"/>
  <c r="AB343" i="34"/>
  <c r="AD343" i="34"/>
  <c r="AE343" i="34"/>
  <c r="AF343" i="34"/>
  <c r="AG343" i="34"/>
  <c r="P344" i="34"/>
  <c r="Q344" i="34"/>
  <c r="R344" i="34"/>
  <c r="S344" i="34"/>
  <c r="T344" i="34"/>
  <c r="U344" i="34"/>
  <c r="V344" i="34"/>
  <c r="W344" i="34"/>
  <c r="X344" i="34"/>
  <c r="Y344" i="34"/>
  <c r="Z344" i="34"/>
  <c r="AA344" i="34"/>
  <c r="AB344" i="34"/>
  <c r="AD344" i="34"/>
  <c r="AE344" i="34"/>
  <c r="AF344" i="34"/>
  <c r="AG344" i="34"/>
  <c r="P345" i="34"/>
  <c r="Q345" i="34"/>
  <c r="R345" i="34"/>
  <c r="S345" i="34"/>
  <c r="T345" i="34"/>
  <c r="U345" i="34"/>
  <c r="V345" i="34"/>
  <c r="W345" i="34"/>
  <c r="X345" i="34"/>
  <c r="Y345" i="34"/>
  <c r="Z345" i="34"/>
  <c r="AA345" i="34"/>
  <c r="AB345" i="34"/>
  <c r="AD345" i="34"/>
  <c r="AE345" i="34"/>
  <c r="AF345" i="34"/>
  <c r="AG345" i="34"/>
  <c r="P346" i="34"/>
  <c r="Q346" i="34"/>
  <c r="R346" i="34"/>
  <c r="S346" i="34"/>
  <c r="T346" i="34"/>
  <c r="U346" i="34"/>
  <c r="V346" i="34"/>
  <c r="W346" i="34"/>
  <c r="X346" i="34"/>
  <c r="Y346" i="34"/>
  <c r="Z346" i="34"/>
  <c r="AA346" i="34"/>
  <c r="AB346" i="34"/>
  <c r="AD346" i="34"/>
  <c r="AE346" i="34"/>
  <c r="AF346" i="34"/>
  <c r="AG346" i="34"/>
  <c r="P347" i="34"/>
  <c r="Q347" i="34"/>
  <c r="R347" i="34"/>
  <c r="S347" i="34"/>
  <c r="T347" i="34"/>
  <c r="U347" i="34"/>
  <c r="V347" i="34"/>
  <c r="W347" i="34"/>
  <c r="X347" i="34"/>
  <c r="Y347" i="34"/>
  <c r="Z347" i="34"/>
  <c r="AA347" i="34"/>
  <c r="AB347" i="34"/>
  <c r="AD347" i="34"/>
  <c r="AE347" i="34"/>
  <c r="AF347" i="34"/>
  <c r="AG347" i="34"/>
  <c r="P348" i="34"/>
  <c r="Q348" i="34"/>
  <c r="R348" i="34"/>
  <c r="S348" i="34"/>
  <c r="T348" i="34"/>
  <c r="U348" i="34"/>
  <c r="V348" i="34"/>
  <c r="W348" i="34"/>
  <c r="X348" i="34"/>
  <c r="Y348" i="34"/>
  <c r="Z348" i="34"/>
  <c r="AA348" i="34"/>
  <c r="AB348" i="34"/>
  <c r="AD348" i="34"/>
  <c r="AE348" i="34"/>
  <c r="AF348" i="34"/>
  <c r="AG348" i="34"/>
  <c r="P349" i="34"/>
  <c r="Q349" i="34"/>
  <c r="R349" i="34"/>
  <c r="S349" i="34"/>
  <c r="T349" i="34"/>
  <c r="U349" i="34"/>
  <c r="V349" i="34"/>
  <c r="W349" i="34"/>
  <c r="X349" i="34"/>
  <c r="Y349" i="34"/>
  <c r="Z349" i="34"/>
  <c r="AA349" i="34"/>
  <c r="AB349" i="34"/>
  <c r="AD349" i="34"/>
  <c r="AE349" i="34"/>
  <c r="AF349" i="34"/>
  <c r="AG349" i="34"/>
  <c r="P350" i="34"/>
  <c r="Q350" i="34"/>
  <c r="R350" i="34"/>
  <c r="S350" i="34"/>
  <c r="T350" i="34"/>
  <c r="U350" i="34"/>
  <c r="V350" i="34"/>
  <c r="W350" i="34"/>
  <c r="X350" i="34"/>
  <c r="Y350" i="34"/>
  <c r="Z350" i="34"/>
  <c r="AA350" i="34"/>
  <c r="AB350" i="34"/>
  <c r="AD350" i="34"/>
  <c r="AE350" i="34"/>
  <c r="AF350" i="34"/>
  <c r="AG350" i="34"/>
  <c r="P351" i="34"/>
  <c r="Q351" i="34"/>
  <c r="R351" i="34"/>
  <c r="S351" i="34"/>
  <c r="T351" i="34"/>
  <c r="U351" i="34"/>
  <c r="V351" i="34"/>
  <c r="W351" i="34"/>
  <c r="X351" i="34"/>
  <c r="Y351" i="34"/>
  <c r="Z351" i="34"/>
  <c r="AA351" i="34"/>
  <c r="AB351" i="34"/>
  <c r="AD351" i="34"/>
  <c r="AE351" i="34"/>
  <c r="AF351" i="34"/>
  <c r="AG351" i="34"/>
  <c r="P352" i="34"/>
  <c r="Q352" i="34"/>
  <c r="R352" i="34"/>
  <c r="S352" i="34"/>
  <c r="T352" i="34"/>
  <c r="U352" i="34"/>
  <c r="V352" i="34"/>
  <c r="W352" i="34"/>
  <c r="X352" i="34"/>
  <c r="Y352" i="34"/>
  <c r="Z352" i="34"/>
  <c r="AA352" i="34"/>
  <c r="AB352" i="34"/>
  <c r="AD352" i="34"/>
  <c r="AE352" i="34"/>
  <c r="AF352" i="34"/>
  <c r="AG352" i="34"/>
  <c r="P353" i="34"/>
  <c r="Q353" i="34"/>
  <c r="R353" i="34"/>
  <c r="S353" i="34"/>
  <c r="T353" i="34"/>
  <c r="U353" i="34"/>
  <c r="V353" i="34"/>
  <c r="W353" i="34"/>
  <c r="X353" i="34"/>
  <c r="Y353" i="34"/>
  <c r="Z353" i="34"/>
  <c r="AA353" i="34"/>
  <c r="AB353" i="34"/>
  <c r="AD353" i="34"/>
  <c r="AE353" i="34"/>
  <c r="AF353" i="34"/>
  <c r="AG353" i="34"/>
  <c r="P354" i="34"/>
  <c r="Q354" i="34"/>
  <c r="R354" i="34"/>
  <c r="S354" i="34"/>
  <c r="T354" i="34"/>
  <c r="U354" i="34"/>
  <c r="V354" i="34"/>
  <c r="W354" i="34"/>
  <c r="X354" i="34"/>
  <c r="Y354" i="34"/>
  <c r="Z354" i="34"/>
  <c r="AA354" i="34"/>
  <c r="AB354" i="34"/>
  <c r="AD354" i="34"/>
  <c r="AE354" i="34"/>
  <c r="AF354" i="34"/>
  <c r="AG354" i="34"/>
  <c r="P355" i="34"/>
  <c r="Q355" i="34"/>
  <c r="R355" i="34"/>
  <c r="S355" i="34"/>
  <c r="T355" i="34"/>
  <c r="U355" i="34"/>
  <c r="V355" i="34"/>
  <c r="W355" i="34"/>
  <c r="X355" i="34"/>
  <c r="Y355" i="34"/>
  <c r="Z355" i="34"/>
  <c r="AA355" i="34"/>
  <c r="AB355" i="34"/>
  <c r="AD355" i="34"/>
  <c r="AE355" i="34"/>
  <c r="AF355" i="34"/>
  <c r="AG355" i="34"/>
  <c r="P356" i="34"/>
  <c r="Q356" i="34"/>
  <c r="R356" i="34"/>
  <c r="S356" i="34"/>
  <c r="T356" i="34"/>
  <c r="U356" i="34"/>
  <c r="V356" i="34"/>
  <c r="W356" i="34"/>
  <c r="X356" i="34"/>
  <c r="Y356" i="34"/>
  <c r="Z356" i="34"/>
  <c r="AA356" i="34"/>
  <c r="AB356" i="34"/>
  <c r="AD356" i="34"/>
  <c r="AE356" i="34"/>
  <c r="AF356" i="34"/>
  <c r="AG356" i="34"/>
  <c r="P357" i="34"/>
  <c r="Q357" i="34"/>
  <c r="R357" i="34"/>
  <c r="S357" i="34"/>
  <c r="T357" i="34"/>
  <c r="U357" i="34"/>
  <c r="V357" i="34"/>
  <c r="W357" i="34"/>
  <c r="X357" i="34"/>
  <c r="Y357" i="34"/>
  <c r="Z357" i="34"/>
  <c r="AA357" i="34"/>
  <c r="AB357" i="34"/>
  <c r="AD357" i="34"/>
  <c r="AE357" i="34"/>
  <c r="AF357" i="34"/>
  <c r="AG357" i="34"/>
  <c r="P358" i="34"/>
  <c r="Q358" i="34"/>
  <c r="R358" i="34"/>
  <c r="S358" i="34"/>
  <c r="T358" i="34"/>
  <c r="U358" i="34"/>
  <c r="V358" i="34"/>
  <c r="W358" i="34"/>
  <c r="X358" i="34"/>
  <c r="Y358" i="34"/>
  <c r="Z358" i="34"/>
  <c r="AA358" i="34"/>
  <c r="AB358" i="34"/>
  <c r="AD358" i="34"/>
  <c r="AE358" i="34"/>
  <c r="AF358" i="34"/>
  <c r="AG358" i="34"/>
  <c r="P359" i="34"/>
  <c r="Q359" i="34"/>
  <c r="R359" i="34"/>
  <c r="S359" i="34"/>
  <c r="T359" i="34"/>
  <c r="U359" i="34"/>
  <c r="V359" i="34"/>
  <c r="W359" i="34"/>
  <c r="X359" i="34"/>
  <c r="Y359" i="34"/>
  <c r="Z359" i="34"/>
  <c r="AA359" i="34"/>
  <c r="AB359" i="34"/>
  <c r="AD359" i="34"/>
  <c r="AE359" i="34"/>
  <c r="AF359" i="34"/>
  <c r="AG359" i="34"/>
  <c r="P360" i="34"/>
  <c r="Q360" i="34"/>
  <c r="R360" i="34"/>
  <c r="S360" i="34"/>
  <c r="T360" i="34"/>
  <c r="U360" i="34"/>
  <c r="V360" i="34"/>
  <c r="W360" i="34"/>
  <c r="X360" i="34"/>
  <c r="Y360" i="34"/>
  <c r="Z360" i="34"/>
  <c r="AA360" i="34"/>
  <c r="AB360" i="34"/>
  <c r="AD360" i="34"/>
  <c r="AE360" i="34"/>
  <c r="AF360" i="34"/>
  <c r="AG360" i="34"/>
  <c r="P361" i="34"/>
  <c r="Q361" i="34"/>
  <c r="R361" i="34"/>
  <c r="S361" i="34"/>
  <c r="T361" i="34"/>
  <c r="U361" i="34"/>
  <c r="V361" i="34"/>
  <c r="W361" i="34"/>
  <c r="X361" i="34"/>
  <c r="Y361" i="34"/>
  <c r="Z361" i="34"/>
  <c r="AA361" i="34"/>
  <c r="AB361" i="34"/>
  <c r="AD361" i="34"/>
  <c r="AE361" i="34"/>
  <c r="AF361" i="34"/>
  <c r="AG361" i="34"/>
  <c r="P362" i="34"/>
  <c r="Q362" i="34"/>
  <c r="R362" i="34"/>
  <c r="S362" i="34"/>
  <c r="T362" i="34"/>
  <c r="U362" i="34"/>
  <c r="V362" i="34"/>
  <c r="W362" i="34"/>
  <c r="X362" i="34"/>
  <c r="Y362" i="34"/>
  <c r="Z362" i="34"/>
  <c r="AA362" i="34"/>
  <c r="AB362" i="34"/>
  <c r="AD362" i="34"/>
  <c r="AE362" i="34"/>
  <c r="AF362" i="34"/>
  <c r="AG362" i="34"/>
  <c r="P363" i="34"/>
  <c r="Q363" i="34"/>
  <c r="R363" i="34"/>
  <c r="S363" i="34"/>
  <c r="T363" i="34"/>
  <c r="U363" i="34"/>
  <c r="V363" i="34"/>
  <c r="W363" i="34"/>
  <c r="X363" i="34"/>
  <c r="Y363" i="34"/>
  <c r="Z363" i="34"/>
  <c r="AA363" i="34"/>
  <c r="AB363" i="34"/>
  <c r="AD363" i="34"/>
  <c r="AE363" i="34"/>
  <c r="AF363" i="34"/>
  <c r="AG363" i="34"/>
  <c r="P364" i="34"/>
  <c r="Q364" i="34"/>
  <c r="R364" i="34"/>
  <c r="S364" i="34"/>
  <c r="T364" i="34"/>
  <c r="U364" i="34"/>
  <c r="V364" i="34"/>
  <c r="W364" i="34"/>
  <c r="X364" i="34"/>
  <c r="Y364" i="34"/>
  <c r="Z364" i="34"/>
  <c r="AA364" i="34"/>
  <c r="AB364" i="34"/>
  <c r="AD364" i="34"/>
  <c r="AE364" i="34"/>
  <c r="AF364" i="34"/>
  <c r="AG364" i="34"/>
  <c r="P365" i="34"/>
  <c r="Q365" i="34"/>
  <c r="R365" i="34"/>
  <c r="S365" i="34"/>
  <c r="T365" i="34"/>
  <c r="U365" i="34"/>
  <c r="V365" i="34"/>
  <c r="W365" i="34"/>
  <c r="X365" i="34"/>
  <c r="Y365" i="34"/>
  <c r="Z365" i="34"/>
  <c r="AA365" i="34"/>
  <c r="AB365" i="34"/>
  <c r="AD365" i="34"/>
  <c r="AE365" i="34"/>
  <c r="AF365" i="34"/>
  <c r="AG365" i="34"/>
  <c r="P366" i="34"/>
  <c r="Q366" i="34"/>
  <c r="R366" i="34"/>
  <c r="S366" i="34"/>
  <c r="T366" i="34"/>
  <c r="U366" i="34"/>
  <c r="V366" i="34"/>
  <c r="W366" i="34"/>
  <c r="X366" i="34"/>
  <c r="Y366" i="34"/>
  <c r="Z366" i="34"/>
  <c r="AA366" i="34"/>
  <c r="AB366" i="34"/>
  <c r="AD366" i="34"/>
  <c r="AE366" i="34"/>
  <c r="AF366" i="34"/>
  <c r="AG366" i="34"/>
  <c r="P367" i="34"/>
  <c r="Q367" i="34"/>
  <c r="R367" i="34"/>
  <c r="S367" i="34"/>
  <c r="T367" i="34"/>
  <c r="U367" i="34"/>
  <c r="V367" i="34"/>
  <c r="W367" i="34"/>
  <c r="X367" i="34"/>
  <c r="Y367" i="34"/>
  <c r="Z367" i="34"/>
  <c r="AA367" i="34"/>
  <c r="AB367" i="34"/>
  <c r="AD367" i="34"/>
  <c r="AE367" i="34"/>
  <c r="AF367" i="34"/>
  <c r="AG367" i="34"/>
  <c r="P368" i="34"/>
  <c r="Q368" i="34"/>
  <c r="R368" i="34"/>
  <c r="S368" i="34"/>
  <c r="T368" i="34"/>
  <c r="U368" i="34"/>
  <c r="V368" i="34"/>
  <c r="W368" i="34"/>
  <c r="X368" i="34"/>
  <c r="Y368" i="34"/>
  <c r="Z368" i="34"/>
  <c r="AA368" i="34"/>
  <c r="AB368" i="34"/>
  <c r="AD368" i="34"/>
  <c r="AE368" i="34"/>
  <c r="AF368" i="34"/>
  <c r="AG368" i="34"/>
  <c r="P369" i="34"/>
  <c r="Q369" i="34"/>
  <c r="R369" i="34"/>
  <c r="S369" i="34"/>
  <c r="T369" i="34"/>
  <c r="U369" i="34"/>
  <c r="V369" i="34"/>
  <c r="W369" i="34"/>
  <c r="X369" i="34"/>
  <c r="Y369" i="34"/>
  <c r="Z369" i="34"/>
  <c r="AA369" i="34"/>
  <c r="AB369" i="34"/>
  <c r="AD369" i="34"/>
  <c r="AE369" i="34"/>
  <c r="AF369" i="34"/>
  <c r="AG369" i="34"/>
  <c r="P370" i="34"/>
  <c r="Q370" i="34"/>
  <c r="R370" i="34"/>
  <c r="S370" i="34"/>
  <c r="T370" i="34"/>
  <c r="U370" i="34"/>
  <c r="V370" i="34"/>
  <c r="W370" i="34"/>
  <c r="X370" i="34"/>
  <c r="Y370" i="34"/>
  <c r="Z370" i="34"/>
  <c r="AA370" i="34"/>
  <c r="AB370" i="34"/>
  <c r="AD370" i="34"/>
  <c r="AE370" i="34"/>
  <c r="AF370" i="34"/>
  <c r="AG370" i="34"/>
  <c r="P371" i="34"/>
  <c r="Q371" i="34"/>
  <c r="R371" i="34"/>
  <c r="S371" i="34"/>
  <c r="T371" i="34"/>
  <c r="U371" i="34"/>
  <c r="V371" i="34"/>
  <c r="W371" i="34"/>
  <c r="X371" i="34"/>
  <c r="Y371" i="34"/>
  <c r="Z371" i="34"/>
  <c r="AA371" i="34"/>
  <c r="AB371" i="34"/>
  <c r="AD371" i="34"/>
  <c r="AE371" i="34"/>
  <c r="AF371" i="34"/>
  <c r="AG371" i="34"/>
  <c r="P372" i="34"/>
  <c r="Q372" i="34"/>
  <c r="R372" i="34"/>
  <c r="S372" i="34"/>
  <c r="T372" i="34"/>
  <c r="U372" i="34"/>
  <c r="V372" i="34"/>
  <c r="W372" i="34"/>
  <c r="X372" i="34"/>
  <c r="Y372" i="34"/>
  <c r="Z372" i="34"/>
  <c r="AA372" i="34"/>
  <c r="AB372" i="34"/>
  <c r="AD372" i="34"/>
  <c r="AE372" i="34"/>
  <c r="AF372" i="34"/>
  <c r="AG372" i="34"/>
  <c r="P373" i="34"/>
  <c r="Q373" i="34"/>
  <c r="R373" i="34"/>
  <c r="S373" i="34"/>
  <c r="T373" i="34"/>
  <c r="U373" i="34"/>
  <c r="V373" i="34"/>
  <c r="W373" i="34"/>
  <c r="X373" i="34"/>
  <c r="Y373" i="34"/>
  <c r="Z373" i="34"/>
  <c r="AA373" i="34"/>
  <c r="AB373" i="34"/>
  <c r="AD373" i="34"/>
  <c r="AE373" i="34"/>
  <c r="AF373" i="34"/>
  <c r="AG373" i="34"/>
  <c r="P374" i="34"/>
  <c r="Q374" i="34"/>
  <c r="R374" i="34"/>
  <c r="S374" i="34"/>
  <c r="T374" i="34"/>
  <c r="U374" i="34"/>
  <c r="V374" i="34"/>
  <c r="W374" i="34"/>
  <c r="X374" i="34"/>
  <c r="Y374" i="34"/>
  <c r="Z374" i="34"/>
  <c r="AA374" i="34"/>
  <c r="AB374" i="34"/>
  <c r="AD374" i="34"/>
  <c r="AE374" i="34"/>
  <c r="AF374" i="34"/>
  <c r="AG374" i="34"/>
  <c r="P375" i="34"/>
  <c r="Q375" i="34"/>
  <c r="R375" i="34"/>
  <c r="S375" i="34"/>
  <c r="T375" i="34"/>
  <c r="U375" i="34"/>
  <c r="V375" i="34"/>
  <c r="W375" i="34"/>
  <c r="X375" i="34"/>
  <c r="Y375" i="34"/>
  <c r="Z375" i="34"/>
  <c r="AA375" i="34"/>
  <c r="AB375" i="34"/>
  <c r="AD375" i="34"/>
  <c r="AE375" i="34"/>
  <c r="AF375" i="34"/>
  <c r="AG375" i="34"/>
  <c r="P376" i="34"/>
  <c r="Q376" i="34"/>
  <c r="R376" i="34"/>
  <c r="S376" i="34"/>
  <c r="T376" i="34"/>
  <c r="U376" i="34"/>
  <c r="V376" i="34"/>
  <c r="W376" i="34"/>
  <c r="X376" i="34"/>
  <c r="Y376" i="34"/>
  <c r="Z376" i="34"/>
  <c r="AA376" i="34"/>
  <c r="AB376" i="34"/>
  <c r="AD376" i="34"/>
  <c r="AE376" i="34"/>
  <c r="AF376" i="34"/>
  <c r="AG376" i="34"/>
  <c r="P377" i="34"/>
  <c r="Q377" i="34"/>
  <c r="R377" i="34"/>
  <c r="S377" i="34"/>
  <c r="T377" i="34"/>
  <c r="U377" i="34"/>
  <c r="V377" i="34"/>
  <c r="W377" i="34"/>
  <c r="X377" i="34"/>
  <c r="Y377" i="34"/>
  <c r="Z377" i="34"/>
  <c r="AA377" i="34"/>
  <c r="AB377" i="34"/>
  <c r="AD377" i="34"/>
  <c r="AE377" i="34"/>
  <c r="AF377" i="34"/>
  <c r="AG377" i="34"/>
  <c r="P378" i="34"/>
  <c r="Q378" i="34"/>
  <c r="R378" i="34"/>
  <c r="S378" i="34"/>
  <c r="T378" i="34"/>
  <c r="U378" i="34"/>
  <c r="V378" i="34"/>
  <c r="W378" i="34"/>
  <c r="X378" i="34"/>
  <c r="Y378" i="34"/>
  <c r="Z378" i="34"/>
  <c r="AA378" i="34"/>
  <c r="AB378" i="34"/>
  <c r="AD378" i="34"/>
  <c r="AE378" i="34"/>
  <c r="AF378" i="34"/>
  <c r="AG378" i="34"/>
  <c r="P379" i="34"/>
  <c r="Q379" i="34"/>
  <c r="R379" i="34"/>
  <c r="S379" i="34"/>
  <c r="T379" i="34"/>
  <c r="U379" i="34"/>
  <c r="V379" i="34"/>
  <c r="W379" i="34"/>
  <c r="X379" i="34"/>
  <c r="Y379" i="34"/>
  <c r="Z379" i="34"/>
  <c r="AA379" i="34"/>
  <c r="AB379" i="34"/>
  <c r="AD379" i="34"/>
  <c r="AE379" i="34"/>
  <c r="AF379" i="34"/>
  <c r="AG379" i="34"/>
  <c r="P380" i="34"/>
  <c r="Q380" i="34"/>
  <c r="R380" i="34"/>
  <c r="S380" i="34"/>
  <c r="T380" i="34"/>
  <c r="U380" i="34"/>
  <c r="V380" i="34"/>
  <c r="W380" i="34"/>
  <c r="X380" i="34"/>
  <c r="Y380" i="34"/>
  <c r="Z380" i="34"/>
  <c r="AA380" i="34"/>
  <c r="AB380" i="34"/>
  <c r="AD380" i="34"/>
  <c r="AE380" i="34"/>
  <c r="AF380" i="34"/>
  <c r="AG380" i="34"/>
  <c r="P381" i="34"/>
  <c r="Q381" i="34"/>
  <c r="R381" i="34"/>
  <c r="S381" i="34"/>
  <c r="T381" i="34"/>
  <c r="U381" i="34"/>
  <c r="V381" i="34"/>
  <c r="W381" i="34"/>
  <c r="X381" i="34"/>
  <c r="Y381" i="34"/>
  <c r="Z381" i="34"/>
  <c r="AA381" i="34"/>
  <c r="AB381" i="34"/>
  <c r="AD381" i="34"/>
  <c r="AE381" i="34"/>
  <c r="AF381" i="34"/>
  <c r="AG381" i="34"/>
  <c r="P382" i="34"/>
  <c r="Q382" i="34"/>
  <c r="R382" i="34"/>
  <c r="S382" i="34"/>
  <c r="T382" i="34"/>
  <c r="U382" i="34"/>
  <c r="V382" i="34"/>
  <c r="W382" i="34"/>
  <c r="X382" i="34"/>
  <c r="Y382" i="34"/>
  <c r="Z382" i="34"/>
  <c r="AA382" i="34"/>
  <c r="AB382" i="34"/>
  <c r="AD382" i="34"/>
  <c r="AE382" i="34"/>
  <c r="AF382" i="34"/>
  <c r="AG382" i="34"/>
  <c r="P383" i="34"/>
  <c r="Q383" i="34"/>
  <c r="R383" i="34"/>
  <c r="S383" i="34"/>
  <c r="T383" i="34"/>
  <c r="U383" i="34"/>
  <c r="V383" i="34"/>
  <c r="W383" i="34"/>
  <c r="X383" i="34"/>
  <c r="Y383" i="34"/>
  <c r="Z383" i="34"/>
  <c r="AA383" i="34"/>
  <c r="AB383" i="34"/>
  <c r="AD383" i="34"/>
  <c r="AE383" i="34"/>
  <c r="AF383" i="34"/>
  <c r="AG383" i="34"/>
  <c r="P384" i="34"/>
  <c r="Q384" i="34"/>
  <c r="R384" i="34"/>
  <c r="S384" i="34"/>
  <c r="T384" i="34"/>
  <c r="U384" i="34"/>
  <c r="V384" i="34"/>
  <c r="W384" i="34"/>
  <c r="X384" i="34"/>
  <c r="Y384" i="34"/>
  <c r="Z384" i="34"/>
  <c r="AA384" i="34"/>
  <c r="AB384" i="34"/>
  <c r="AD384" i="34"/>
  <c r="AE384" i="34"/>
  <c r="AF384" i="34"/>
  <c r="AG384" i="34"/>
  <c r="P385" i="34"/>
  <c r="Q385" i="34"/>
  <c r="R385" i="34"/>
  <c r="S385" i="34"/>
  <c r="T385" i="34"/>
  <c r="U385" i="34"/>
  <c r="V385" i="34"/>
  <c r="W385" i="34"/>
  <c r="X385" i="34"/>
  <c r="Y385" i="34"/>
  <c r="Z385" i="34"/>
  <c r="AA385" i="34"/>
  <c r="AB385" i="34"/>
  <c r="AD385" i="34"/>
  <c r="AE385" i="34"/>
  <c r="AF385" i="34"/>
  <c r="AG385" i="34"/>
  <c r="P386" i="34"/>
  <c r="Q386" i="34"/>
  <c r="R386" i="34"/>
  <c r="S386" i="34"/>
  <c r="T386" i="34"/>
  <c r="U386" i="34"/>
  <c r="V386" i="34"/>
  <c r="W386" i="34"/>
  <c r="X386" i="34"/>
  <c r="Y386" i="34"/>
  <c r="Z386" i="34"/>
  <c r="AA386" i="34"/>
  <c r="AB386" i="34"/>
  <c r="AD386" i="34"/>
  <c r="AE386" i="34"/>
  <c r="AF386" i="34"/>
  <c r="AG386" i="34"/>
  <c r="P387" i="34"/>
  <c r="Q387" i="34"/>
  <c r="R387" i="34"/>
  <c r="S387" i="34"/>
  <c r="T387" i="34"/>
  <c r="U387" i="34"/>
  <c r="V387" i="34"/>
  <c r="W387" i="34"/>
  <c r="X387" i="34"/>
  <c r="Y387" i="34"/>
  <c r="Z387" i="34"/>
  <c r="AA387" i="34"/>
  <c r="AB387" i="34"/>
  <c r="AD387" i="34"/>
  <c r="AE387" i="34"/>
  <c r="AF387" i="34"/>
  <c r="AG387" i="34"/>
  <c r="P388" i="34"/>
  <c r="Q388" i="34"/>
  <c r="R388" i="34"/>
  <c r="S388" i="34"/>
  <c r="T388" i="34"/>
  <c r="U388" i="34"/>
  <c r="V388" i="34"/>
  <c r="W388" i="34"/>
  <c r="X388" i="34"/>
  <c r="Y388" i="34"/>
  <c r="Z388" i="34"/>
  <c r="AA388" i="34"/>
  <c r="AB388" i="34"/>
  <c r="AD388" i="34"/>
  <c r="AE388" i="34"/>
  <c r="AF388" i="34"/>
  <c r="AG388" i="34"/>
  <c r="P389" i="34"/>
  <c r="Q389" i="34"/>
  <c r="R389" i="34"/>
  <c r="S389" i="34"/>
  <c r="T389" i="34"/>
  <c r="U389" i="34"/>
  <c r="V389" i="34"/>
  <c r="W389" i="34"/>
  <c r="X389" i="34"/>
  <c r="Y389" i="34"/>
  <c r="Z389" i="34"/>
  <c r="AA389" i="34"/>
  <c r="AB389" i="34"/>
  <c r="AD389" i="34"/>
  <c r="AE389" i="34"/>
  <c r="AF389" i="34"/>
  <c r="AG389" i="34"/>
  <c r="P390" i="34"/>
  <c r="Q390" i="34"/>
  <c r="R390" i="34"/>
  <c r="S390" i="34"/>
  <c r="T390" i="34"/>
  <c r="U390" i="34"/>
  <c r="V390" i="34"/>
  <c r="W390" i="34"/>
  <c r="X390" i="34"/>
  <c r="Y390" i="34"/>
  <c r="Z390" i="34"/>
  <c r="AA390" i="34"/>
  <c r="AB390" i="34"/>
  <c r="AD390" i="34"/>
  <c r="AE390" i="34"/>
  <c r="AF390" i="34"/>
  <c r="AG390" i="34"/>
  <c r="P391" i="34"/>
  <c r="Q391" i="34"/>
  <c r="R391" i="34"/>
  <c r="S391" i="34"/>
  <c r="T391" i="34"/>
  <c r="U391" i="34"/>
  <c r="V391" i="34"/>
  <c r="W391" i="34"/>
  <c r="X391" i="34"/>
  <c r="Y391" i="34"/>
  <c r="Z391" i="34"/>
  <c r="AA391" i="34"/>
  <c r="AB391" i="34"/>
  <c r="AD391" i="34"/>
  <c r="AE391" i="34"/>
  <c r="AF391" i="34"/>
  <c r="AG391" i="34"/>
  <c r="P392" i="34"/>
  <c r="Q392" i="34"/>
  <c r="R392" i="34"/>
  <c r="S392" i="34"/>
  <c r="T392" i="34"/>
  <c r="U392" i="34"/>
  <c r="V392" i="34"/>
  <c r="W392" i="34"/>
  <c r="X392" i="34"/>
  <c r="Y392" i="34"/>
  <c r="Z392" i="34"/>
  <c r="AA392" i="34"/>
  <c r="AB392" i="34"/>
  <c r="AD392" i="34"/>
  <c r="AE392" i="34"/>
  <c r="AF392" i="34"/>
  <c r="AG392" i="34"/>
  <c r="P393" i="34"/>
  <c r="Q393" i="34"/>
  <c r="R393" i="34"/>
  <c r="S393" i="34"/>
  <c r="T393" i="34"/>
  <c r="U393" i="34"/>
  <c r="V393" i="34"/>
  <c r="W393" i="34"/>
  <c r="X393" i="34"/>
  <c r="Y393" i="34"/>
  <c r="Z393" i="34"/>
  <c r="AA393" i="34"/>
  <c r="AB393" i="34"/>
  <c r="AD393" i="34"/>
  <c r="AE393" i="34"/>
  <c r="AF393" i="34"/>
  <c r="AG393" i="34"/>
  <c r="P394" i="34"/>
  <c r="Q394" i="34"/>
  <c r="R394" i="34"/>
  <c r="S394" i="34"/>
  <c r="T394" i="34"/>
  <c r="U394" i="34"/>
  <c r="V394" i="34"/>
  <c r="W394" i="34"/>
  <c r="X394" i="34"/>
  <c r="Y394" i="34"/>
  <c r="Z394" i="34"/>
  <c r="AA394" i="34"/>
  <c r="AB394" i="34"/>
  <c r="AD394" i="34"/>
  <c r="AE394" i="34"/>
  <c r="AF394" i="34"/>
  <c r="AG394" i="34"/>
  <c r="P395" i="34"/>
  <c r="Q395" i="34"/>
  <c r="R395" i="34"/>
  <c r="S395" i="34"/>
  <c r="T395" i="34"/>
  <c r="U395" i="34"/>
  <c r="V395" i="34"/>
  <c r="W395" i="34"/>
  <c r="X395" i="34"/>
  <c r="Y395" i="34"/>
  <c r="Z395" i="34"/>
  <c r="AA395" i="34"/>
  <c r="AB395" i="34"/>
  <c r="AD395" i="34"/>
  <c r="AE395" i="34"/>
  <c r="AF395" i="34"/>
  <c r="AG395" i="34"/>
  <c r="P396" i="34"/>
  <c r="Q396" i="34"/>
  <c r="R396" i="34"/>
  <c r="S396" i="34"/>
  <c r="T396" i="34"/>
  <c r="U396" i="34"/>
  <c r="V396" i="34"/>
  <c r="W396" i="34"/>
  <c r="X396" i="34"/>
  <c r="Y396" i="34"/>
  <c r="Z396" i="34"/>
  <c r="AA396" i="34"/>
  <c r="AB396" i="34"/>
  <c r="AD396" i="34"/>
  <c r="AE396" i="34"/>
  <c r="AF396" i="34"/>
  <c r="AG396" i="34"/>
  <c r="P397" i="34"/>
  <c r="Q397" i="34"/>
  <c r="R397" i="34"/>
  <c r="S397" i="34"/>
  <c r="T397" i="34"/>
  <c r="U397" i="34"/>
  <c r="V397" i="34"/>
  <c r="W397" i="34"/>
  <c r="X397" i="34"/>
  <c r="Y397" i="34"/>
  <c r="Z397" i="34"/>
  <c r="AA397" i="34"/>
  <c r="AB397" i="34"/>
  <c r="AD397" i="34"/>
  <c r="AE397" i="34"/>
  <c r="AF397" i="34"/>
  <c r="AG397" i="34"/>
  <c r="P398" i="34"/>
  <c r="Q398" i="34"/>
  <c r="R398" i="34"/>
  <c r="S398" i="34"/>
  <c r="T398" i="34"/>
  <c r="U398" i="34"/>
  <c r="V398" i="34"/>
  <c r="W398" i="34"/>
  <c r="X398" i="34"/>
  <c r="Y398" i="34"/>
  <c r="Z398" i="34"/>
  <c r="AA398" i="34"/>
  <c r="AB398" i="34"/>
  <c r="AD398" i="34"/>
  <c r="AE398" i="34"/>
  <c r="AF398" i="34"/>
  <c r="AG398" i="34"/>
  <c r="P399" i="34"/>
  <c r="Q399" i="34"/>
  <c r="R399" i="34"/>
  <c r="S399" i="34"/>
  <c r="T399" i="34"/>
  <c r="U399" i="34"/>
  <c r="V399" i="34"/>
  <c r="W399" i="34"/>
  <c r="X399" i="34"/>
  <c r="Y399" i="34"/>
  <c r="Z399" i="34"/>
  <c r="AA399" i="34"/>
  <c r="AB399" i="34"/>
  <c r="AD399" i="34"/>
  <c r="AE399" i="34"/>
  <c r="AF399" i="34"/>
  <c r="AG399" i="34"/>
  <c r="P400" i="34"/>
  <c r="Q400" i="34"/>
  <c r="R400" i="34"/>
  <c r="S400" i="34"/>
  <c r="T400" i="34"/>
  <c r="U400" i="34"/>
  <c r="V400" i="34"/>
  <c r="W400" i="34"/>
  <c r="X400" i="34"/>
  <c r="Y400" i="34"/>
  <c r="Z400" i="34"/>
  <c r="AA400" i="34"/>
  <c r="AB400" i="34"/>
  <c r="AD400" i="34"/>
  <c r="AE400" i="34"/>
  <c r="AF400" i="34"/>
  <c r="AG400" i="34"/>
  <c r="P401" i="34"/>
  <c r="Q401" i="34"/>
  <c r="R401" i="34"/>
  <c r="S401" i="34"/>
  <c r="T401" i="34"/>
  <c r="U401" i="34"/>
  <c r="V401" i="34"/>
  <c r="W401" i="34"/>
  <c r="X401" i="34"/>
  <c r="Y401" i="34"/>
  <c r="Z401" i="34"/>
  <c r="AA401" i="34"/>
  <c r="AB401" i="34"/>
  <c r="AD401" i="34"/>
  <c r="AE401" i="34"/>
  <c r="AF401" i="34"/>
  <c r="AG401" i="34"/>
  <c r="P402" i="34"/>
  <c r="Q402" i="34"/>
  <c r="R402" i="34"/>
  <c r="S402" i="34"/>
  <c r="T402" i="34"/>
  <c r="U402" i="34"/>
  <c r="V402" i="34"/>
  <c r="W402" i="34"/>
  <c r="X402" i="34"/>
  <c r="Y402" i="34"/>
  <c r="Z402" i="34"/>
  <c r="AA402" i="34"/>
  <c r="AB402" i="34"/>
  <c r="AD402" i="34"/>
  <c r="AE402" i="34"/>
  <c r="AF402" i="34"/>
  <c r="AG402" i="34"/>
  <c r="P403" i="34"/>
  <c r="Q403" i="34"/>
  <c r="R403" i="34"/>
  <c r="S403" i="34"/>
  <c r="T403" i="34"/>
  <c r="U403" i="34"/>
  <c r="V403" i="34"/>
  <c r="W403" i="34"/>
  <c r="X403" i="34"/>
  <c r="Y403" i="34"/>
  <c r="Z403" i="34"/>
  <c r="AA403" i="34"/>
  <c r="AB403" i="34"/>
  <c r="AD403" i="34"/>
  <c r="AE403" i="34"/>
  <c r="AF403" i="34"/>
  <c r="AG403" i="34"/>
  <c r="P404" i="34"/>
  <c r="Q404" i="34"/>
  <c r="R404" i="34"/>
  <c r="S404" i="34"/>
  <c r="T404" i="34"/>
  <c r="U404" i="34"/>
  <c r="V404" i="34"/>
  <c r="W404" i="34"/>
  <c r="X404" i="34"/>
  <c r="Y404" i="34"/>
  <c r="Z404" i="34"/>
  <c r="AA404" i="34"/>
  <c r="AB404" i="34"/>
  <c r="AD404" i="34"/>
  <c r="AE404" i="34"/>
  <c r="AF404" i="34"/>
  <c r="AG404" i="34"/>
  <c r="P405" i="34"/>
  <c r="Q405" i="34"/>
  <c r="R405" i="34"/>
  <c r="S405" i="34"/>
  <c r="T405" i="34"/>
  <c r="U405" i="34"/>
  <c r="V405" i="34"/>
  <c r="W405" i="34"/>
  <c r="X405" i="34"/>
  <c r="Y405" i="34"/>
  <c r="Z405" i="34"/>
  <c r="AA405" i="34"/>
  <c r="AB405" i="34"/>
  <c r="AD405" i="34"/>
  <c r="AE405" i="34"/>
  <c r="AF405" i="34"/>
  <c r="AG405" i="34"/>
  <c r="P406" i="34"/>
  <c r="Q406" i="34"/>
  <c r="R406" i="34"/>
  <c r="S406" i="34"/>
  <c r="T406" i="34"/>
  <c r="U406" i="34"/>
  <c r="V406" i="34"/>
  <c r="W406" i="34"/>
  <c r="X406" i="34"/>
  <c r="Y406" i="34"/>
  <c r="Z406" i="34"/>
  <c r="AA406" i="34"/>
  <c r="AB406" i="34"/>
  <c r="AD406" i="34"/>
  <c r="AE406" i="34"/>
  <c r="AF406" i="34"/>
  <c r="AG406" i="34"/>
  <c r="P407" i="34"/>
  <c r="Q407" i="34"/>
  <c r="R407" i="34"/>
  <c r="S407" i="34"/>
  <c r="T407" i="34"/>
  <c r="U407" i="34"/>
  <c r="V407" i="34"/>
  <c r="W407" i="34"/>
  <c r="X407" i="34"/>
  <c r="Y407" i="34"/>
  <c r="Z407" i="34"/>
  <c r="AA407" i="34"/>
  <c r="AB407" i="34"/>
  <c r="AD407" i="34"/>
  <c r="AE407" i="34"/>
  <c r="AF407" i="34"/>
  <c r="AG407" i="34"/>
  <c r="P408" i="34"/>
  <c r="Q408" i="34"/>
  <c r="R408" i="34"/>
  <c r="S408" i="34"/>
  <c r="T408" i="34"/>
  <c r="U408" i="34"/>
  <c r="V408" i="34"/>
  <c r="W408" i="34"/>
  <c r="X408" i="34"/>
  <c r="Y408" i="34"/>
  <c r="Z408" i="34"/>
  <c r="AA408" i="34"/>
  <c r="AB408" i="34"/>
  <c r="AD408" i="34"/>
  <c r="AE408" i="34"/>
  <c r="AF408" i="34"/>
  <c r="AG408" i="34"/>
  <c r="P409" i="34"/>
  <c r="Q409" i="34"/>
  <c r="R409" i="34"/>
  <c r="S409" i="34"/>
  <c r="T409" i="34"/>
  <c r="U409" i="34"/>
  <c r="V409" i="34"/>
  <c r="W409" i="34"/>
  <c r="X409" i="34"/>
  <c r="Y409" i="34"/>
  <c r="Z409" i="34"/>
  <c r="AA409" i="34"/>
  <c r="AB409" i="34"/>
  <c r="AD409" i="34"/>
  <c r="AE409" i="34"/>
  <c r="AF409" i="34"/>
  <c r="AG409" i="34"/>
  <c r="P410" i="34"/>
  <c r="Q410" i="34"/>
  <c r="R410" i="34"/>
  <c r="S410" i="34"/>
  <c r="T410" i="34"/>
  <c r="U410" i="34"/>
  <c r="V410" i="34"/>
  <c r="W410" i="34"/>
  <c r="X410" i="34"/>
  <c r="Y410" i="34"/>
  <c r="Z410" i="34"/>
  <c r="AA410" i="34"/>
  <c r="AB410" i="34"/>
  <c r="AD410" i="34"/>
  <c r="AE410" i="34"/>
  <c r="AF410" i="34"/>
  <c r="AG410" i="34"/>
  <c r="P411" i="34"/>
  <c r="Q411" i="34"/>
  <c r="R411" i="34"/>
  <c r="S411" i="34"/>
  <c r="T411" i="34"/>
  <c r="U411" i="34"/>
  <c r="V411" i="34"/>
  <c r="W411" i="34"/>
  <c r="X411" i="34"/>
  <c r="Y411" i="34"/>
  <c r="Z411" i="34"/>
  <c r="AA411" i="34"/>
  <c r="AB411" i="34"/>
  <c r="AD411" i="34"/>
  <c r="AE411" i="34"/>
  <c r="AF411" i="34"/>
  <c r="AG411" i="34"/>
  <c r="P412" i="34"/>
  <c r="Q412" i="34"/>
  <c r="R412" i="34"/>
  <c r="S412" i="34"/>
  <c r="T412" i="34"/>
  <c r="U412" i="34"/>
  <c r="V412" i="34"/>
  <c r="W412" i="34"/>
  <c r="X412" i="34"/>
  <c r="Y412" i="34"/>
  <c r="Z412" i="34"/>
  <c r="AA412" i="34"/>
  <c r="AB412" i="34"/>
  <c r="AD412" i="34"/>
  <c r="AE412" i="34"/>
  <c r="AF412" i="34"/>
  <c r="AG412" i="34"/>
  <c r="P413" i="34"/>
  <c r="Q413" i="34"/>
  <c r="R413" i="34"/>
  <c r="S413" i="34"/>
  <c r="T413" i="34"/>
  <c r="U413" i="34"/>
  <c r="V413" i="34"/>
  <c r="W413" i="34"/>
  <c r="X413" i="34"/>
  <c r="Y413" i="34"/>
  <c r="Z413" i="34"/>
  <c r="AA413" i="34"/>
  <c r="AB413" i="34"/>
  <c r="AD413" i="34"/>
  <c r="AE413" i="34"/>
  <c r="AF413" i="34"/>
  <c r="AG413" i="34"/>
  <c r="P414" i="34"/>
  <c r="Q414" i="34"/>
  <c r="R414" i="34"/>
  <c r="S414" i="34"/>
  <c r="T414" i="34"/>
  <c r="U414" i="34"/>
  <c r="V414" i="34"/>
  <c r="W414" i="34"/>
  <c r="X414" i="34"/>
  <c r="Y414" i="34"/>
  <c r="Z414" i="34"/>
  <c r="AA414" i="34"/>
  <c r="AB414" i="34"/>
  <c r="AD414" i="34"/>
  <c r="AE414" i="34"/>
  <c r="AF414" i="34"/>
  <c r="AG414" i="34"/>
  <c r="P415" i="34"/>
  <c r="Q415" i="34"/>
  <c r="R415" i="34"/>
  <c r="S415" i="34"/>
  <c r="T415" i="34"/>
  <c r="U415" i="34"/>
  <c r="V415" i="34"/>
  <c r="W415" i="34"/>
  <c r="X415" i="34"/>
  <c r="Y415" i="34"/>
  <c r="Z415" i="34"/>
  <c r="AA415" i="34"/>
  <c r="AB415" i="34"/>
  <c r="AD415" i="34"/>
  <c r="AE415" i="34"/>
  <c r="AF415" i="34"/>
  <c r="AG415" i="34"/>
  <c r="P416" i="34"/>
  <c r="Q416" i="34"/>
  <c r="R416" i="34"/>
  <c r="S416" i="34"/>
  <c r="T416" i="34"/>
  <c r="U416" i="34"/>
  <c r="V416" i="34"/>
  <c r="W416" i="34"/>
  <c r="X416" i="34"/>
  <c r="Y416" i="34"/>
  <c r="Z416" i="34"/>
  <c r="AA416" i="34"/>
  <c r="AB416" i="34"/>
  <c r="AD416" i="34"/>
  <c r="AE416" i="34"/>
  <c r="AF416" i="34"/>
  <c r="AG416" i="34"/>
  <c r="P417" i="34"/>
  <c r="Q417" i="34"/>
  <c r="R417" i="34"/>
  <c r="S417" i="34"/>
  <c r="T417" i="34"/>
  <c r="U417" i="34"/>
  <c r="V417" i="34"/>
  <c r="W417" i="34"/>
  <c r="X417" i="34"/>
  <c r="Y417" i="34"/>
  <c r="Z417" i="34"/>
  <c r="AA417" i="34"/>
  <c r="AB417" i="34"/>
  <c r="AD417" i="34"/>
  <c r="AE417" i="34"/>
  <c r="AF417" i="34"/>
  <c r="AG417" i="34"/>
  <c r="P418" i="34"/>
  <c r="Q418" i="34"/>
  <c r="R418" i="34"/>
  <c r="S418" i="34"/>
  <c r="T418" i="34"/>
  <c r="U418" i="34"/>
  <c r="V418" i="34"/>
  <c r="W418" i="34"/>
  <c r="X418" i="34"/>
  <c r="Y418" i="34"/>
  <c r="Z418" i="34"/>
  <c r="AA418" i="34"/>
  <c r="AB418" i="34"/>
  <c r="AD418" i="34"/>
  <c r="AE418" i="34"/>
  <c r="AF418" i="34"/>
  <c r="AG418" i="34"/>
  <c r="P419" i="34"/>
  <c r="Q419" i="34"/>
  <c r="R419" i="34"/>
  <c r="S419" i="34"/>
  <c r="T419" i="34"/>
  <c r="U419" i="34"/>
  <c r="V419" i="34"/>
  <c r="W419" i="34"/>
  <c r="X419" i="34"/>
  <c r="Y419" i="34"/>
  <c r="Z419" i="34"/>
  <c r="AA419" i="34"/>
  <c r="AB419" i="34"/>
  <c r="AD419" i="34"/>
  <c r="AE419" i="34"/>
  <c r="AF419" i="34"/>
  <c r="AG419" i="34"/>
  <c r="P420" i="34"/>
  <c r="Q420" i="34"/>
  <c r="R420" i="34"/>
  <c r="S420" i="34"/>
  <c r="T420" i="34"/>
  <c r="U420" i="34"/>
  <c r="V420" i="34"/>
  <c r="W420" i="34"/>
  <c r="X420" i="34"/>
  <c r="Y420" i="34"/>
  <c r="Z420" i="34"/>
  <c r="AA420" i="34"/>
  <c r="AB420" i="34"/>
  <c r="AD420" i="34"/>
  <c r="AE420" i="34"/>
  <c r="AF420" i="34"/>
  <c r="AG420" i="34"/>
  <c r="P421" i="34"/>
  <c r="Q421" i="34"/>
  <c r="R421" i="34"/>
  <c r="S421" i="34"/>
  <c r="T421" i="34"/>
  <c r="U421" i="34"/>
  <c r="V421" i="34"/>
  <c r="W421" i="34"/>
  <c r="X421" i="34"/>
  <c r="Y421" i="34"/>
  <c r="Z421" i="34"/>
  <c r="AA421" i="34"/>
  <c r="AB421" i="34"/>
  <c r="AD421" i="34"/>
  <c r="AE421" i="34"/>
  <c r="AF421" i="34"/>
  <c r="AG421" i="34"/>
  <c r="P422" i="34"/>
  <c r="Q422" i="34"/>
  <c r="R422" i="34"/>
  <c r="S422" i="34"/>
  <c r="T422" i="34"/>
  <c r="U422" i="34"/>
  <c r="V422" i="34"/>
  <c r="W422" i="34"/>
  <c r="X422" i="34"/>
  <c r="Y422" i="34"/>
  <c r="Z422" i="34"/>
  <c r="AA422" i="34"/>
  <c r="AB422" i="34"/>
  <c r="AD422" i="34"/>
  <c r="AE422" i="34"/>
  <c r="AF422" i="34"/>
  <c r="AG422" i="34"/>
  <c r="P423" i="34"/>
  <c r="Q423" i="34"/>
  <c r="R423" i="34"/>
  <c r="S423" i="34"/>
  <c r="T423" i="34"/>
  <c r="U423" i="34"/>
  <c r="V423" i="34"/>
  <c r="W423" i="34"/>
  <c r="X423" i="34"/>
  <c r="Y423" i="34"/>
  <c r="Z423" i="34"/>
  <c r="AA423" i="34"/>
  <c r="AB423" i="34"/>
  <c r="AD423" i="34"/>
  <c r="AE423" i="34"/>
  <c r="AF423" i="34"/>
  <c r="AG423" i="34"/>
  <c r="P424" i="34"/>
  <c r="Q424" i="34"/>
  <c r="R424" i="34"/>
  <c r="S424" i="34"/>
  <c r="T424" i="34"/>
  <c r="U424" i="34"/>
  <c r="V424" i="34"/>
  <c r="W424" i="34"/>
  <c r="X424" i="34"/>
  <c r="Y424" i="34"/>
  <c r="Z424" i="34"/>
  <c r="AA424" i="34"/>
  <c r="AB424" i="34"/>
  <c r="AD424" i="34"/>
  <c r="AE424" i="34"/>
  <c r="AF424" i="34"/>
  <c r="AG424" i="34"/>
  <c r="P425" i="34"/>
  <c r="Q425" i="34"/>
  <c r="R425" i="34"/>
  <c r="S425" i="34"/>
  <c r="T425" i="34"/>
  <c r="U425" i="34"/>
  <c r="V425" i="34"/>
  <c r="W425" i="34"/>
  <c r="X425" i="34"/>
  <c r="Y425" i="34"/>
  <c r="Z425" i="34"/>
  <c r="AA425" i="34"/>
  <c r="AB425" i="34"/>
  <c r="AD425" i="34"/>
  <c r="AE425" i="34"/>
  <c r="AF425" i="34"/>
  <c r="AG425" i="34"/>
  <c r="P426" i="34"/>
  <c r="Q426" i="34"/>
  <c r="R426" i="34"/>
  <c r="S426" i="34"/>
  <c r="T426" i="34"/>
  <c r="U426" i="34"/>
  <c r="V426" i="34"/>
  <c r="W426" i="34"/>
  <c r="X426" i="34"/>
  <c r="Y426" i="34"/>
  <c r="Z426" i="34"/>
  <c r="AA426" i="34"/>
  <c r="AB426" i="34"/>
  <c r="AD426" i="34"/>
  <c r="AE426" i="34"/>
  <c r="AF426" i="34"/>
  <c r="AG426" i="34"/>
  <c r="P427" i="34"/>
  <c r="Q427" i="34"/>
  <c r="R427" i="34"/>
  <c r="S427" i="34"/>
  <c r="T427" i="34"/>
  <c r="U427" i="34"/>
  <c r="V427" i="34"/>
  <c r="W427" i="34"/>
  <c r="X427" i="34"/>
  <c r="Y427" i="34"/>
  <c r="Z427" i="34"/>
  <c r="AA427" i="34"/>
  <c r="AB427" i="34"/>
  <c r="AD427" i="34"/>
  <c r="AE427" i="34"/>
  <c r="AF427" i="34"/>
  <c r="AG427" i="34"/>
  <c r="P428" i="34"/>
  <c r="Q428" i="34"/>
  <c r="R428" i="34"/>
  <c r="S428" i="34"/>
  <c r="T428" i="34"/>
  <c r="U428" i="34"/>
  <c r="V428" i="34"/>
  <c r="W428" i="34"/>
  <c r="X428" i="34"/>
  <c r="Y428" i="34"/>
  <c r="Z428" i="34"/>
  <c r="AA428" i="34"/>
  <c r="AB428" i="34"/>
  <c r="AD428" i="34"/>
  <c r="AE428" i="34"/>
  <c r="AF428" i="34"/>
  <c r="AG428" i="34"/>
  <c r="P429" i="34"/>
  <c r="Q429" i="34"/>
  <c r="R429" i="34"/>
  <c r="S429" i="34"/>
  <c r="T429" i="34"/>
  <c r="U429" i="34"/>
  <c r="V429" i="34"/>
  <c r="W429" i="34"/>
  <c r="X429" i="34"/>
  <c r="Y429" i="34"/>
  <c r="Z429" i="34"/>
  <c r="AA429" i="34"/>
  <c r="AB429" i="34"/>
  <c r="AD429" i="34"/>
  <c r="AE429" i="34"/>
  <c r="AF429" i="34"/>
  <c r="AG429" i="34"/>
  <c r="P430" i="34"/>
  <c r="Q430" i="34"/>
  <c r="R430" i="34"/>
  <c r="S430" i="34"/>
  <c r="T430" i="34"/>
  <c r="U430" i="34"/>
  <c r="V430" i="34"/>
  <c r="W430" i="34"/>
  <c r="X430" i="34"/>
  <c r="Y430" i="34"/>
  <c r="Z430" i="34"/>
  <c r="AA430" i="34"/>
  <c r="AB430" i="34"/>
  <c r="AD430" i="34"/>
  <c r="AE430" i="34"/>
  <c r="AF430" i="34"/>
  <c r="AG430" i="34"/>
  <c r="P431" i="34"/>
  <c r="Q431" i="34"/>
  <c r="R431" i="34"/>
  <c r="S431" i="34"/>
  <c r="T431" i="34"/>
  <c r="U431" i="34"/>
  <c r="V431" i="34"/>
  <c r="W431" i="34"/>
  <c r="X431" i="34"/>
  <c r="Y431" i="34"/>
  <c r="Z431" i="34"/>
  <c r="AA431" i="34"/>
  <c r="AB431" i="34"/>
  <c r="AD431" i="34"/>
  <c r="AE431" i="34"/>
  <c r="AF431" i="34"/>
  <c r="AG431" i="34"/>
  <c r="P432" i="34"/>
  <c r="Q432" i="34"/>
  <c r="R432" i="34"/>
  <c r="S432" i="34"/>
  <c r="T432" i="34"/>
  <c r="U432" i="34"/>
  <c r="V432" i="34"/>
  <c r="W432" i="34"/>
  <c r="X432" i="34"/>
  <c r="Y432" i="34"/>
  <c r="Z432" i="34"/>
  <c r="AA432" i="34"/>
  <c r="AB432" i="34"/>
  <c r="AD432" i="34"/>
  <c r="AE432" i="34"/>
  <c r="AF432" i="34"/>
  <c r="AG432" i="34"/>
  <c r="P433" i="34"/>
  <c r="Q433" i="34"/>
  <c r="R433" i="34"/>
  <c r="S433" i="34"/>
  <c r="T433" i="34"/>
  <c r="U433" i="34"/>
  <c r="V433" i="34"/>
  <c r="W433" i="34"/>
  <c r="X433" i="34"/>
  <c r="Y433" i="34"/>
  <c r="Z433" i="34"/>
  <c r="AA433" i="34"/>
  <c r="AB433" i="34"/>
  <c r="AD433" i="34"/>
  <c r="AE433" i="34"/>
  <c r="AF433" i="34"/>
  <c r="AG433" i="34"/>
  <c r="P434" i="34"/>
  <c r="Q434" i="34"/>
  <c r="R434" i="34"/>
  <c r="S434" i="34"/>
  <c r="T434" i="34"/>
  <c r="U434" i="34"/>
  <c r="V434" i="34"/>
  <c r="W434" i="34"/>
  <c r="X434" i="34"/>
  <c r="Y434" i="34"/>
  <c r="Z434" i="34"/>
  <c r="AA434" i="34"/>
  <c r="AB434" i="34"/>
  <c r="AD434" i="34"/>
  <c r="AE434" i="34"/>
  <c r="AF434" i="34"/>
  <c r="AG434" i="34"/>
  <c r="P435" i="34"/>
  <c r="Q435" i="34"/>
  <c r="R435" i="34"/>
  <c r="S435" i="34"/>
  <c r="T435" i="34"/>
  <c r="U435" i="34"/>
  <c r="V435" i="34"/>
  <c r="W435" i="34"/>
  <c r="X435" i="34"/>
  <c r="Y435" i="34"/>
  <c r="Z435" i="34"/>
  <c r="AA435" i="34"/>
  <c r="AB435" i="34"/>
  <c r="AD435" i="34"/>
  <c r="AE435" i="34"/>
  <c r="AF435" i="34"/>
  <c r="AG435" i="34"/>
  <c r="P436" i="34"/>
  <c r="Q436" i="34"/>
  <c r="R436" i="34"/>
  <c r="S436" i="34"/>
  <c r="T436" i="34"/>
  <c r="U436" i="34"/>
  <c r="V436" i="34"/>
  <c r="W436" i="34"/>
  <c r="X436" i="34"/>
  <c r="Y436" i="34"/>
  <c r="Z436" i="34"/>
  <c r="AA436" i="34"/>
  <c r="AB436" i="34"/>
  <c r="AD436" i="34"/>
  <c r="AE436" i="34"/>
  <c r="AF436" i="34"/>
  <c r="AG436" i="34"/>
  <c r="P437" i="34"/>
  <c r="Q437" i="34"/>
  <c r="R437" i="34"/>
  <c r="S437" i="34"/>
  <c r="T437" i="34"/>
  <c r="U437" i="34"/>
  <c r="V437" i="34"/>
  <c r="W437" i="34"/>
  <c r="X437" i="34"/>
  <c r="Y437" i="34"/>
  <c r="Z437" i="34"/>
  <c r="AA437" i="34"/>
  <c r="AB437" i="34"/>
  <c r="AD437" i="34"/>
  <c r="AE437" i="34"/>
  <c r="AF437" i="34"/>
  <c r="AG437" i="34"/>
  <c r="P438" i="34"/>
  <c r="Q438" i="34"/>
  <c r="R438" i="34"/>
  <c r="S438" i="34"/>
  <c r="T438" i="34"/>
  <c r="U438" i="34"/>
  <c r="V438" i="34"/>
  <c r="W438" i="34"/>
  <c r="X438" i="34"/>
  <c r="Y438" i="34"/>
  <c r="Z438" i="34"/>
  <c r="AA438" i="34"/>
  <c r="AB438" i="34"/>
  <c r="AD438" i="34"/>
  <c r="AE438" i="34"/>
  <c r="AF438" i="34"/>
  <c r="AG438" i="34"/>
  <c r="P439" i="34"/>
  <c r="Q439" i="34"/>
  <c r="R439" i="34"/>
  <c r="S439" i="34"/>
  <c r="T439" i="34"/>
  <c r="U439" i="34"/>
  <c r="V439" i="34"/>
  <c r="W439" i="34"/>
  <c r="X439" i="34"/>
  <c r="Y439" i="34"/>
  <c r="Z439" i="34"/>
  <c r="AA439" i="34"/>
  <c r="AB439" i="34"/>
  <c r="AD439" i="34"/>
  <c r="AE439" i="34"/>
  <c r="AF439" i="34"/>
  <c r="AG439" i="34"/>
  <c r="P440" i="34"/>
  <c r="Q440" i="34"/>
  <c r="R440" i="34"/>
  <c r="S440" i="34"/>
  <c r="T440" i="34"/>
  <c r="U440" i="34"/>
  <c r="V440" i="34"/>
  <c r="W440" i="34"/>
  <c r="X440" i="34"/>
  <c r="Y440" i="34"/>
  <c r="Z440" i="34"/>
  <c r="AA440" i="34"/>
  <c r="AB440" i="34"/>
  <c r="AD440" i="34"/>
  <c r="AE440" i="34"/>
  <c r="AF440" i="34"/>
  <c r="AG440" i="34"/>
  <c r="P441" i="34"/>
  <c r="Q441" i="34"/>
  <c r="R441" i="34"/>
  <c r="S441" i="34"/>
  <c r="T441" i="34"/>
  <c r="U441" i="34"/>
  <c r="V441" i="34"/>
  <c r="W441" i="34"/>
  <c r="X441" i="34"/>
  <c r="Y441" i="34"/>
  <c r="Z441" i="34"/>
  <c r="AA441" i="34"/>
  <c r="AB441" i="34"/>
  <c r="AD441" i="34"/>
  <c r="AE441" i="34"/>
  <c r="AF441" i="34"/>
  <c r="AG441" i="34"/>
  <c r="P442" i="34"/>
  <c r="Q442" i="34"/>
  <c r="R442" i="34"/>
  <c r="S442" i="34"/>
  <c r="T442" i="34"/>
  <c r="U442" i="34"/>
  <c r="V442" i="34"/>
  <c r="W442" i="34"/>
  <c r="X442" i="34"/>
  <c r="Y442" i="34"/>
  <c r="Z442" i="34"/>
  <c r="AA442" i="34"/>
  <c r="AB442" i="34"/>
  <c r="AD442" i="34"/>
  <c r="AE442" i="34"/>
  <c r="AF442" i="34"/>
  <c r="AG442" i="34"/>
  <c r="P443" i="34"/>
  <c r="Q443" i="34"/>
  <c r="R443" i="34"/>
  <c r="S443" i="34"/>
  <c r="T443" i="34"/>
  <c r="U443" i="34"/>
  <c r="V443" i="34"/>
  <c r="W443" i="34"/>
  <c r="X443" i="34"/>
  <c r="Y443" i="34"/>
  <c r="Z443" i="34"/>
  <c r="AA443" i="34"/>
  <c r="AB443" i="34"/>
  <c r="AD443" i="34"/>
  <c r="AE443" i="34"/>
  <c r="AF443" i="34"/>
  <c r="AG443" i="34"/>
  <c r="P444" i="34"/>
  <c r="Q444" i="34"/>
  <c r="R444" i="34"/>
  <c r="S444" i="34"/>
  <c r="T444" i="34"/>
  <c r="U444" i="34"/>
  <c r="V444" i="34"/>
  <c r="W444" i="34"/>
  <c r="X444" i="34"/>
  <c r="Y444" i="34"/>
  <c r="Z444" i="34"/>
  <c r="AA444" i="34"/>
  <c r="AB444" i="34"/>
  <c r="AD444" i="34"/>
  <c r="AE444" i="34"/>
  <c r="AF444" i="34"/>
  <c r="AG444" i="34"/>
  <c r="P445" i="34"/>
  <c r="Q445" i="34"/>
  <c r="R445" i="34"/>
  <c r="S445" i="34"/>
  <c r="T445" i="34"/>
  <c r="U445" i="34"/>
  <c r="V445" i="34"/>
  <c r="W445" i="34"/>
  <c r="X445" i="34"/>
  <c r="Y445" i="34"/>
  <c r="Z445" i="34"/>
  <c r="AA445" i="34"/>
  <c r="AB445" i="34"/>
  <c r="AD445" i="34"/>
  <c r="AE445" i="34"/>
  <c r="AF445" i="34"/>
  <c r="AG445" i="34"/>
  <c r="P446" i="34"/>
  <c r="Q446" i="34"/>
  <c r="R446" i="34"/>
  <c r="S446" i="34"/>
  <c r="T446" i="34"/>
  <c r="U446" i="34"/>
  <c r="V446" i="34"/>
  <c r="W446" i="34"/>
  <c r="X446" i="34"/>
  <c r="Y446" i="34"/>
  <c r="Z446" i="34"/>
  <c r="AA446" i="34"/>
  <c r="AB446" i="34"/>
  <c r="AD446" i="34"/>
  <c r="AE446" i="34"/>
  <c r="AF446" i="34"/>
  <c r="AG446" i="34"/>
  <c r="P447" i="34"/>
  <c r="Q447" i="34"/>
  <c r="R447" i="34"/>
  <c r="S447" i="34"/>
  <c r="T447" i="34"/>
  <c r="U447" i="34"/>
  <c r="V447" i="34"/>
  <c r="W447" i="34"/>
  <c r="X447" i="34"/>
  <c r="Y447" i="34"/>
  <c r="Z447" i="34"/>
  <c r="AA447" i="34"/>
  <c r="AB447" i="34"/>
  <c r="AD447" i="34"/>
  <c r="AE447" i="34"/>
  <c r="AF447" i="34"/>
  <c r="AG447" i="34"/>
  <c r="P448" i="34"/>
  <c r="Q448" i="34"/>
  <c r="R448" i="34"/>
  <c r="S448" i="34"/>
  <c r="T448" i="34"/>
  <c r="U448" i="34"/>
  <c r="V448" i="34"/>
  <c r="W448" i="34"/>
  <c r="X448" i="34"/>
  <c r="Y448" i="34"/>
  <c r="Z448" i="34"/>
  <c r="AA448" i="34"/>
  <c r="AB448" i="34"/>
  <c r="AD448" i="34"/>
  <c r="AE448" i="34"/>
  <c r="AF448" i="34"/>
  <c r="AG448" i="34"/>
  <c r="P449" i="34"/>
  <c r="Q449" i="34"/>
  <c r="R449" i="34"/>
  <c r="S449" i="34"/>
  <c r="T449" i="34"/>
  <c r="U449" i="34"/>
  <c r="V449" i="34"/>
  <c r="W449" i="34"/>
  <c r="X449" i="34"/>
  <c r="Y449" i="34"/>
  <c r="Z449" i="34"/>
  <c r="AA449" i="34"/>
  <c r="AB449" i="34"/>
  <c r="AD449" i="34"/>
  <c r="AE449" i="34"/>
  <c r="AF449" i="34"/>
  <c r="AG449" i="34"/>
  <c r="P450" i="34"/>
  <c r="Q450" i="34"/>
  <c r="R450" i="34"/>
  <c r="S450" i="34"/>
  <c r="T450" i="34"/>
  <c r="U450" i="34"/>
  <c r="V450" i="34"/>
  <c r="W450" i="34"/>
  <c r="X450" i="34"/>
  <c r="Y450" i="34"/>
  <c r="Z450" i="34"/>
  <c r="AA450" i="34"/>
  <c r="AB450" i="34"/>
  <c r="AD450" i="34"/>
  <c r="AE450" i="34"/>
  <c r="AF450" i="34"/>
  <c r="AG450" i="34"/>
  <c r="P451" i="34"/>
  <c r="Q451" i="34"/>
  <c r="R451" i="34"/>
  <c r="S451" i="34"/>
  <c r="T451" i="34"/>
  <c r="U451" i="34"/>
  <c r="V451" i="34"/>
  <c r="W451" i="34"/>
  <c r="X451" i="34"/>
  <c r="Y451" i="34"/>
  <c r="Z451" i="34"/>
  <c r="AA451" i="34"/>
  <c r="AB451" i="34"/>
  <c r="AD451" i="34"/>
  <c r="AE451" i="34"/>
  <c r="AF451" i="34"/>
  <c r="AG451" i="34"/>
  <c r="P452" i="34"/>
  <c r="Q452" i="34"/>
  <c r="R452" i="34"/>
  <c r="S452" i="34"/>
  <c r="T452" i="34"/>
  <c r="U452" i="34"/>
  <c r="V452" i="34"/>
  <c r="W452" i="34"/>
  <c r="X452" i="34"/>
  <c r="Y452" i="34"/>
  <c r="Z452" i="34"/>
  <c r="AA452" i="34"/>
  <c r="AB452" i="34"/>
  <c r="AD452" i="34"/>
  <c r="AE452" i="34"/>
  <c r="AF452" i="34"/>
  <c r="AG452" i="34"/>
  <c r="P453" i="34"/>
  <c r="Q453" i="34"/>
  <c r="R453" i="34"/>
  <c r="S453" i="34"/>
  <c r="T453" i="34"/>
  <c r="U453" i="34"/>
  <c r="V453" i="34"/>
  <c r="W453" i="34"/>
  <c r="X453" i="34"/>
  <c r="Y453" i="34"/>
  <c r="Z453" i="34"/>
  <c r="AA453" i="34"/>
  <c r="AB453" i="34"/>
  <c r="AD453" i="34"/>
  <c r="AE453" i="34"/>
  <c r="AF453" i="34"/>
  <c r="AG453" i="34"/>
  <c r="P454" i="34"/>
  <c r="Q454" i="34"/>
  <c r="R454" i="34"/>
  <c r="S454" i="34"/>
  <c r="T454" i="34"/>
  <c r="U454" i="34"/>
  <c r="V454" i="34"/>
  <c r="W454" i="34"/>
  <c r="X454" i="34"/>
  <c r="Y454" i="34"/>
  <c r="Z454" i="34"/>
  <c r="AA454" i="34"/>
  <c r="AB454" i="34"/>
  <c r="AD454" i="34"/>
  <c r="AE454" i="34"/>
  <c r="AF454" i="34"/>
  <c r="AG454" i="34"/>
  <c r="P455" i="34"/>
  <c r="Q455" i="34"/>
  <c r="R455" i="34"/>
  <c r="S455" i="34"/>
  <c r="T455" i="34"/>
  <c r="U455" i="34"/>
  <c r="V455" i="34"/>
  <c r="W455" i="34"/>
  <c r="X455" i="34"/>
  <c r="Y455" i="34"/>
  <c r="Z455" i="34"/>
  <c r="AA455" i="34"/>
  <c r="AB455" i="34"/>
  <c r="AD455" i="34"/>
  <c r="AE455" i="34"/>
  <c r="AF455" i="34"/>
  <c r="AG455" i="34"/>
  <c r="P456" i="34"/>
  <c r="Q456" i="34"/>
  <c r="R456" i="34"/>
  <c r="S456" i="34"/>
  <c r="T456" i="34"/>
  <c r="U456" i="34"/>
  <c r="V456" i="34"/>
  <c r="W456" i="34"/>
  <c r="X456" i="34"/>
  <c r="Y456" i="34"/>
  <c r="Z456" i="34"/>
  <c r="AA456" i="34"/>
  <c r="AB456" i="34"/>
  <c r="AD456" i="34"/>
  <c r="AE456" i="34"/>
  <c r="AF456" i="34"/>
  <c r="AG456" i="34"/>
  <c r="P457" i="34"/>
  <c r="Q457" i="34"/>
  <c r="R457" i="34"/>
  <c r="S457" i="34"/>
  <c r="T457" i="34"/>
  <c r="U457" i="34"/>
  <c r="V457" i="34"/>
  <c r="W457" i="34"/>
  <c r="X457" i="34"/>
  <c r="Y457" i="34"/>
  <c r="Z457" i="34"/>
  <c r="AA457" i="34"/>
  <c r="AB457" i="34"/>
  <c r="AD457" i="34"/>
  <c r="AE457" i="34"/>
  <c r="AF457" i="34"/>
  <c r="AG457" i="34"/>
  <c r="P458" i="34"/>
  <c r="Q458" i="34"/>
  <c r="R458" i="34"/>
  <c r="S458" i="34"/>
  <c r="T458" i="34"/>
  <c r="U458" i="34"/>
  <c r="V458" i="34"/>
  <c r="W458" i="34"/>
  <c r="X458" i="34"/>
  <c r="Y458" i="34"/>
  <c r="Z458" i="34"/>
  <c r="AA458" i="34"/>
  <c r="AB458" i="34"/>
  <c r="AD458" i="34"/>
  <c r="AE458" i="34"/>
  <c r="AF458" i="34"/>
  <c r="AG458" i="34"/>
  <c r="P459" i="34"/>
  <c r="Q459" i="34"/>
  <c r="R459" i="34"/>
  <c r="S459" i="34"/>
  <c r="T459" i="34"/>
  <c r="U459" i="34"/>
  <c r="V459" i="34"/>
  <c r="W459" i="34"/>
  <c r="X459" i="34"/>
  <c r="Y459" i="34"/>
  <c r="Z459" i="34"/>
  <c r="AA459" i="34"/>
  <c r="AB459" i="34"/>
  <c r="AD459" i="34"/>
  <c r="AE459" i="34"/>
  <c r="AF459" i="34"/>
  <c r="AG459" i="34"/>
  <c r="P460" i="34"/>
  <c r="Q460" i="34"/>
  <c r="R460" i="34"/>
  <c r="S460" i="34"/>
  <c r="T460" i="34"/>
  <c r="U460" i="34"/>
  <c r="V460" i="34"/>
  <c r="W460" i="34"/>
  <c r="X460" i="34"/>
  <c r="Y460" i="34"/>
  <c r="Z460" i="34"/>
  <c r="AA460" i="34"/>
  <c r="AB460" i="34"/>
  <c r="AD460" i="34"/>
  <c r="AE460" i="34"/>
  <c r="AF460" i="34"/>
  <c r="AG460" i="34"/>
  <c r="P461" i="34"/>
  <c r="Q461" i="34"/>
  <c r="R461" i="34"/>
  <c r="S461" i="34"/>
  <c r="T461" i="34"/>
  <c r="U461" i="34"/>
  <c r="V461" i="34"/>
  <c r="W461" i="34"/>
  <c r="X461" i="34"/>
  <c r="Y461" i="34"/>
  <c r="Z461" i="34"/>
  <c r="AA461" i="34"/>
  <c r="AB461" i="34"/>
  <c r="AD461" i="34"/>
  <c r="AE461" i="34"/>
  <c r="AF461" i="34"/>
  <c r="AG461" i="34"/>
  <c r="P462" i="34"/>
  <c r="Q462" i="34"/>
  <c r="R462" i="34"/>
  <c r="S462" i="34"/>
  <c r="T462" i="34"/>
  <c r="U462" i="34"/>
  <c r="V462" i="34"/>
  <c r="W462" i="34"/>
  <c r="X462" i="34"/>
  <c r="Y462" i="34"/>
  <c r="Z462" i="34"/>
  <c r="AA462" i="34"/>
  <c r="AB462" i="34"/>
  <c r="AD462" i="34"/>
  <c r="AE462" i="34"/>
  <c r="AF462" i="34"/>
  <c r="AG462" i="34"/>
  <c r="P463" i="34"/>
  <c r="Q463" i="34"/>
  <c r="R463" i="34"/>
  <c r="S463" i="34"/>
  <c r="T463" i="34"/>
  <c r="U463" i="34"/>
  <c r="V463" i="34"/>
  <c r="W463" i="34"/>
  <c r="X463" i="34"/>
  <c r="Y463" i="34"/>
  <c r="Z463" i="34"/>
  <c r="AA463" i="34"/>
  <c r="AB463" i="34"/>
  <c r="AD463" i="34"/>
  <c r="AE463" i="34"/>
  <c r="AF463" i="34"/>
  <c r="AG463" i="34"/>
  <c r="P464" i="34"/>
  <c r="Q464" i="34"/>
  <c r="R464" i="34"/>
  <c r="S464" i="34"/>
  <c r="T464" i="34"/>
  <c r="U464" i="34"/>
  <c r="V464" i="34"/>
  <c r="W464" i="34"/>
  <c r="X464" i="34"/>
  <c r="Y464" i="34"/>
  <c r="Z464" i="34"/>
  <c r="AA464" i="34"/>
  <c r="AB464" i="34"/>
  <c r="AD464" i="34"/>
  <c r="AE464" i="34"/>
  <c r="AF464" i="34"/>
  <c r="AG464" i="34"/>
  <c r="P465" i="34"/>
  <c r="Q465" i="34"/>
  <c r="R465" i="34"/>
  <c r="S465" i="34"/>
  <c r="T465" i="34"/>
  <c r="U465" i="34"/>
  <c r="V465" i="34"/>
  <c r="W465" i="34"/>
  <c r="X465" i="34"/>
  <c r="Y465" i="34"/>
  <c r="Z465" i="34"/>
  <c r="AA465" i="34"/>
  <c r="AB465" i="34"/>
  <c r="AD465" i="34"/>
  <c r="AE465" i="34"/>
  <c r="AF465" i="34"/>
  <c r="AG465" i="34"/>
  <c r="P466" i="34"/>
  <c r="Q466" i="34"/>
  <c r="R466" i="34"/>
  <c r="S466" i="34"/>
  <c r="T466" i="34"/>
  <c r="U466" i="34"/>
  <c r="V466" i="34"/>
  <c r="W466" i="34"/>
  <c r="X466" i="34"/>
  <c r="Y466" i="34"/>
  <c r="Z466" i="34"/>
  <c r="AA466" i="34"/>
  <c r="AB466" i="34"/>
  <c r="AD466" i="34"/>
  <c r="AE466" i="34"/>
  <c r="AF466" i="34"/>
  <c r="AG466" i="34"/>
  <c r="P467" i="34"/>
  <c r="Q467" i="34"/>
  <c r="R467" i="34"/>
  <c r="S467" i="34"/>
  <c r="T467" i="34"/>
  <c r="U467" i="34"/>
  <c r="V467" i="34"/>
  <c r="W467" i="34"/>
  <c r="X467" i="34"/>
  <c r="Y467" i="34"/>
  <c r="Z467" i="34"/>
  <c r="AA467" i="34"/>
  <c r="AB467" i="34"/>
  <c r="AD467" i="34"/>
  <c r="AE467" i="34"/>
  <c r="AF467" i="34"/>
  <c r="AG467" i="34"/>
  <c r="P468" i="34"/>
  <c r="Q468" i="34"/>
  <c r="R468" i="34"/>
  <c r="S468" i="34"/>
  <c r="T468" i="34"/>
  <c r="U468" i="34"/>
  <c r="V468" i="34"/>
  <c r="W468" i="34"/>
  <c r="X468" i="34"/>
  <c r="Y468" i="34"/>
  <c r="Z468" i="34"/>
  <c r="AA468" i="34"/>
  <c r="AB468" i="34"/>
  <c r="AD468" i="34"/>
  <c r="AE468" i="34"/>
  <c r="AF468" i="34"/>
  <c r="AG468" i="34"/>
  <c r="P469" i="34"/>
  <c r="Q469" i="34"/>
  <c r="R469" i="34"/>
  <c r="S469" i="34"/>
  <c r="T469" i="34"/>
  <c r="U469" i="34"/>
  <c r="V469" i="34"/>
  <c r="W469" i="34"/>
  <c r="X469" i="34"/>
  <c r="Y469" i="34"/>
  <c r="Z469" i="34"/>
  <c r="AA469" i="34"/>
  <c r="AB469" i="34"/>
  <c r="AD469" i="34"/>
  <c r="AE469" i="34"/>
  <c r="AF469" i="34"/>
  <c r="AG469" i="34"/>
  <c r="P470" i="34"/>
  <c r="Q470" i="34"/>
  <c r="R470" i="34"/>
  <c r="S470" i="34"/>
  <c r="T470" i="34"/>
  <c r="U470" i="34"/>
  <c r="V470" i="34"/>
  <c r="W470" i="34"/>
  <c r="X470" i="34"/>
  <c r="Y470" i="34"/>
  <c r="Z470" i="34"/>
  <c r="AA470" i="34"/>
  <c r="AB470" i="34"/>
  <c r="AD470" i="34"/>
  <c r="AE470" i="34"/>
  <c r="AF470" i="34"/>
  <c r="AG470" i="34"/>
  <c r="P471" i="34"/>
  <c r="Q471" i="34"/>
  <c r="R471" i="34"/>
  <c r="S471" i="34"/>
  <c r="T471" i="34"/>
  <c r="U471" i="34"/>
  <c r="V471" i="34"/>
  <c r="W471" i="34"/>
  <c r="X471" i="34"/>
  <c r="Y471" i="34"/>
  <c r="Z471" i="34"/>
  <c r="AA471" i="34"/>
  <c r="AB471" i="34"/>
  <c r="AD471" i="34"/>
  <c r="AE471" i="34"/>
  <c r="AF471" i="34"/>
  <c r="AG471" i="34"/>
  <c r="P472" i="34"/>
  <c r="Q472" i="34"/>
  <c r="R472" i="34"/>
  <c r="S472" i="34"/>
  <c r="T472" i="34"/>
  <c r="U472" i="34"/>
  <c r="V472" i="34"/>
  <c r="W472" i="34"/>
  <c r="X472" i="34"/>
  <c r="Y472" i="34"/>
  <c r="Z472" i="34"/>
  <c r="AA472" i="34"/>
  <c r="AB472" i="34"/>
  <c r="AD472" i="34"/>
  <c r="AE472" i="34"/>
  <c r="AF472" i="34"/>
  <c r="AG472" i="34"/>
  <c r="P473" i="34"/>
  <c r="Q473" i="34"/>
  <c r="R473" i="34"/>
  <c r="S473" i="34"/>
  <c r="T473" i="34"/>
  <c r="U473" i="34"/>
  <c r="V473" i="34"/>
  <c r="W473" i="34"/>
  <c r="X473" i="34"/>
  <c r="Y473" i="34"/>
  <c r="Z473" i="34"/>
  <c r="AA473" i="34"/>
  <c r="AB473" i="34"/>
  <c r="AD473" i="34"/>
  <c r="AE473" i="34"/>
  <c r="AF473" i="34"/>
  <c r="AG473" i="34"/>
  <c r="P474" i="34"/>
  <c r="Q474" i="34"/>
  <c r="R474" i="34"/>
  <c r="S474" i="34"/>
  <c r="T474" i="34"/>
  <c r="U474" i="34"/>
  <c r="V474" i="34"/>
  <c r="W474" i="34"/>
  <c r="X474" i="34"/>
  <c r="Y474" i="34"/>
  <c r="Z474" i="34"/>
  <c r="AA474" i="34"/>
  <c r="AB474" i="34"/>
  <c r="AD474" i="34"/>
  <c r="AE474" i="34"/>
  <c r="AF474" i="34"/>
  <c r="AG474" i="34"/>
  <c r="P475" i="34"/>
  <c r="Q475" i="34"/>
  <c r="R475" i="34"/>
  <c r="S475" i="34"/>
  <c r="T475" i="34"/>
  <c r="U475" i="34"/>
  <c r="V475" i="34"/>
  <c r="W475" i="34"/>
  <c r="X475" i="34"/>
  <c r="Y475" i="34"/>
  <c r="Z475" i="34"/>
  <c r="AA475" i="34"/>
  <c r="AB475" i="34"/>
  <c r="AD475" i="34"/>
  <c r="AE475" i="34"/>
  <c r="AF475" i="34"/>
  <c r="AG475" i="34"/>
  <c r="P476" i="34"/>
  <c r="Q476" i="34"/>
  <c r="R476" i="34"/>
  <c r="S476" i="34"/>
  <c r="T476" i="34"/>
  <c r="U476" i="34"/>
  <c r="V476" i="34"/>
  <c r="W476" i="34"/>
  <c r="X476" i="34"/>
  <c r="Y476" i="34"/>
  <c r="Z476" i="34"/>
  <c r="AA476" i="34"/>
  <c r="AB476" i="34"/>
  <c r="AD476" i="34"/>
  <c r="AE476" i="34"/>
  <c r="AF476" i="34"/>
  <c r="AG476" i="34"/>
  <c r="P477" i="34"/>
  <c r="Q477" i="34"/>
  <c r="R477" i="34"/>
  <c r="S477" i="34"/>
  <c r="T477" i="34"/>
  <c r="U477" i="34"/>
  <c r="V477" i="34"/>
  <c r="W477" i="34"/>
  <c r="X477" i="34"/>
  <c r="Y477" i="34"/>
  <c r="Z477" i="34"/>
  <c r="AA477" i="34"/>
  <c r="AB477" i="34"/>
  <c r="AD477" i="34"/>
  <c r="AE477" i="34"/>
  <c r="AF477" i="34"/>
  <c r="AG477" i="34"/>
  <c r="P478" i="34"/>
  <c r="Q478" i="34"/>
  <c r="R478" i="34"/>
  <c r="S478" i="34"/>
  <c r="T478" i="34"/>
  <c r="U478" i="34"/>
  <c r="V478" i="34"/>
  <c r="W478" i="34"/>
  <c r="X478" i="34"/>
  <c r="Y478" i="34"/>
  <c r="Z478" i="34"/>
  <c r="AA478" i="34"/>
  <c r="AB478" i="34"/>
  <c r="AD478" i="34"/>
  <c r="AE478" i="34"/>
  <c r="AF478" i="34"/>
  <c r="AG478" i="34"/>
  <c r="P479" i="34"/>
  <c r="Q479" i="34"/>
  <c r="R479" i="34"/>
  <c r="S479" i="34"/>
  <c r="T479" i="34"/>
  <c r="U479" i="34"/>
  <c r="V479" i="34"/>
  <c r="W479" i="34"/>
  <c r="X479" i="34"/>
  <c r="Y479" i="34"/>
  <c r="Z479" i="34"/>
  <c r="AA479" i="34"/>
  <c r="AB479" i="34"/>
  <c r="AD479" i="34"/>
  <c r="AE479" i="34"/>
  <c r="AF479" i="34"/>
  <c r="AG479" i="34"/>
  <c r="P480" i="34"/>
  <c r="Q480" i="34"/>
  <c r="R480" i="34"/>
  <c r="S480" i="34"/>
  <c r="T480" i="34"/>
  <c r="U480" i="34"/>
  <c r="V480" i="34"/>
  <c r="W480" i="34"/>
  <c r="X480" i="34"/>
  <c r="Y480" i="34"/>
  <c r="Z480" i="34"/>
  <c r="AA480" i="34"/>
  <c r="AB480" i="34"/>
  <c r="AD480" i="34"/>
  <c r="AE480" i="34"/>
  <c r="AF480" i="34"/>
  <c r="AG480" i="34"/>
  <c r="P481" i="34"/>
  <c r="Q481" i="34"/>
  <c r="R481" i="34"/>
  <c r="S481" i="34"/>
  <c r="T481" i="34"/>
  <c r="U481" i="34"/>
  <c r="V481" i="34"/>
  <c r="W481" i="34"/>
  <c r="X481" i="34"/>
  <c r="Y481" i="34"/>
  <c r="Z481" i="34"/>
  <c r="AA481" i="34"/>
  <c r="AB481" i="34"/>
  <c r="AD481" i="34"/>
  <c r="AE481" i="34"/>
  <c r="AF481" i="34"/>
  <c r="AG481" i="34"/>
  <c r="P482" i="34"/>
  <c r="Q482" i="34"/>
  <c r="R482" i="34"/>
  <c r="S482" i="34"/>
  <c r="T482" i="34"/>
  <c r="U482" i="34"/>
  <c r="V482" i="34"/>
  <c r="W482" i="34"/>
  <c r="X482" i="34"/>
  <c r="Y482" i="34"/>
  <c r="Z482" i="34"/>
  <c r="AA482" i="34"/>
  <c r="AB482" i="34"/>
  <c r="AD482" i="34"/>
  <c r="AE482" i="34"/>
  <c r="AF482" i="34"/>
  <c r="AG482" i="34"/>
  <c r="P483" i="34"/>
  <c r="Q483" i="34"/>
  <c r="R483" i="34"/>
  <c r="S483" i="34"/>
  <c r="T483" i="34"/>
  <c r="U483" i="34"/>
  <c r="V483" i="34"/>
  <c r="W483" i="34"/>
  <c r="X483" i="34"/>
  <c r="Y483" i="34"/>
  <c r="Z483" i="34"/>
  <c r="AA483" i="34"/>
  <c r="AB483" i="34"/>
  <c r="AD483" i="34"/>
  <c r="AE483" i="34"/>
  <c r="AF483" i="34"/>
  <c r="AG483" i="34"/>
  <c r="P484" i="34"/>
  <c r="Q484" i="34"/>
  <c r="R484" i="34"/>
  <c r="S484" i="34"/>
  <c r="T484" i="34"/>
  <c r="U484" i="34"/>
  <c r="V484" i="34"/>
  <c r="W484" i="34"/>
  <c r="X484" i="34"/>
  <c r="Y484" i="34"/>
  <c r="Z484" i="34"/>
  <c r="AA484" i="34"/>
  <c r="AB484" i="34"/>
  <c r="AD484" i="34"/>
  <c r="AE484" i="34"/>
  <c r="AF484" i="34"/>
  <c r="AG484" i="34"/>
  <c r="P485" i="34"/>
  <c r="Q485" i="34"/>
  <c r="R485" i="34"/>
  <c r="S485" i="34"/>
  <c r="T485" i="34"/>
  <c r="U485" i="34"/>
  <c r="V485" i="34"/>
  <c r="W485" i="34"/>
  <c r="X485" i="34"/>
  <c r="Y485" i="34"/>
  <c r="Z485" i="34"/>
  <c r="AA485" i="34"/>
  <c r="AB485" i="34"/>
  <c r="AD485" i="34"/>
  <c r="AE485" i="34"/>
  <c r="AF485" i="34"/>
  <c r="AG485" i="34"/>
  <c r="P486" i="34"/>
  <c r="Q486" i="34"/>
  <c r="R486" i="34"/>
  <c r="S486" i="34"/>
  <c r="T486" i="34"/>
  <c r="U486" i="34"/>
  <c r="V486" i="34"/>
  <c r="W486" i="34"/>
  <c r="X486" i="34"/>
  <c r="Y486" i="34"/>
  <c r="Z486" i="34"/>
  <c r="AA486" i="34"/>
  <c r="AB486" i="34"/>
  <c r="AD486" i="34"/>
  <c r="AE486" i="34"/>
  <c r="AF486" i="34"/>
  <c r="AG486" i="34"/>
  <c r="P487" i="34"/>
  <c r="Q487" i="34"/>
  <c r="R487" i="34"/>
  <c r="S487" i="34"/>
  <c r="T487" i="34"/>
  <c r="U487" i="34"/>
  <c r="V487" i="34"/>
  <c r="W487" i="34"/>
  <c r="X487" i="34"/>
  <c r="Y487" i="34"/>
  <c r="Z487" i="34"/>
  <c r="AA487" i="34"/>
  <c r="AB487" i="34"/>
  <c r="AD487" i="34"/>
  <c r="AE487" i="34"/>
  <c r="AF487" i="34"/>
  <c r="AG487" i="34"/>
  <c r="P488" i="34"/>
  <c r="Q488" i="34"/>
  <c r="R488" i="34"/>
  <c r="S488" i="34"/>
  <c r="T488" i="34"/>
  <c r="U488" i="34"/>
  <c r="V488" i="34"/>
  <c r="W488" i="34"/>
  <c r="X488" i="34"/>
  <c r="Y488" i="34"/>
  <c r="Z488" i="34"/>
  <c r="AA488" i="34"/>
  <c r="AB488" i="34"/>
  <c r="AD488" i="34"/>
  <c r="AE488" i="34"/>
  <c r="AF488" i="34"/>
  <c r="AG488" i="34"/>
  <c r="P489" i="34"/>
  <c r="Q489" i="34"/>
  <c r="R489" i="34"/>
  <c r="S489" i="34"/>
  <c r="T489" i="34"/>
  <c r="U489" i="34"/>
  <c r="V489" i="34"/>
  <c r="W489" i="34"/>
  <c r="X489" i="34"/>
  <c r="Y489" i="34"/>
  <c r="Z489" i="34"/>
  <c r="AA489" i="34"/>
  <c r="AB489" i="34"/>
  <c r="AD489" i="34"/>
  <c r="AE489" i="34"/>
  <c r="AF489" i="34"/>
  <c r="AG489" i="34"/>
  <c r="P490" i="34"/>
  <c r="Q490" i="34"/>
  <c r="R490" i="34"/>
  <c r="S490" i="34"/>
  <c r="T490" i="34"/>
  <c r="U490" i="34"/>
  <c r="V490" i="34"/>
  <c r="W490" i="34"/>
  <c r="X490" i="34"/>
  <c r="Y490" i="34"/>
  <c r="Z490" i="34"/>
  <c r="AA490" i="34"/>
  <c r="AB490" i="34"/>
  <c r="AD490" i="34"/>
  <c r="AE490" i="34"/>
  <c r="AF490" i="34"/>
  <c r="AG490" i="34"/>
  <c r="P491" i="34"/>
  <c r="Q491" i="34"/>
  <c r="R491" i="34"/>
  <c r="S491" i="34"/>
  <c r="T491" i="34"/>
  <c r="U491" i="34"/>
  <c r="V491" i="34"/>
  <c r="W491" i="34"/>
  <c r="X491" i="34"/>
  <c r="Y491" i="34"/>
  <c r="Z491" i="34"/>
  <c r="AA491" i="34"/>
  <c r="AB491" i="34"/>
  <c r="AD491" i="34"/>
  <c r="AE491" i="34"/>
  <c r="AF491" i="34"/>
  <c r="AG491" i="34"/>
  <c r="P492" i="34"/>
  <c r="Q492" i="34"/>
  <c r="R492" i="34"/>
  <c r="S492" i="34"/>
  <c r="T492" i="34"/>
  <c r="U492" i="34"/>
  <c r="V492" i="34"/>
  <c r="W492" i="34"/>
  <c r="X492" i="34"/>
  <c r="Y492" i="34"/>
  <c r="Z492" i="34"/>
  <c r="AA492" i="34"/>
  <c r="AB492" i="34"/>
  <c r="AD492" i="34"/>
  <c r="AE492" i="34"/>
  <c r="AF492" i="34"/>
  <c r="AG492" i="34"/>
  <c r="P493" i="34"/>
  <c r="Q493" i="34"/>
  <c r="R493" i="34"/>
  <c r="S493" i="34"/>
  <c r="T493" i="34"/>
  <c r="U493" i="34"/>
  <c r="V493" i="34"/>
  <c r="W493" i="34"/>
  <c r="X493" i="34"/>
  <c r="Y493" i="34"/>
  <c r="Z493" i="34"/>
  <c r="AA493" i="34"/>
  <c r="AB493" i="34"/>
  <c r="AD493" i="34"/>
  <c r="AE493" i="34"/>
  <c r="AF493" i="34"/>
  <c r="AG493" i="34"/>
  <c r="P494" i="34"/>
  <c r="Q494" i="34"/>
  <c r="R494" i="34"/>
  <c r="S494" i="34"/>
  <c r="T494" i="34"/>
  <c r="U494" i="34"/>
  <c r="V494" i="34"/>
  <c r="W494" i="34"/>
  <c r="X494" i="34"/>
  <c r="Y494" i="34"/>
  <c r="Z494" i="34"/>
  <c r="AA494" i="34"/>
  <c r="AB494" i="34"/>
  <c r="AD494" i="34"/>
  <c r="AE494" i="34"/>
  <c r="AF494" i="34"/>
  <c r="AG494" i="34"/>
  <c r="P495" i="34"/>
  <c r="Q495" i="34"/>
  <c r="R495" i="34"/>
  <c r="S495" i="34"/>
  <c r="T495" i="34"/>
  <c r="U495" i="34"/>
  <c r="V495" i="34"/>
  <c r="W495" i="34"/>
  <c r="X495" i="34"/>
  <c r="Y495" i="34"/>
  <c r="Z495" i="34"/>
  <c r="AA495" i="34"/>
  <c r="AB495" i="34"/>
  <c r="AD495" i="34"/>
  <c r="AE495" i="34"/>
  <c r="AF495" i="34"/>
  <c r="AG495" i="34"/>
  <c r="P496" i="34"/>
  <c r="Q496" i="34"/>
  <c r="R496" i="34"/>
  <c r="S496" i="34"/>
  <c r="T496" i="34"/>
  <c r="U496" i="34"/>
  <c r="V496" i="34"/>
  <c r="W496" i="34"/>
  <c r="X496" i="34"/>
  <c r="Y496" i="34"/>
  <c r="Z496" i="34"/>
  <c r="AA496" i="34"/>
  <c r="AB496" i="34"/>
  <c r="AD496" i="34"/>
  <c r="AE496" i="34"/>
  <c r="AF496" i="34"/>
  <c r="AG496" i="34"/>
  <c r="P497" i="34"/>
  <c r="Q497" i="34"/>
  <c r="R497" i="34"/>
  <c r="S497" i="34"/>
  <c r="T497" i="34"/>
  <c r="U497" i="34"/>
  <c r="V497" i="34"/>
  <c r="W497" i="34"/>
  <c r="X497" i="34"/>
  <c r="Y497" i="34"/>
  <c r="Z497" i="34"/>
  <c r="AA497" i="34"/>
  <c r="AB497" i="34"/>
  <c r="AD497" i="34"/>
  <c r="AE497" i="34"/>
  <c r="AF497" i="34"/>
  <c r="AG497" i="34"/>
  <c r="P498" i="34"/>
  <c r="Q498" i="34"/>
  <c r="R498" i="34"/>
  <c r="S498" i="34"/>
  <c r="T498" i="34"/>
  <c r="U498" i="34"/>
  <c r="V498" i="34"/>
  <c r="W498" i="34"/>
  <c r="X498" i="34"/>
  <c r="Y498" i="34"/>
  <c r="Z498" i="34"/>
  <c r="AA498" i="34"/>
  <c r="AB498" i="34"/>
  <c r="AD498" i="34"/>
  <c r="AE498" i="34"/>
  <c r="AF498" i="34"/>
  <c r="AG498" i="34"/>
  <c r="P499" i="34"/>
  <c r="Q499" i="34"/>
  <c r="R499" i="34"/>
  <c r="S499" i="34"/>
  <c r="T499" i="34"/>
  <c r="U499" i="34"/>
  <c r="V499" i="34"/>
  <c r="W499" i="34"/>
  <c r="X499" i="34"/>
  <c r="Y499" i="34"/>
  <c r="Z499" i="34"/>
  <c r="AA499" i="34"/>
  <c r="AB499" i="34"/>
  <c r="AD499" i="34"/>
  <c r="AE499" i="34"/>
  <c r="AF499" i="34"/>
  <c r="AG499" i="34"/>
  <c r="P500" i="34"/>
  <c r="Q500" i="34"/>
  <c r="R500" i="34"/>
  <c r="S500" i="34"/>
  <c r="T500" i="34"/>
  <c r="U500" i="34"/>
  <c r="V500" i="34"/>
  <c r="W500" i="34"/>
  <c r="X500" i="34"/>
  <c r="Y500" i="34"/>
  <c r="Z500" i="34"/>
  <c r="AA500" i="34"/>
  <c r="AB500" i="34"/>
  <c r="AD500" i="34"/>
  <c r="AE500" i="34"/>
  <c r="AF500" i="34"/>
  <c r="AG500" i="34"/>
  <c r="P501" i="34"/>
  <c r="Q501" i="34"/>
  <c r="R501" i="34"/>
  <c r="S501" i="34"/>
  <c r="T501" i="34"/>
  <c r="U501" i="34"/>
  <c r="V501" i="34"/>
  <c r="W501" i="34"/>
  <c r="X501" i="34"/>
  <c r="Y501" i="34"/>
  <c r="Z501" i="34"/>
  <c r="AA501" i="34"/>
  <c r="AB501" i="34"/>
  <c r="AD501" i="34"/>
  <c r="AE501" i="34"/>
  <c r="AF501" i="34"/>
  <c r="AG501" i="34"/>
  <c r="P502" i="34"/>
  <c r="Q502" i="34"/>
  <c r="R502" i="34"/>
  <c r="S502" i="34"/>
  <c r="T502" i="34"/>
  <c r="U502" i="34"/>
  <c r="V502" i="34"/>
  <c r="W502" i="34"/>
  <c r="X502" i="34"/>
  <c r="Y502" i="34"/>
  <c r="Z502" i="34"/>
  <c r="AA502" i="34"/>
  <c r="AB502" i="34"/>
  <c r="AD502" i="34"/>
  <c r="AE502" i="34"/>
  <c r="AF502" i="34"/>
  <c r="AG502" i="34"/>
  <c r="P503" i="34"/>
  <c r="Q503" i="34"/>
  <c r="R503" i="34"/>
  <c r="S503" i="34"/>
  <c r="T503" i="34"/>
  <c r="U503" i="34"/>
  <c r="V503" i="34"/>
  <c r="W503" i="34"/>
  <c r="X503" i="34"/>
  <c r="Y503" i="34"/>
  <c r="Z503" i="34"/>
  <c r="AA503" i="34"/>
  <c r="AB503" i="34"/>
  <c r="AD503" i="34"/>
  <c r="AE503" i="34"/>
  <c r="AF503" i="34"/>
  <c r="AG503" i="34"/>
  <c r="P504" i="34"/>
  <c r="Q504" i="34"/>
  <c r="R504" i="34"/>
  <c r="S504" i="34"/>
  <c r="T504" i="34"/>
  <c r="U504" i="34"/>
  <c r="V504" i="34"/>
  <c r="W504" i="34"/>
  <c r="X504" i="34"/>
  <c r="Y504" i="34"/>
  <c r="Z504" i="34"/>
  <c r="AA504" i="34"/>
  <c r="AB504" i="34"/>
  <c r="AD504" i="34"/>
  <c r="AE504" i="34"/>
  <c r="AF504" i="34"/>
  <c r="AG504" i="34"/>
  <c r="P505" i="34"/>
  <c r="Q505" i="34"/>
  <c r="R505" i="34"/>
  <c r="S505" i="34"/>
  <c r="T505" i="34"/>
  <c r="U505" i="34"/>
  <c r="V505" i="34"/>
  <c r="W505" i="34"/>
  <c r="X505" i="34"/>
  <c r="Y505" i="34"/>
  <c r="Z505" i="34"/>
  <c r="AA505" i="34"/>
  <c r="AB505" i="34"/>
  <c r="AD505" i="34"/>
  <c r="AE505" i="34"/>
  <c r="AF505" i="34"/>
  <c r="AG505" i="34"/>
  <c r="P506" i="34"/>
  <c r="Q506" i="34"/>
  <c r="R506" i="34"/>
  <c r="S506" i="34"/>
  <c r="T506" i="34"/>
  <c r="U506" i="34"/>
  <c r="V506" i="34"/>
  <c r="W506" i="34"/>
  <c r="X506" i="34"/>
  <c r="Y506" i="34"/>
  <c r="Z506" i="34"/>
  <c r="AA506" i="34"/>
  <c r="AB506" i="34"/>
  <c r="AD506" i="34"/>
  <c r="AE506" i="34"/>
  <c r="AF506" i="34"/>
  <c r="AG506" i="34"/>
  <c r="P507" i="34"/>
  <c r="Q507" i="34"/>
  <c r="R507" i="34"/>
  <c r="S507" i="34"/>
  <c r="T507" i="34"/>
  <c r="U507" i="34"/>
  <c r="V507" i="34"/>
  <c r="W507" i="34"/>
  <c r="X507" i="34"/>
  <c r="Y507" i="34"/>
  <c r="Z507" i="34"/>
  <c r="AA507" i="34"/>
  <c r="AB507" i="34"/>
  <c r="AD507" i="34"/>
  <c r="AE507" i="34"/>
  <c r="AF507" i="34"/>
  <c r="AG507" i="34"/>
  <c r="P508" i="34"/>
  <c r="Q508" i="34"/>
  <c r="R508" i="34"/>
  <c r="S508" i="34"/>
  <c r="T508" i="34"/>
  <c r="U508" i="34"/>
  <c r="V508" i="34"/>
  <c r="W508" i="34"/>
  <c r="X508" i="34"/>
  <c r="Y508" i="34"/>
  <c r="Z508" i="34"/>
  <c r="AA508" i="34"/>
  <c r="AB508" i="34"/>
  <c r="AD508" i="34"/>
  <c r="AE508" i="34"/>
  <c r="AF508" i="34"/>
  <c r="AG508" i="34"/>
  <c r="P509" i="34"/>
  <c r="Q509" i="34"/>
  <c r="R509" i="34"/>
  <c r="S509" i="34"/>
  <c r="T509" i="34"/>
  <c r="U509" i="34"/>
  <c r="V509" i="34"/>
  <c r="W509" i="34"/>
  <c r="X509" i="34"/>
  <c r="Y509" i="34"/>
  <c r="Z509" i="34"/>
  <c r="AA509" i="34"/>
  <c r="AB509" i="34"/>
  <c r="AD509" i="34"/>
  <c r="AE509" i="34"/>
  <c r="AF509" i="34"/>
  <c r="AG509" i="34"/>
  <c r="P510" i="34"/>
  <c r="Q510" i="34"/>
  <c r="R510" i="34"/>
  <c r="S510" i="34"/>
  <c r="T510" i="34"/>
  <c r="U510" i="34"/>
  <c r="V510" i="34"/>
  <c r="W510" i="34"/>
  <c r="X510" i="34"/>
  <c r="Y510" i="34"/>
  <c r="Z510" i="34"/>
  <c r="AA510" i="34"/>
  <c r="AB510" i="34"/>
  <c r="AD510" i="34"/>
  <c r="AE510" i="34"/>
  <c r="AF510" i="34"/>
  <c r="AG510" i="34"/>
  <c r="P511" i="34"/>
  <c r="Q511" i="34"/>
  <c r="R511" i="34"/>
  <c r="S511" i="34"/>
  <c r="T511" i="34"/>
  <c r="U511" i="34"/>
  <c r="V511" i="34"/>
  <c r="W511" i="34"/>
  <c r="X511" i="34"/>
  <c r="Y511" i="34"/>
  <c r="Z511" i="34"/>
  <c r="AA511" i="34"/>
  <c r="AB511" i="34"/>
  <c r="AD511" i="34"/>
  <c r="AE511" i="34"/>
  <c r="AF511" i="34"/>
  <c r="AG511" i="34"/>
  <c r="P512" i="34"/>
  <c r="Q512" i="34"/>
  <c r="R512" i="34"/>
  <c r="S512" i="34"/>
  <c r="T512" i="34"/>
  <c r="U512" i="34"/>
  <c r="V512" i="34"/>
  <c r="W512" i="34"/>
  <c r="X512" i="34"/>
  <c r="Y512" i="34"/>
  <c r="Z512" i="34"/>
  <c r="AA512" i="34"/>
  <c r="AB512" i="34"/>
  <c r="AD512" i="34"/>
  <c r="AE512" i="34"/>
  <c r="AF512" i="34"/>
  <c r="AG512" i="34"/>
  <c r="P513" i="34"/>
  <c r="Q513" i="34"/>
  <c r="R513" i="34"/>
  <c r="S513" i="34"/>
  <c r="T513" i="34"/>
  <c r="U513" i="34"/>
  <c r="V513" i="34"/>
  <c r="W513" i="34"/>
  <c r="X513" i="34"/>
  <c r="Y513" i="34"/>
  <c r="Z513" i="34"/>
  <c r="AA513" i="34"/>
  <c r="AB513" i="34"/>
  <c r="AD513" i="34"/>
  <c r="AE513" i="34"/>
  <c r="AF513" i="34"/>
  <c r="AG513" i="34"/>
  <c r="P514" i="34"/>
  <c r="Q514" i="34"/>
  <c r="R514" i="34"/>
  <c r="S514" i="34"/>
  <c r="T514" i="34"/>
  <c r="U514" i="34"/>
  <c r="V514" i="34"/>
  <c r="W514" i="34"/>
  <c r="X514" i="34"/>
  <c r="Y514" i="34"/>
  <c r="Z514" i="34"/>
  <c r="AA514" i="34"/>
  <c r="AB514" i="34"/>
  <c r="AD514" i="34"/>
  <c r="AE514" i="34"/>
  <c r="AF514" i="34"/>
  <c r="AG514" i="34"/>
  <c r="P515" i="34"/>
  <c r="Q515" i="34"/>
  <c r="R515" i="34"/>
  <c r="S515" i="34"/>
  <c r="T515" i="34"/>
  <c r="U515" i="34"/>
  <c r="V515" i="34"/>
  <c r="W515" i="34"/>
  <c r="X515" i="34"/>
  <c r="Y515" i="34"/>
  <c r="Z515" i="34"/>
  <c r="AA515" i="34"/>
  <c r="AB515" i="34"/>
  <c r="AD515" i="34"/>
  <c r="AE515" i="34"/>
  <c r="AF515" i="34"/>
  <c r="AG515" i="34"/>
  <c r="P516" i="34"/>
  <c r="Q516" i="34"/>
  <c r="R516" i="34"/>
  <c r="S516" i="34"/>
  <c r="T516" i="34"/>
  <c r="U516" i="34"/>
  <c r="V516" i="34"/>
  <c r="W516" i="34"/>
  <c r="X516" i="34"/>
  <c r="Y516" i="34"/>
  <c r="Z516" i="34"/>
  <c r="AA516" i="34"/>
  <c r="AB516" i="34"/>
  <c r="AD516" i="34"/>
  <c r="AE516" i="34"/>
  <c r="AF516" i="34"/>
  <c r="AG516" i="34"/>
  <c r="P517" i="34"/>
  <c r="Q517" i="34"/>
  <c r="R517" i="34"/>
  <c r="S517" i="34"/>
  <c r="T517" i="34"/>
  <c r="U517" i="34"/>
  <c r="V517" i="34"/>
  <c r="W517" i="34"/>
  <c r="X517" i="34"/>
  <c r="Y517" i="34"/>
  <c r="Z517" i="34"/>
  <c r="AA517" i="34"/>
  <c r="AB517" i="34"/>
  <c r="AD517" i="34"/>
  <c r="AE517" i="34"/>
  <c r="AF517" i="34"/>
  <c r="AG517" i="34"/>
  <c r="P518" i="34"/>
  <c r="Q518" i="34"/>
  <c r="R518" i="34"/>
  <c r="S518" i="34"/>
  <c r="T518" i="34"/>
  <c r="U518" i="34"/>
  <c r="V518" i="34"/>
  <c r="W518" i="34"/>
  <c r="X518" i="34"/>
  <c r="Y518" i="34"/>
  <c r="Z518" i="34"/>
  <c r="AA518" i="34"/>
  <c r="AB518" i="34"/>
  <c r="AD518" i="34"/>
  <c r="AE518" i="34"/>
  <c r="AF518" i="34"/>
  <c r="AG518" i="34"/>
  <c r="P519" i="34"/>
  <c r="Q519" i="34"/>
  <c r="R519" i="34"/>
  <c r="S519" i="34"/>
  <c r="T519" i="34"/>
  <c r="U519" i="34"/>
  <c r="V519" i="34"/>
  <c r="W519" i="34"/>
  <c r="X519" i="34"/>
  <c r="Y519" i="34"/>
  <c r="Z519" i="34"/>
  <c r="AA519" i="34"/>
  <c r="AB519" i="34"/>
  <c r="AD519" i="34"/>
  <c r="AE519" i="34"/>
  <c r="AF519" i="34"/>
  <c r="AG519" i="34"/>
  <c r="P520" i="34"/>
  <c r="Q520" i="34"/>
  <c r="R520" i="34"/>
  <c r="S520" i="34"/>
  <c r="T520" i="34"/>
  <c r="U520" i="34"/>
  <c r="V520" i="34"/>
  <c r="W520" i="34"/>
  <c r="X520" i="34"/>
  <c r="Y520" i="34"/>
  <c r="Z520" i="34"/>
  <c r="AA520" i="34"/>
  <c r="AB520" i="34"/>
  <c r="AD520" i="34"/>
  <c r="AE520" i="34"/>
  <c r="AF520" i="34"/>
  <c r="AG520" i="34"/>
  <c r="P521" i="34"/>
  <c r="Q521" i="34"/>
  <c r="R521" i="34"/>
  <c r="S521" i="34"/>
  <c r="T521" i="34"/>
  <c r="U521" i="34"/>
  <c r="V521" i="34"/>
  <c r="W521" i="34"/>
  <c r="X521" i="34"/>
  <c r="Y521" i="34"/>
  <c r="Z521" i="34"/>
  <c r="AA521" i="34"/>
  <c r="AB521" i="34"/>
  <c r="AD521" i="34"/>
  <c r="AE521" i="34"/>
  <c r="AF521" i="34"/>
  <c r="AG521" i="34"/>
  <c r="P522" i="34"/>
  <c r="Q522" i="34"/>
  <c r="R522" i="34"/>
  <c r="S522" i="34"/>
  <c r="T522" i="34"/>
  <c r="U522" i="34"/>
  <c r="V522" i="34"/>
  <c r="W522" i="34"/>
  <c r="X522" i="34"/>
  <c r="Y522" i="34"/>
  <c r="Z522" i="34"/>
  <c r="AA522" i="34"/>
  <c r="AB522" i="34"/>
  <c r="AD522" i="34"/>
  <c r="AE522" i="34"/>
  <c r="AF522" i="34"/>
  <c r="AG522" i="34"/>
  <c r="P523" i="34"/>
  <c r="Q523" i="34"/>
  <c r="R523" i="34"/>
  <c r="S523" i="34"/>
  <c r="T523" i="34"/>
  <c r="U523" i="34"/>
  <c r="V523" i="34"/>
  <c r="W523" i="34"/>
  <c r="X523" i="34"/>
  <c r="Y523" i="34"/>
  <c r="Z523" i="34"/>
  <c r="AA523" i="34"/>
  <c r="AB523" i="34"/>
  <c r="AD523" i="34"/>
  <c r="AE523" i="34"/>
  <c r="AF523" i="34"/>
  <c r="AG523" i="34"/>
  <c r="P524" i="34"/>
  <c r="Q524" i="34"/>
  <c r="R524" i="34"/>
  <c r="S524" i="34"/>
  <c r="T524" i="34"/>
  <c r="U524" i="34"/>
  <c r="V524" i="34"/>
  <c r="W524" i="34"/>
  <c r="X524" i="34"/>
  <c r="Y524" i="34"/>
  <c r="Z524" i="34"/>
  <c r="AA524" i="34"/>
  <c r="AB524" i="34"/>
  <c r="AD524" i="34"/>
  <c r="AE524" i="34"/>
  <c r="AF524" i="34"/>
  <c r="AG524" i="34"/>
  <c r="P525" i="34"/>
  <c r="Q525" i="34"/>
  <c r="R525" i="34"/>
  <c r="S525" i="34"/>
  <c r="T525" i="34"/>
  <c r="U525" i="34"/>
  <c r="V525" i="34"/>
  <c r="W525" i="34"/>
  <c r="X525" i="34"/>
  <c r="Y525" i="34"/>
  <c r="Z525" i="34"/>
  <c r="AA525" i="34"/>
  <c r="AB525" i="34"/>
  <c r="AD525" i="34"/>
  <c r="AE525" i="34"/>
  <c r="AF525" i="34"/>
  <c r="AG525" i="34"/>
  <c r="P526" i="34"/>
  <c r="Q526" i="34"/>
  <c r="R526" i="34"/>
  <c r="S526" i="34"/>
  <c r="T526" i="34"/>
  <c r="U526" i="34"/>
  <c r="V526" i="34"/>
  <c r="W526" i="34"/>
  <c r="X526" i="34"/>
  <c r="Y526" i="34"/>
  <c r="Z526" i="34"/>
  <c r="AA526" i="34"/>
  <c r="AB526" i="34"/>
  <c r="AD526" i="34"/>
  <c r="AE526" i="34"/>
  <c r="AF526" i="34"/>
  <c r="AG526" i="34"/>
  <c r="P527" i="34"/>
  <c r="Q527" i="34"/>
  <c r="R527" i="34"/>
  <c r="S527" i="34"/>
  <c r="T527" i="34"/>
  <c r="U527" i="34"/>
  <c r="V527" i="34"/>
  <c r="W527" i="34"/>
  <c r="X527" i="34"/>
  <c r="Y527" i="34"/>
  <c r="Z527" i="34"/>
  <c r="AA527" i="34"/>
  <c r="AB527" i="34"/>
  <c r="AD527" i="34"/>
  <c r="AE527" i="34"/>
  <c r="AF527" i="34"/>
  <c r="AG527" i="34"/>
  <c r="P528" i="34"/>
  <c r="Q528" i="34"/>
  <c r="R528" i="34"/>
  <c r="S528" i="34"/>
  <c r="T528" i="34"/>
  <c r="U528" i="34"/>
  <c r="V528" i="34"/>
  <c r="W528" i="34"/>
  <c r="X528" i="34"/>
  <c r="Y528" i="34"/>
  <c r="Z528" i="34"/>
  <c r="AA528" i="34"/>
  <c r="AB528" i="34"/>
  <c r="AD528" i="34"/>
  <c r="AE528" i="34"/>
  <c r="AF528" i="34"/>
  <c r="AG528" i="34"/>
  <c r="P529" i="34"/>
  <c r="Q529" i="34"/>
  <c r="R529" i="34"/>
  <c r="S529" i="34"/>
  <c r="T529" i="34"/>
  <c r="U529" i="34"/>
  <c r="V529" i="34"/>
  <c r="W529" i="34"/>
  <c r="X529" i="34"/>
  <c r="Y529" i="34"/>
  <c r="Z529" i="34"/>
  <c r="AA529" i="34"/>
  <c r="AB529" i="34"/>
  <c r="AD529" i="34"/>
  <c r="AE529" i="34"/>
  <c r="AF529" i="34"/>
  <c r="AG529" i="34"/>
  <c r="P530" i="34"/>
  <c r="Q530" i="34"/>
  <c r="R530" i="34"/>
  <c r="S530" i="34"/>
  <c r="T530" i="34"/>
  <c r="U530" i="34"/>
  <c r="V530" i="34"/>
  <c r="W530" i="34"/>
  <c r="X530" i="34"/>
  <c r="Y530" i="34"/>
  <c r="Z530" i="34"/>
  <c r="AA530" i="34"/>
  <c r="AB530" i="34"/>
  <c r="AD530" i="34"/>
  <c r="AE530" i="34"/>
  <c r="AF530" i="34"/>
  <c r="AG530" i="34"/>
  <c r="P531" i="34"/>
  <c r="Q531" i="34"/>
  <c r="R531" i="34"/>
  <c r="S531" i="34"/>
  <c r="T531" i="34"/>
  <c r="U531" i="34"/>
  <c r="V531" i="34"/>
  <c r="W531" i="34"/>
  <c r="X531" i="34"/>
  <c r="Y531" i="34"/>
  <c r="Z531" i="34"/>
  <c r="AA531" i="34"/>
  <c r="AB531" i="34"/>
  <c r="AD531" i="34"/>
  <c r="AE531" i="34"/>
  <c r="AF531" i="34"/>
  <c r="AG531" i="34"/>
  <c r="P532" i="34"/>
  <c r="Q532" i="34"/>
  <c r="R532" i="34"/>
  <c r="S532" i="34"/>
  <c r="T532" i="34"/>
  <c r="U532" i="34"/>
  <c r="V532" i="34"/>
  <c r="W532" i="34"/>
  <c r="X532" i="34"/>
  <c r="Y532" i="34"/>
  <c r="Z532" i="34"/>
  <c r="AA532" i="34"/>
  <c r="AB532" i="34"/>
  <c r="AD532" i="34"/>
  <c r="AE532" i="34"/>
  <c r="AF532" i="34"/>
  <c r="AG532" i="34"/>
  <c r="P533" i="34"/>
  <c r="Q533" i="34"/>
  <c r="R533" i="34"/>
  <c r="S533" i="34"/>
  <c r="T533" i="34"/>
  <c r="U533" i="34"/>
  <c r="V533" i="34"/>
  <c r="W533" i="34"/>
  <c r="X533" i="34"/>
  <c r="Y533" i="34"/>
  <c r="Z533" i="34"/>
  <c r="AA533" i="34"/>
  <c r="AB533" i="34"/>
  <c r="AD533" i="34"/>
  <c r="AE533" i="34"/>
  <c r="AF533" i="34"/>
  <c r="AG533" i="34"/>
  <c r="P534" i="34"/>
  <c r="Q534" i="34"/>
  <c r="R534" i="34"/>
  <c r="S534" i="34"/>
  <c r="T534" i="34"/>
  <c r="U534" i="34"/>
  <c r="V534" i="34"/>
  <c r="W534" i="34"/>
  <c r="X534" i="34"/>
  <c r="Y534" i="34"/>
  <c r="Z534" i="34"/>
  <c r="AA534" i="34"/>
  <c r="AB534" i="34"/>
  <c r="AD534" i="34"/>
  <c r="AE534" i="34"/>
  <c r="AF534" i="34"/>
  <c r="AG534" i="34"/>
  <c r="P535" i="34"/>
  <c r="Q535" i="34"/>
  <c r="R535" i="34"/>
  <c r="S535" i="34"/>
  <c r="T535" i="34"/>
  <c r="U535" i="34"/>
  <c r="V535" i="34"/>
  <c r="W535" i="34"/>
  <c r="X535" i="34"/>
  <c r="Y535" i="34"/>
  <c r="Z535" i="34"/>
  <c r="AA535" i="34"/>
  <c r="AB535" i="34"/>
  <c r="AD535" i="34"/>
  <c r="AE535" i="34"/>
  <c r="AF535" i="34"/>
  <c r="AG535" i="34"/>
  <c r="P536" i="34"/>
  <c r="Q536" i="34"/>
  <c r="R536" i="34"/>
  <c r="S536" i="34"/>
  <c r="T536" i="34"/>
  <c r="U536" i="34"/>
  <c r="V536" i="34"/>
  <c r="W536" i="34"/>
  <c r="X536" i="34"/>
  <c r="Y536" i="34"/>
  <c r="Z536" i="34"/>
  <c r="AA536" i="34"/>
  <c r="AB536" i="34"/>
  <c r="AD536" i="34"/>
  <c r="AE536" i="34"/>
  <c r="AF536" i="34"/>
  <c r="AG536" i="34"/>
  <c r="P537" i="34"/>
  <c r="Q537" i="34"/>
  <c r="R537" i="34"/>
  <c r="S537" i="34"/>
  <c r="T537" i="34"/>
  <c r="U537" i="34"/>
  <c r="V537" i="34"/>
  <c r="W537" i="34"/>
  <c r="X537" i="34"/>
  <c r="Y537" i="34"/>
  <c r="Z537" i="34"/>
  <c r="AA537" i="34"/>
  <c r="AB537" i="34"/>
  <c r="AD537" i="34"/>
  <c r="AE537" i="34"/>
  <c r="AF537" i="34"/>
  <c r="AG537" i="34"/>
  <c r="P538" i="34"/>
  <c r="Q538" i="34"/>
  <c r="R538" i="34"/>
  <c r="S538" i="34"/>
  <c r="T538" i="34"/>
  <c r="U538" i="34"/>
  <c r="V538" i="34"/>
  <c r="W538" i="34"/>
  <c r="X538" i="34"/>
  <c r="Y538" i="34"/>
  <c r="Z538" i="34"/>
  <c r="AA538" i="34"/>
  <c r="AB538" i="34"/>
  <c r="AD538" i="34"/>
  <c r="AE538" i="34"/>
  <c r="AF538" i="34"/>
  <c r="AG538" i="34"/>
  <c r="P539" i="34"/>
  <c r="Q539" i="34"/>
  <c r="R539" i="34"/>
  <c r="S539" i="34"/>
  <c r="T539" i="34"/>
  <c r="U539" i="34"/>
  <c r="V539" i="34"/>
  <c r="W539" i="34"/>
  <c r="X539" i="34"/>
  <c r="Y539" i="34"/>
  <c r="Z539" i="34"/>
  <c r="AA539" i="34"/>
  <c r="AB539" i="34"/>
  <c r="AD539" i="34"/>
  <c r="AE539" i="34"/>
  <c r="AF539" i="34"/>
  <c r="AG539" i="34"/>
  <c r="P540" i="34"/>
  <c r="Q540" i="34"/>
  <c r="R540" i="34"/>
  <c r="S540" i="34"/>
  <c r="T540" i="34"/>
  <c r="U540" i="34"/>
  <c r="V540" i="34"/>
  <c r="W540" i="34"/>
  <c r="X540" i="34"/>
  <c r="Y540" i="34"/>
  <c r="Z540" i="34"/>
  <c r="AA540" i="34"/>
  <c r="AB540" i="34"/>
  <c r="AD540" i="34"/>
  <c r="AE540" i="34"/>
  <c r="AF540" i="34"/>
  <c r="AG540" i="34"/>
  <c r="P541" i="34"/>
  <c r="Q541" i="34"/>
  <c r="R541" i="34"/>
  <c r="S541" i="34"/>
  <c r="T541" i="34"/>
  <c r="U541" i="34"/>
  <c r="V541" i="34"/>
  <c r="W541" i="34"/>
  <c r="X541" i="34"/>
  <c r="Y541" i="34"/>
  <c r="Z541" i="34"/>
  <c r="AA541" i="34"/>
  <c r="AB541" i="34"/>
  <c r="AD541" i="34"/>
  <c r="AE541" i="34"/>
  <c r="AF541" i="34"/>
  <c r="AG541" i="34"/>
  <c r="P542" i="34"/>
  <c r="Q542" i="34"/>
  <c r="R542" i="34"/>
  <c r="S542" i="34"/>
  <c r="T542" i="34"/>
  <c r="U542" i="34"/>
  <c r="V542" i="34"/>
  <c r="W542" i="34"/>
  <c r="X542" i="34"/>
  <c r="Y542" i="34"/>
  <c r="Z542" i="34"/>
  <c r="AA542" i="34"/>
  <c r="AB542" i="34"/>
  <c r="AD542" i="34"/>
  <c r="AE542" i="34"/>
  <c r="AF542" i="34"/>
  <c r="AG542" i="34"/>
  <c r="P543" i="34"/>
  <c r="Q543" i="34"/>
  <c r="R543" i="34"/>
  <c r="S543" i="34"/>
  <c r="T543" i="34"/>
  <c r="U543" i="34"/>
  <c r="V543" i="34"/>
  <c r="W543" i="34"/>
  <c r="X543" i="34"/>
  <c r="Y543" i="34"/>
  <c r="Z543" i="34"/>
  <c r="AA543" i="34"/>
  <c r="AB543" i="34"/>
  <c r="AD543" i="34"/>
  <c r="AE543" i="34"/>
  <c r="AF543" i="34"/>
  <c r="AG543" i="34"/>
  <c r="P544" i="34"/>
  <c r="Q544" i="34"/>
  <c r="R544" i="34"/>
  <c r="S544" i="34"/>
  <c r="T544" i="34"/>
  <c r="U544" i="34"/>
  <c r="V544" i="34"/>
  <c r="W544" i="34"/>
  <c r="X544" i="34"/>
  <c r="Y544" i="34"/>
  <c r="Z544" i="34"/>
  <c r="AA544" i="34"/>
  <c r="AB544" i="34"/>
  <c r="AD544" i="34"/>
  <c r="AE544" i="34"/>
  <c r="AF544" i="34"/>
  <c r="AG544" i="34"/>
  <c r="P545" i="34"/>
  <c r="Q545" i="34"/>
  <c r="R545" i="34"/>
  <c r="S545" i="34"/>
  <c r="T545" i="34"/>
  <c r="U545" i="34"/>
  <c r="V545" i="34"/>
  <c r="W545" i="34"/>
  <c r="X545" i="34"/>
  <c r="Y545" i="34"/>
  <c r="Z545" i="34"/>
  <c r="AA545" i="34"/>
  <c r="AB545" i="34"/>
  <c r="AD545" i="34"/>
  <c r="AE545" i="34"/>
  <c r="AF545" i="34"/>
  <c r="AG545" i="34"/>
  <c r="P546" i="34"/>
  <c r="Q546" i="34"/>
  <c r="R546" i="34"/>
  <c r="S546" i="34"/>
  <c r="T546" i="34"/>
  <c r="U546" i="34"/>
  <c r="V546" i="34"/>
  <c r="W546" i="34"/>
  <c r="X546" i="34"/>
  <c r="Y546" i="34"/>
  <c r="Z546" i="34"/>
  <c r="AA546" i="34"/>
  <c r="AB546" i="34"/>
  <c r="AD546" i="34"/>
  <c r="AE546" i="34"/>
  <c r="AF546" i="34"/>
  <c r="AG546" i="34"/>
  <c r="P547" i="34"/>
  <c r="Q547" i="34"/>
  <c r="R547" i="34"/>
  <c r="S547" i="34"/>
  <c r="T547" i="34"/>
  <c r="U547" i="34"/>
  <c r="V547" i="34"/>
  <c r="W547" i="34"/>
  <c r="X547" i="34"/>
  <c r="Y547" i="34"/>
  <c r="Z547" i="34"/>
  <c r="AA547" i="34"/>
  <c r="AB547" i="34"/>
  <c r="AD547" i="34"/>
  <c r="AE547" i="34"/>
  <c r="AF547" i="34"/>
  <c r="AG547" i="34"/>
  <c r="P548" i="34"/>
  <c r="Q548" i="34"/>
  <c r="R548" i="34"/>
  <c r="S548" i="34"/>
  <c r="T548" i="34"/>
  <c r="U548" i="34"/>
  <c r="V548" i="34"/>
  <c r="W548" i="34"/>
  <c r="X548" i="34"/>
  <c r="Y548" i="34"/>
  <c r="Z548" i="34"/>
  <c r="AA548" i="34"/>
  <c r="AB548" i="34"/>
  <c r="AD548" i="34"/>
  <c r="AE548" i="34"/>
  <c r="AF548" i="34"/>
  <c r="AG548" i="34"/>
  <c r="P549" i="34"/>
  <c r="Q549" i="34"/>
  <c r="R549" i="34"/>
  <c r="S549" i="34"/>
  <c r="T549" i="34"/>
  <c r="U549" i="34"/>
  <c r="V549" i="34"/>
  <c r="W549" i="34"/>
  <c r="X549" i="34"/>
  <c r="Y549" i="34"/>
  <c r="Z549" i="34"/>
  <c r="AA549" i="34"/>
  <c r="AB549" i="34"/>
  <c r="AD549" i="34"/>
  <c r="AE549" i="34"/>
  <c r="AF549" i="34"/>
  <c r="AG549" i="34"/>
  <c r="P550" i="34"/>
  <c r="Q550" i="34"/>
  <c r="R550" i="34"/>
  <c r="S550" i="34"/>
  <c r="T550" i="34"/>
  <c r="U550" i="34"/>
  <c r="V550" i="34"/>
  <c r="W550" i="34"/>
  <c r="X550" i="34"/>
  <c r="Y550" i="34"/>
  <c r="Z550" i="34"/>
  <c r="AA550" i="34"/>
  <c r="AB550" i="34"/>
  <c r="AD550" i="34"/>
  <c r="AE550" i="34"/>
  <c r="AF550" i="34"/>
  <c r="AG550" i="34"/>
  <c r="P551" i="34"/>
  <c r="Q551" i="34"/>
  <c r="R551" i="34"/>
  <c r="S551" i="34"/>
  <c r="T551" i="34"/>
  <c r="U551" i="34"/>
  <c r="V551" i="34"/>
  <c r="W551" i="34"/>
  <c r="X551" i="34"/>
  <c r="Y551" i="34"/>
  <c r="Z551" i="34"/>
  <c r="AA551" i="34"/>
  <c r="AB551" i="34"/>
  <c r="AD551" i="34"/>
  <c r="AE551" i="34"/>
  <c r="AF551" i="34"/>
  <c r="AG551" i="34"/>
  <c r="P552" i="34"/>
  <c r="Q552" i="34"/>
  <c r="R552" i="34"/>
  <c r="S552" i="34"/>
  <c r="T552" i="34"/>
  <c r="U552" i="34"/>
  <c r="V552" i="34"/>
  <c r="W552" i="34"/>
  <c r="X552" i="34"/>
  <c r="Y552" i="34"/>
  <c r="Z552" i="34"/>
  <c r="AA552" i="34"/>
  <c r="AB552" i="34"/>
  <c r="AD552" i="34"/>
  <c r="AE552" i="34"/>
  <c r="AF552" i="34"/>
  <c r="AG552" i="34"/>
  <c r="P553" i="34"/>
  <c r="Q553" i="34"/>
  <c r="R553" i="34"/>
  <c r="S553" i="34"/>
  <c r="T553" i="34"/>
  <c r="U553" i="34"/>
  <c r="V553" i="34"/>
  <c r="W553" i="34"/>
  <c r="X553" i="34"/>
  <c r="Y553" i="34"/>
  <c r="Z553" i="34"/>
  <c r="AA553" i="34"/>
  <c r="AB553" i="34"/>
  <c r="AD553" i="34"/>
  <c r="AE553" i="34"/>
  <c r="AF553" i="34"/>
  <c r="AG553" i="34"/>
  <c r="P554" i="34"/>
  <c r="Q554" i="34"/>
  <c r="R554" i="34"/>
  <c r="S554" i="34"/>
  <c r="T554" i="34"/>
  <c r="U554" i="34"/>
  <c r="V554" i="34"/>
  <c r="W554" i="34"/>
  <c r="X554" i="34"/>
  <c r="Y554" i="34"/>
  <c r="Z554" i="34"/>
  <c r="AA554" i="34"/>
  <c r="AB554" i="34"/>
  <c r="AD554" i="34"/>
  <c r="AE554" i="34"/>
  <c r="AF554" i="34"/>
  <c r="AG554" i="34"/>
  <c r="P555" i="34"/>
  <c r="Q555" i="34"/>
  <c r="R555" i="34"/>
  <c r="S555" i="34"/>
  <c r="T555" i="34"/>
  <c r="U555" i="34"/>
  <c r="V555" i="34"/>
  <c r="W555" i="34"/>
  <c r="X555" i="34"/>
  <c r="Y555" i="34"/>
  <c r="Z555" i="34"/>
  <c r="AA555" i="34"/>
  <c r="AB555" i="34"/>
  <c r="AD555" i="34"/>
  <c r="AE555" i="34"/>
  <c r="AF555" i="34"/>
  <c r="AG555" i="34"/>
  <c r="P556" i="34"/>
  <c r="Q556" i="34"/>
  <c r="R556" i="34"/>
  <c r="S556" i="34"/>
  <c r="T556" i="34"/>
  <c r="U556" i="34"/>
  <c r="V556" i="34"/>
  <c r="W556" i="34"/>
  <c r="X556" i="34"/>
  <c r="Y556" i="34"/>
  <c r="Z556" i="34"/>
  <c r="AA556" i="34"/>
  <c r="AB556" i="34"/>
  <c r="AD556" i="34"/>
  <c r="AE556" i="34"/>
  <c r="AF556" i="34"/>
  <c r="AG556" i="34"/>
  <c r="P557" i="34"/>
  <c r="Q557" i="34"/>
  <c r="R557" i="34"/>
  <c r="S557" i="34"/>
  <c r="T557" i="34"/>
  <c r="U557" i="34"/>
  <c r="V557" i="34"/>
  <c r="W557" i="34"/>
  <c r="X557" i="34"/>
  <c r="Y557" i="34"/>
  <c r="Z557" i="34"/>
  <c r="AA557" i="34"/>
  <c r="AB557" i="34"/>
  <c r="AD557" i="34"/>
  <c r="AE557" i="34"/>
  <c r="AF557" i="34"/>
  <c r="AG557" i="34"/>
  <c r="P558" i="34"/>
  <c r="Q558" i="34"/>
  <c r="R558" i="34"/>
  <c r="S558" i="34"/>
  <c r="T558" i="34"/>
  <c r="U558" i="34"/>
  <c r="V558" i="34"/>
  <c r="W558" i="34"/>
  <c r="X558" i="34"/>
  <c r="Y558" i="34"/>
  <c r="Z558" i="34"/>
  <c r="AA558" i="34"/>
  <c r="AB558" i="34"/>
  <c r="AD558" i="34"/>
  <c r="AE558" i="34"/>
  <c r="AF558" i="34"/>
  <c r="AG558" i="34"/>
  <c r="P559" i="34"/>
  <c r="Q559" i="34"/>
  <c r="R559" i="34"/>
  <c r="S559" i="34"/>
  <c r="T559" i="34"/>
  <c r="U559" i="34"/>
  <c r="V559" i="34"/>
  <c r="W559" i="34"/>
  <c r="X559" i="34"/>
  <c r="Y559" i="34"/>
  <c r="Z559" i="34"/>
  <c r="AA559" i="34"/>
  <c r="AB559" i="34"/>
  <c r="AD559" i="34"/>
  <c r="AE559" i="34"/>
  <c r="AF559" i="34"/>
  <c r="AG559" i="34"/>
  <c r="P560" i="34"/>
  <c r="Q560" i="34"/>
  <c r="R560" i="34"/>
  <c r="S560" i="34"/>
  <c r="T560" i="34"/>
  <c r="U560" i="34"/>
  <c r="V560" i="34"/>
  <c r="W560" i="34"/>
  <c r="X560" i="34"/>
  <c r="Y560" i="34"/>
  <c r="Z560" i="34"/>
  <c r="AA560" i="34"/>
  <c r="AB560" i="34"/>
  <c r="AD560" i="34"/>
  <c r="AE560" i="34"/>
  <c r="AF560" i="34"/>
  <c r="AG560" i="34"/>
  <c r="P561" i="34"/>
  <c r="Q561" i="34"/>
  <c r="R561" i="34"/>
  <c r="S561" i="34"/>
  <c r="T561" i="34"/>
  <c r="U561" i="34"/>
  <c r="V561" i="34"/>
  <c r="W561" i="34"/>
  <c r="X561" i="34"/>
  <c r="Y561" i="34"/>
  <c r="Z561" i="34"/>
  <c r="AA561" i="34"/>
  <c r="AB561" i="34"/>
  <c r="AD561" i="34"/>
  <c r="AE561" i="34"/>
  <c r="AF561" i="34"/>
  <c r="AG561" i="34"/>
  <c r="P562" i="34"/>
  <c r="Q562" i="34"/>
  <c r="R562" i="34"/>
  <c r="S562" i="34"/>
  <c r="T562" i="34"/>
  <c r="U562" i="34"/>
  <c r="V562" i="34"/>
  <c r="W562" i="34"/>
  <c r="X562" i="34"/>
  <c r="Y562" i="34"/>
  <c r="Z562" i="34"/>
  <c r="AA562" i="34"/>
  <c r="AB562" i="34"/>
  <c r="AD562" i="34"/>
  <c r="AE562" i="34"/>
  <c r="AF562" i="34"/>
  <c r="AG562" i="34"/>
  <c r="P563" i="34"/>
  <c r="Q563" i="34"/>
  <c r="R563" i="34"/>
  <c r="S563" i="34"/>
  <c r="T563" i="34"/>
  <c r="U563" i="34"/>
  <c r="V563" i="34"/>
  <c r="W563" i="34"/>
  <c r="X563" i="34"/>
  <c r="Y563" i="34"/>
  <c r="Z563" i="34"/>
  <c r="AA563" i="34"/>
  <c r="AB563" i="34"/>
  <c r="AD563" i="34"/>
  <c r="AE563" i="34"/>
  <c r="AF563" i="34"/>
  <c r="AG563" i="34"/>
  <c r="P564" i="34"/>
  <c r="Q564" i="34"/>
  <c r="R564" i="34"/>
  <c r="S564" i="34"/>
  <c r="T564" i="34"/>
  <c r="U564" i="34"/>
  <c r="V564" i="34"/>
  <c r="W564" i="34"/>
  <c r="X564" i="34"/>
  <c r="Y564" i="34"/>
  <c r="Z564" i="34"/>
  <c r="AA564" i="34"/>
  <c r="AB564" i="34"/>
  <c r="AD564" i="34"/>
  <c r="AE564" i="34"/>
  <c r="AF564" i="34"/>
  <c r="AG564" i="34"/>
  <c r="P565" i="34"/>
  <c r="Q565" i="34"/>
  <c r="R565" i="34"/>
  <c r="S565" i="34"/>
  <c r="T565" i="34"/>
  <c r="U565" i="34"/>
  <c r="V565" i="34"/>
  <c r="W565" i="34"/>
  <c r="X565" i="34"/>
  <c r="Y565" i="34"/>
  <c r="Z565" i="34"/>
  <c r="AA565" i="34"/>
  <c r="AB565" i="34"/>
  <c r="AD565" i="34"/>
  <c r="AE565" i="34"/>
  <c r="AF565" i="34"/>
  <c r="AG565" i="34"/>
  <c r="P566" i="34"/>
  <c r="Q566" i="34"/>
  <c r="R566" i="34"/>
  <c r="S566" i="34"/>
  <c r="T566" i="34"/>
  <c r="U566" i="34"/>
  <c r="V566" i="34"/>
  <c r="W566" i="34"/>
  <c r="X566" i="34"/>
  <c r="Y566" i="34"/>
  <c r="Z566" i="34"/>
  <c r="AA566" i="34"/>
  <c r="AB566" i="34"/>
  <c r="AD566" i="34"/>
  <c r="AE566" i="34"/>
  <c r="AF566" i="34"/>
  <c r="AG566" i="34"/>
  <c r="P567" i="34"/>
  <c r="Q567" i="34"/>
  <c r="R567" i="34"/>
  <c r="S567" i="34"/>
  <c r="T567" i="34"/>
  <c r="U567" i="34"/>
  <c r="V567" i="34"/>
  <c r="W567" i="34"/>
  <c r="X567" i="34"/>
  <c r="Y567" i="34"/>
  <c r="Z567" i="34"/>
  <c r="AA567" i="34"/>
  <c r="AB567" i="34"/>
  <c r="AD567" i="34"/>
  <c r="AE567" i="34"/>
  <c r="AF567" i="34"/>
  <c r="AG567" i="34"/>
  <c r="P568" i="34"/>
  <c r="Q568" i="34"/>
  <c r="R568" i="34"/>
  <c r="S568" i="34"/>
  <c r="T568" i="34"/>
  <c r="U568" i="34"/>
  <c r="V568" i="34"/>
  <c r="W568" i="34"/>
  <c r="X568" i="34"/>
  <c r="Y568" i="34"/>
  <c r="Z568" i="34"/>
  <c r="AA568" i="34"/>
  <c r="AB568" i="34"/>
  <c r="AD568" i="34"/>
  <c r="AE568" i="34"/>
  <c r="AF568" i="34"/>
  <c r="AG568" i="34"/>
  <c r="P569" i="34"/>
  <c r="Q569" i="34"/>
  <c r="R569" i="34"/>
  <c r="S569" i="34"/>
  <c r="T569" i="34"/>
  <c r="U569" i="34"/>
  <c r="V569" i="34"/>
  <c r="W569" i="34"/>
  <c r="X569" i="34"/>
  <c r="Y569" i="34"/>
  <c r="Z569" i="34"/>
  <c r="AA569" i="34"/>
  <c r="AB569" i="34"/>
  <c r="AD569" i="34"/>
  <c r="AE569" i="34"/>
  <c r="AF569" i="34"/>
  <c r="AG569" i="34"/>
  <c r="P570" i="34"/>
  <c r="Q570" i="34"/>
  <c r="R570" i="34"/>
  <c r="S570" i="34"/>
  <c r="T570" i="34"/>
  <c r="U570" i="34"/>
  <c r="V570" i="34"/>
  <c r="W570" i="34"/>
  <c r="X570" i="34"/>
  <c r="Y570" i="34"/>
  <c r="Z570" i="34"/>
  <c r="AA570" i="34"/>
  <c r="AB570" i="34"/>
  <c r="AD570" i="34"/>
  <c r="AE570" i="34"/>
  <c r="AF570" i="34"/>
  <c r="AG570" i="34"/>
  <c r="P571" i="34"/>
  <c r="Q571" i="34"/>
  <c r="R571" i="34"/>
  <c r="S571" i="34"/>
  <c r="T571" i="34"/>
  <c r="U571" i="34"/>
  <c r="V571" i="34"/>
  <c r="W571" i="34"/>
  <c r="X571" i="34"/>
  <c r="Y571" i="34"/>
  <c r="Z571" i="34"/>
  <c r="AA571" i="34"/>
  <c r="AB571" i="34"/>
  <c r="AD571" i="34"/>
  <c r="AE571" i="34"/>
  <c r="AF571" i="34"/>
  <c r="AG571" i="34"/>
  <c r="P572" i="34"/>
  <c r="Q572" i="34"/>
  <c r="R572" i="34"/>
  <c r="S572" i="34"/>
  <c r="T572" i="34"/>
  <c r="U572" i="34"/>
  <c r="V572" i="34"/>
  <c r="W572" i="34"/>
  <c r="X572" i="34"/>
  <c r="Y572" i="34"/>
  <c r="Z572" i="34"/>
  <c r="AA572" i="34"/>
  <c r="AB572" i="34"/>
  <c r="AD572" i="34"/>
  <c r="AE572" i="34"/>
  <c r="AF572" i="34"/>
  <c r="AG572" i="34"/>
  <c r="P573" i="34"/>
  <c r="Q573" i="34"/>
  <c r="R573" i="34"/>
  <c r="S573" i="34"/>
  <c r="T573" i="34"/>
  <c r="U573" i="34"/>
  <c r="V573" i="34"/>
  <c r="W573" i="34"/>
  <c r="X573" i="34"/>
  <c r="Y573" i="34"/>
  <c r="Z573" i="34"/>
  <c r="AA573" i="34"/>
  <c r="AB573" i="34"/>
  <c r="AD573" i="34"/>
  <c r="AE573" i="34"/>
  <c r="AF573" i="34"/>
  <c r="AG573" i="34"/>
  <c r="P574" i="34"/>
  <c r="Q574" i="34"/>
  <c r="R574" i="34"/>
  <c r="S574" i="34"/>
  <c r="T574" i="34"/>
  <c r="U574" i="34"/>
  <c r="V574" i="34"/>
  <c r="W574" i="34"/>
  <c r="X574" i="34"/>
  <c r="Y574" i="34"/>
  <c r="Z574" i="34"/>
  <c r="AA574" i="34"/>
  <c r="AB574" i="34"/>
  <c r="AD574" i="34"/>
  <c r="AE574" i="34"/>
  <c r="AF574" i="34"/>
  <c r="AG574" i="34"/>
  <c r="P575" i="34"/>
  <c r="Q575" i="34"/>
  <c r="R575" i="34"/>
  <c r="S575" i="34"/>
  <c r="T575" i="34"/>
  <c r="U575" i="34"/>
  <c r="V575" i="34"/>
  <c r="W575" i="34"/>
  <c r="X575" i="34"/>
  <c r="Y575" i="34"/>
  <c r="Z575" i="34"/>
  <c r="AA575" i="34"/>
  <c r="AB575" i="34"/>
  <c r="AD575" i="34"/>
  <c r="AE575" i="34"/>
  <c r="AF575" i="34"/>
  <c r="AG575" i="34"/>
  <c r="P576" i="34"/>
  <c r="Q576" i="34"/>
  <c r="R576" i="34"/>
  <c r="S576" i="34"/>
  <c r="T576" i="34"/>
  <c r="U576" i="34"/>
  <c r="V576" i="34"/>
  <c r="W576" i="34"/>
  <c r="X576" i="34"/>
  <c r="Y576" i="34"/>
  <c r="Z576" i="34"/>
  <c r="AA576" i="34"/>
  <c r="AB576" i="34"/>
  <c r="AD576" i="34"/>
  <c r="AE576" i="34"/>
  <c r="AF576" i="34"/>
  <c r="AG576" i="34"/>
  <c r="P577" i="34"/>
  <c r="Q577" i="34"/>
  <c r="R577" i="34"/>
  <c r="S577" i="34"/>
  <c r="T577" i="34"/>
  <c r="U577" i="34"/>
  <c r="V577" i="34"/>
  <c r="W577" i="34"/>
  <c r="X577" i="34"/>
  <c r="Y577" i="34"/>
  <c r="Z577" i="34"/>
  <c r="AA577" i="34"/>
  <c r="AB577" i="34"/>
  <c r="AD577" i="34"/>
  <c r="AE577" i="34"/>
  <c r="AF577" i="34"/>
  <c r="AG577" i="34"/>
  <c r="P578" i="34"/>
  <c r="Q578" i="34"/>
  <c r="R578" i="34"/>
  <c r="S578" i="34"/>
  <c r="T578" i="34"/>
  <c r="U578" i="34"/>
  <c r="V578" i="34"/>
  <c r="W578" i="34"/>
  <c r="X578" i="34"/>
  <c r="Y578" i="34"/>
  <c r="Z578" i="34"/>
  <c r="AA578" i="34"/>
  <c r="AB578" i="34"/>
  <c r="AD578" i="34"/>
  <c r="AE578" i="34"/>
  <c r="AF578" i="34"/>
  <c r="AG578" i="34"/>
  <c r="P579" i="34"/>
  <c r="Q579" i="34"/>
  <c r="R579" i="34"/>
  <c r="S579" i="34"/>
  <c r="T579" i="34"/>
  <c r="U579" i="34"/>
  <c r="V579" i="34"/>
  <c r="W579" i="34"/>
  <c r="X579" i="34"/>
  <c r="Y579" i="34"/>
  <c r="Z579" i="34"/>
  <c r="AA579" i="34"/>
  <c r="AB579" i="34"/>
  <c r="AD579" i="34"/>
  <c r="AE579" i="34"/>
  <c r="AF579" i="34"/>
  <c r="AG579" i="34"/>
  <c r="P580" i="34"/>
  <c r="Q580" i="34"/>
  <c r="R580" i="34"/>
  <c r="S580" i="34"/>
  <c r="T580" i="34"/>
  <c r="U580" i="34"/>
  <c r="V580" i="34"/>
  <c r="W580" i="34"/>
  <c r="X580" i="34"/>
  <c r="Y580" i="34"/>
  <c r="Z580" i="34"/>
  <c r="AA580" i="34"/>
  <c r="AB580" i="34"/>
  <c r="AD580" i="34"/>
  <c r="AE580" i="34"/>
  <c r="AF580" i="34"/>
  <c r="AG580" i="34"/>
  <c r="P581" i="34"/>
  <c r="Q581" i="34"/>
  <c r="R581" i="34"/>
  <c r="S581" i="34"/>
  <c r="T581" i="34"/>
  <c r="U581" i="34"/>
  <c r="V581" i="34"/>
  <c r="W581" i="34"/>
  <c r="X581" i="34"/>
  <c r="Y581" i="34"/>
  <c r="Z581" i="34"/>
  <c r="AA581" i="34"/>
  <c r="AB581" i="34"/>
  <c r="AD581" i="34"/>
  <c r="AE581" i="34"/>
  <c r="AF581" i="34"/>
  <c r="AG581" i="34"/>
  <c r="P582" i="34"/>
  <c r="Q582" i="34"/>
  <c r="R582" i="34"/>
  <c r="S582" i="34"/>
  <c r="T582" i="34"/>
  <c r="U582" i="34"/>
  <c r="V582" i="34"/>
  <c r="W582" i="34"/>
  <c r="X582" i="34"/>
  <c r="Y582" i="34"/>
  <c r="Z582" i="34"/>
  <c r="AA582" i="34"/>
  <c r="AB582" i="34"/>
  <c r="AD582" i="34"/>
  <c r="AE582" i="34"/>
  <c r="AF582" i="34"/>
  <c r="AG582" i="34"/>
  <c r="P583" i="34"/>
  <c r="Q583" i="34"/>
  <c r="R583" i="34"/>
  <c r="S583" i="34"/>
  <c r="T583" i="34"/>
  <c r="U583" i="34"/>
  <c r="V583" i="34"/>
  <c r="W583" i="34"/>
  <c r="X583" i="34"/>
  <c r="Y583" i="34"/>
  <c r="Z583" i="34"/>
  <c r="AA583" i="34"/>
  <c r="AB583" i="34"/>
  <c r="AD583" i="34"/>
  <c r="AE583" i="34"/>
  <c r="AF583" i="34"/>
  <c r="AG583" i="34"/>
  <c r="P584" i="34"/>
  <c r="Q584" i="34"/>
  <c r="R584" i="34"/>
  <c r="S584" i="34"/>
  <c r="T584" i="34"/>
  <c r="U584" i="34"/>
  <c r="V584" i="34"/>
  <c r="W584" i="34"/>
  <c r="X584" i="34"/>
  <c r="Y584" i="34"/>
  <c r="Z584" i="34"/>
  <c r="AA584" i="34"/>
  <c r="AB584" i="34"/>
  <c r="AD584" i="34"/>
  <c r="AE584" i="34"/>
  <c r="AF584" i="34"/>
  <c r="AG584" i="34"/>
  <c r="P585" i="34"/>
  <c r="Q585" i="34"/>
  <c r="R585" i="34"/>
  <c r="S585" i="34"/>
  <c r="T585" i="34"/>
  <c r="U585" i="34"/>
  <c r="V585" i="34"/>
  <c r="W585" i="34"/>
  <c r="X585" i="34"/>
  <c r="Y585" i="34"/>
  <c r="Z585" i="34"/>
  <c r="AA585" i="34"/>
  <c r="AB585" i="34"/>
  <c r="AD585" i="34"/>
  <c r="AE585" i="34"/>
  <c r="AF585" i="34"/>
  <c r="AG585" i="34"/>
  <c r="P586" i="34"/>
  <c r="Q586" i="34"/>
  <c r="R586" i="34"/>
  <c r="S586" i="34"/>
  <c r="T586" i="34"/>
  <c r="U586" i="34"/>
  <c r="V586" i="34"/>
  <c r="W586" i="34"/>
  <c r="X586" i="34"/>
  <c r="Y586" i="34"/>
  <c r="Z586" i="34"/>
  <c r="AA586" i="34"/>
  <c r="AB586" i="34"/>
  <c r="AD586" i="34"/>
  <c r="AE586" i="34"/>
  <c r="AF586" i="34"/>
  <c r="AG586" i="34"/>
  <c r="P587" i="34"/>
  <c r="Q587" i="34"/>
  <c r="R587" i="34"/>
  <c r="S587" i="34"/>
  <c r="T587" i="34"/>
  <c r="U587" i="34"/>
  <c r="V587" i="34"/>
  <c r="W587" i="34"/>
  <c r="X587" i="34"/>
  <c r="Y587" i="34"/>
  <c r="Z587" i="34"/>
  <c r="AA587" i="34"/>
  <c r="AB587" i="34"/>
  <c r="AD587" i="34"/>
  <c r="AE587" i="34"/>
  <c r="AF587" i="34"/>
  <c r="AG587" i="34"/>
  <c r="P588" i="34"/>
  <c r="Q588" i="34"/>
  <c r="R588" i="34"/>
  <c r="S588" i="34"/>
  <c r="T588" i="34"/>
  <c r="U588" i="34"/>
  <c r="V588" i="34"/>
  <c r="W588" i="34"/>
  <c r="X588" i="34"/>
  <c r="Y588" i="34"/>
  <c r="Z588" i="34"/>
  <c r="AA588" i="34"/>
  <c r="AB588" i="34"/>
  <c r="AD588" i="34"/>
  <c r="AE588" i="34"/>
  <c r="AF588" i="34"/>
  <c r="AG588" i="34"/>
  <c r="P589" i="34"/>
  <c r="Q589" i="34"/>
  <c r="R589" i="34"/>
  <c r="S589" i="34"/>
  <c r="T589" i="34"/>
  <c r="U589" i="34"/>
  <c r="V589" i="34"/>
  <c r="W589" i="34"/>
  <c r="X589" i="34"/>
  <c r="Y589" i="34"/>
  <c r="Z589" i="34"/>
  <c r="AA589" i="34"/>
  <c r="AB589" i="34"/>
  <c r="AD589" i="34"/>
  <c r="AE589" i="34"/>
  <c r="AF589" i="34"/>
  <c r="AG589" i="34"/>
  <c r="P590" i="34"/>
  <c r="Q590" i="34"/>
  <c r="R590" i="34"/>
  <c r="S590" i="34"/>
  <c r="T590" i="34"/>
  <c r="U590" i="34"/>
  <c r="V590" i="34"/>
  <c r="W590" i="34"/>
  <c r="X590" i="34"/>
  <c r="Y590" i="34"/>
  <c r="Z590" i="34"/>
  <c r="AA590" i="34"/>
  <c r="AB590" i="34"/>
  <c r="AD590" i="34"/>
  <c r="AE590" i="34"/>
  <c r="AF590" i="34"/>
  <c r="AG590" i="34"/>
  <c r="P591" i="34"/>
  <c r="Q591" i="34"/>
  <c r="R591" i="34"/>
  <c r="S591" i="34"/>
  <c r="T591" i="34"/>
  <c r="U591" i="34"/>
  <c r="V591" i="34"/>
  <c r="W591" i="34"/>
  <c r="X591" i="34"/>
  <c r="Y591" i="34"/>
  <c r="Z591" i="34"/>
  <c r="AA591" i="34"/>
  <c r="AB591" i="34"/>
  <c r="AD591" i="34"/>
  <c r="AE591" i="34"/>
  <c r="AF591" i="34"/>
  <c r="AG591" i="34"/>
  <c r="P592" i="34"/>
  <c r="Q592" i="34"/>
  <c r="R592" i="34"/>
  <c r="S592" i="34"/>
  <c r="T592" i="34"/>
  <c r="U592" i="34"/>
  <c r="V592" i="34"/>
  <c r="W592" i="34"/>
  <c r="X592" i="34"/>
  <c r="Y592" i="34"/>
  <c r="Z592" i="34"/>
  <c r="AA592" i="34"/>
  <c r="AB592" i="34"/>
  <c r="AD592" i="34"/>
  <c r="AE592" i="34"/>
  <c r="AF592" i="34"/>
  <c r="AG592" i="34"/>
  <c r="P593" i="34"/>
  <c r="Q593" i="34"/>
  <c r="R593" i="34"/>
  <c r="S593" i="34"/>
  <c r="T593" i="34"/>
  <c r="U593" i="34"/>
  <c r="V593" i="34"/>
  <c r="W593" i="34"/>
  <c r="X593" i="34"/>
  <c r="Y593" i="34"/>
  <c r="Z593" i="34"/>
  <c r="AA593" i="34"/>
  <c r="AB593" i="34"/>
  <c r="AD593" i="34"/>
  <c r="AE593" i="34"/>
  <c r="AF593" i="34"/>
  <c r="AG593" i="34"/>
  <c r="P594" i="34"/>
  <c r="Q594" i="34"/>
  <c r="R594" i="34"/>
  <c r="S594" i="34"/>
  <c r="T594" i="34"/>
  <c r="U594" i="34"/>
  <c r="V594" i="34"/>
  <c r="W594" i="34"/>
  <c r="X594" i="34"/>
  <c r="Y594" i="34"/>
  <c r="Z594" i="34"/>
  <c r="AA594" i="34"/>
  <c r="AB594" i="34"/>
  <c r="AD594" i="34"/>
  <c r="AE594" i="34"/>
  <c r="AF594" i="34"/>
  <c r="AG594" i="34"/>
  <c r="P595" i="34"/>
  <c r="Q595" i="34"/>
  <c r="R595" i="34"/>
  <c r="S595" i="34"/>
  <c r="T595" i="34"/>
  <c r="U595" i="34"/>
  <c r="V595" i="34"/>
  <c r="W595" i="34"/>
  <c r="X595" i="34"/>
  <c r="Y595" i="34"/>
  <c r="Z595" i="34"/>
  <c r="AA595" i="34"/>
  <c r="AB595" i="34"/>
  <c r="AD595" i="34"/>
  <c r="AE595" i="34"/>
  <c r="AF595" i="34"/>
  <c r="AG595" i="34"/>
  <c r="P596" i="34"/>
  <c r="Q596" i="34"/>
  <c r="R596" i="34"/>
  <c r="S596" i="34"/>
  <c r="T596" i="34"/>
  <c r="U596" i="34"/>
  <c r="V596" i="34"/>
  <c r="W596" i="34"/>
  <c r="X596" i="34"/>
  <c r="Y596" i="34"/>
  <c r="Z596" i="34"/>
  <c r="AA596" i="34"/>
  <c r="AB596" i="34"/>
  <c r="AD596" i="34"/>
  <c r="AE596" i="34"/>
  <c r="AF596" i="34"/>
  <c r="AG596" i="34"/>
  <c r="P597" i="34"/>
  <c r="Q597" i="34"/>
  <c r="R597" i="34"/>
  <c r="S597" i="34"/>
  <c r="T597" i="34"/>
  <c r="U597" i="34"/>
  <c r="V597" i="34"/>
  <c r="W597" i="34"/>
  <c r="X597" i="34"/>
  <c r="Y597" i="34"/>
  <c r="Z597" i="34"/>
  <c r="AA597" i="34"/>
  <c r="AB597" i="34"/>
  <c r="AD597" i="34"/>
  <c r="AE597" i="34"/>
  <c r="AF597" i="34"/>
  <c r="AG597" i="34"/>
  <c r="P598" i="34"/>
  <c r="Q598" i="34"/>
  <c r="R598" i="34"/>
  <c r="S598" i="34"/>
  <c r="T598" i="34"/>
  <c r="U598" i="34"/>
  <c r="V598" i="34"/>
  <c r="W598" i="34"/>
  <c r="X598" i="34"/>
  <c r="Y598" i="34"/>
  <c r="Z598" i="34"/>
  <c r="AA598" i="34"/>
  <c r="AB598" i="34"/>
  <c r="AD598" i="34"/>
  <c r="AE598" i="34"/>
  <c r="AF598" i="34"/>
  <c r="AG598" i="34"/>
  <c r="P599" i="34"/>
  <c r="Q599" i="34"/>
  <c r="R599" i="34"/>
  <c r="S599" i="34"/>
  <c r="T599" i="34"/>
  <c r="U599" i="34"/>
  <c r="V599" i="34"/>
  <c r="W599" i="34"/>
  <c r="X599" i="34"/>
  <c r="Y599" i="34"/>
  <c r="Z599" i="34"/>
  <c r="AA599" i="34"/>
  <c r="AB599" i="34"/>
  <c r="AD599" i="34"/>
  <c r="AE599" i="34"/>
  <c r="AF599" i="34"/>
  <c r="AG599" i="34"/>
  <c r="P600" i="34"/>
  <c r="Q600" i="34"/>
  <c r="R600" i="34"/>
  <c r="S600" i="34"/>
  <c r="T600" i="34"/>
  <c r="U600" i="34"/>
  <c r="V600" i="34"/>
  <c r="W600" i="34"/>
  <c r="X600" i="34"/>
  <c r="Y600" i="34"/>
  <c r="Z600" i="34"/>
  <c r="AA600" i="34"/>
  <c r="AB600" i="34"/>
  <c r="AD600" i="34"/>
  <c r="AE600" i="34"/>
  <c r="AF600" i="34"/>
  <c r="AG600" i="34"/>
  <c r="P601" i="34"/>
  <c r="Q601" i="34"/>
  <c r="R601" i="34"/>
  <c r="S601" i="34"/>
  <c r="T601" i="34"/>
  <c r="U601" i="34"/>
  <c r="V601" i="34"/>
  <c r="W601" i="34"/>
  <c r="X601" i="34"/>
  <c r="Y601" i="34"/>
  <c r="Z601" i="34"/>
  <c r="AA601" i="34"/>
  <c r="AB601" i="34"/>
  <c r="AD601" i="34"/>
  <c r="AE601" i="34"/>
  <c r="AF601" i="34"/>
  <c r="AG601" i="34"/>
  <c r="P602" i="34"/>
  <c r="Q602" i="34"/>
  <c r="R602" i="34"/>
  <c r="S602" i="34"/>
  <c r="T602" i="34"/>
  <c r="U602" i="34"/>
  <c r="V602" i="34"/>
  <c r="W602" i="34"/>
  <c r="X602" i="34"/>
  <c r="Y602" i="34"/>
  <c r="Z602" i="34"/>
  <c r="AA602" i="34"/>
  <c r="AB602" i="34"/>
  <c r="AD602" i="34"/>
  <c r="AE602" i="34"/>
  <c r="AF602" i="34"/>
  <c r="AG602" i="34"/>
  <c r="P603" i="34"/>
  <c r="Q603" i="34"/>
  <c r="R603" i="34"/>
  <c r="S603" i="34"/>
  <c r="T603" i="34"/>
  <c r="U603" i="34"/>
  <c r="V603" i="34"/>
  <c r="W603" i="34"/>
  <c r="X603" i="34"/>
  <c r="Y603" i="34"/>
  <c r="Z603" i="34"/>
  <c r="AA603" i="34"/>
  <c r="AB603" i="34"/>
  <c r="AD603" i="34"/>
  <c r="AE603" i="34"/>
  <c r="AF603" i="34"/>
  <c r="AG603" i="34"/>
  <c r="P604" i="34"/>
  <c r="Q604" i="34"/>
  <c r="R604" i="34"/>
  <c r="S604" i="34"/>
  <c r="T604" i="34"/>
  <c r="U604" i="34"/>
  <c r="V604" i="34"/>
  <c r="W604" i="34"/>
  <c r="X604" i="34"/>
  <c r="Y604" i="34"/>
  <c r="Z604" i="34"/>
  <c r="AA604" i="34"/>
  <c r="AB604" i="34"/>
  <c r="AD604" i="34"/>
  <c r="AE604" i="34"/>
  <c r="AF604" i="34"/>
  <c r="AG604" i="34"/>
  <c r="P605" i="34"/>
  <c r="Q605" i="34"/>
  <c r="R605" i="34"/>
  <c r="S605" i="34"/>
  <c r="T605" i="34"/>
  <c r="U605" i="34"/>
  <c r="V605" i="34"/>
  <c r="W605" i="34"/>
  <c r="X605" i="34"/>
  <c r="Y605" i="34"/>
  <c r="Z605" i="34"/>
  <c r="AA605" i="34"/>
  <c r="AB605" i="34"/>
  <c r="AD605" i="34"/>
  <c r="AE605" i="34"/>
  <c r="AF605" i="34"/>
  <c r="AG605" i="34"/>
  <c r="P606" i="34"/>
  <c r="Q606" i="34"/>
  <c r="R606" i="34"/>
  <c r="S606" i="34"/>
  <c r="T606" i="34"/>
  <c r="U606" i="34"/>
  <c r="V606" i="34"/>
  <c r="W606" i="34"/>
  <c r="X606" i="34"/>
  <c r="Y606" i="34"/>
  <c r="Z606" i="34"/>
  <c r="AA606" i="34"/>
  <c r="AB606" i="34"/>
  <c r="AD606" i="34"/>
  <c r="AE606" i="34"/>
  <c r="AF606" i="34"/>
  <c r="AG606" i="34"/>
  <c r="P607" i="34"/>
  <c r="Q607" i="34"/>
  <c r="R607" i="34"/>
  <c r="S607" i="34"/>
  <c r="T607" i="34"/>
  <c r="U607" i="34"/>
  <c r="V607" i="34"/>
  <c r="W607" i="34"/>
  <c r="X607" i="34"/>
  <c r="Y607" i="34"/>
  <c r="Z607" i="34"/>
  <c r="AA607" i="34"/>
  <c r="AB607" i="34"/>
  <c r="AD607" i="34"/>
  <c r="AE607" i="34"/>
  <c r="AF607" i="34"/>
  <c r="AG607" i="34"/>
  <c r="P608" i="34"/>
  <c r="Q608" i="34"/>
  <c r="R608" i="34"/>
  <c r="S608" i="34"/>
  <c r="T608" i="34"/>
  <c r="U608" i="34"/>
  <c r="V608" i="34"/>
  <c r="W608" i="34"/>
  <c r="X608" i="34"/>
  <c r="Y608" i="34"/>
  <c r="Z608" i="34"/>
  <c r="AA608" i="34"/>
  <c r="AB608" i="34"/>
  <c r="AD608" i="34"/>
  <c r="AE608" i="34"/>
  <c r="AF608" i="34"/>
  <c r="AG608" i="34"/>
  <c r="P609" i="34"/>
  <c r="Q609" i="34"/>
  <c r="R609" i="34"/>
  <c r="S609" i="34"/>
  <c r="T609" i="34"/>
  <c r="U609" i="34"/>
  <c r="V609" i="34"/>
  <c r="W609" i="34"/>
  <c r="X609" i="34"/>
  <c r="Y609" i="34"/>
  <c r="Z609" i="34"/>
  <c r="AA609" i="34"/>
  <c r="AB609" i="34"/>
  <c r="AD609" i="34"/>
  <c r="AE609" i="34"/>
  <c r="AF609" i="34"/>
  <c r="AG609" i="34"/>
  <c r="P610" i="34"/>
  <c r="Q610" i="34"/>
  <c r="R610" i="34"/>
  <c r="S610" i="34"/>
  <c r="T610" i="34"/>
  <c r="U610" i="34"/>
  <c r="V610" i="34"/>
  <c r="W610" i="34"/>
  <c r="X610" i="34"/>
  <c r="Y610" i="34"/>
  <c r="Z610" i="34"/>
  <c r="AA610" i="34"/>
  <c r="AB610" i="34"/>
  <c r="AD610" i="34"/>
  <c r="AE610" i="34"/>
  <c r="AF610" i="34"/>
  <c r="AG610" i="34"/>
  <c r="P611" i="34"/>
  <c r="Q611" i="34"/>
  <c r="R611" i="34"/>
  <c r="S611" i="34"/>
  <c r="T611" i="34"/>
  <c r="U611" i="34"/>
  <c r="V611" i="34"/>
  <c r="W611" i="34"/>
  <c r="X611" i="34"/>
  <c r="Y611" i="34"/>
  <c r="Z611" i="34"/>
  <c r="AA611" i="34"/>
  <c r="AB611" i="34"/>
  <c r="AD611" i="34"/>
  <c r="AE611" i="34"/>
  <c r="AF611" i="34"/>
  <c r="AG611" i="34"/>
  <c r="P612" i="34"/>
  <c r="Q612" i="34"/>
  <c r="R612" i="34"/>
  <c r="S612" i="34"/>
  <c r="T612" i="34"/>
  <c r="U612" i="34"/>
  <c r="V612" i="34"/>
  <c r="W612" i="34"/>
  <c r="X612" i="34"/>
  <c r="Y612" i="34"/>
  <c r="Z612" i="34"/>
  <c r="AA612" i="34"/>
  <c r="AB612" i="34"/>
  <c r="AD612" i="34"/>
  <c r="AE612" i="34"/>
  <c r="AF612" i="34"/>
  <c r="AG612" i="34"/>
  <c r="P613" i="34"/>
  <c r="Q613" i="34"/>
  <c r="R613" i="34"/>
  <c r="S613" i="34"/>
  <c r="T613" i="34"/>
  <c r="U613" i="34"/>
  <c r="V613" i="34"/>
  <c r="W613" i="34"/>
  <c r="X613" i="34"/>
  <c r="Y613" i="34"/>
  <c r="Z613" i="34"/>
  <c r="AA613" i="34"/>
  <c r="AB613" i="34"/>
  <c r="AD613" i="34"/>
  <c r="AE613" i="34"/>
  <c r="AF613" i="34"/>
  <c r="AG613" i="34"/>
  <c r="P614" i="34"/>
  <c r="Q614" i="34"/>
  <c r="R614" i="34"/>
  <c r="S614" i="34"/>
  <c r="T614" i="34"/>
  <c r="U614" i="34"/>
  <c r="V614" i="34"/>
  <c r="W614" i="34"/>
  <c r="X614" i="34"/>
  <c r="Y614" i="34"/>
  <c r="Z614" i="34"/>
  <c r="AA614" i="34"/>
  <c r="AB614" i="34"/>
  <c r="AD614" i="34"/>
  <c r="AE614" i="34"/>
  <c r="AF614" i="34"/>
  <c r="AG614" i="34"/>
  <c r="P615" i="34"/>
  <c r="Q615" i="34"/>
  <c r="R615" i="34"/>
  <c r="S615" i="34"/>
  <c r="T615" i="34"/>
  <c r="U615" i="34"/>
  <c r="V615" i="34"/>
  <c r="W615" i="34"/>
  <c r="X615" i="34"/>
  <c r="Y615" i="34"/>
  <c r="Z615" i="34"/>
  <c r="AA615" i="34"/>
  <c r="AB615" i="34"/>
  <c r="AD615" i="34"/>
  <c r="AE615" i="34"/>
  <c r="AF615" i="34"/>
  <c r="AG615" i="34"/>
  <c r="P616" i="34"/>
  <c r="Q616" i="34"/>
  <c r="R616" i="34"/>
  <c r="S616" i="34"/>
  <c r="T616" i="34"/>
  <c r="U616" i="34"/>
  <c r="V616" i="34"/>
  <c r="W616" i="34"/>
  <c r="X616" i="34"/>
  <c r="Y616" i="34"/>
  <c r="Z616" i="34"/>
  <c r="AA616" i="34"/>
  <c r="AB616" i="34"/>
  <c r="AD616" i="34"/>
  <c r="AE616" i="34"/>
  <c r="AF616" i="34"/>
  <c r="AG616" i="34"/>
  <c r="P617" i="34"/>
  <c r="Q617" i="34"/>
  <c r="R617" i="34"/>
  <c r="S617" i="34"/>
  <c r="T617" i="34"/>
  <c r="U617" i="34"/>
  <c r="V617" i="34"/>
  <c r="W617" i="34"/>
  <c r="X617" i="34"/>
  <c r="Y617" i="34"/>
  <c r="Z617" i="34"/>
  <c r="AA617" i="34"/>
  <c r="AB617" i="34"/>
  <c r="AD617" i="34"/>
  <c r="AE617" i="34"/>
  <c r="AF617" i="34"/>
  <c r="AG617" i="34"/>
  <c r="P618" i="34"/>
  <c r="Q618" i="34"/>
  <c r="R618" i="34"/>
  <c r="S618" i="34"/>
  <c r="T618" i="34"/>
  <c r="U618" i="34"/>
  <c r="V618" i="34"/>
  <c r="W618" i="34"/>
  <c r="X618" i="34"/>
  <c r="Y618" i="34"/>
  <c r="Z618" i="34"/>
  <c r="AA618" i="34"/>
  <c r="AB618" i="34"/>
  <c r="AD618" i="34"/>
  <c r="AE618" i="34"/>
  <c r="AF618" i="34"/>
  <c r="AG618" i="34"/>
  <c r="P619" i="34"/>
  <c r="Q619" i="34"/>
  <c r="R619" i="34"/>
  <c r="S619" i="34"/>
  <c r="T619" i="34"/>
  <c r="U619" i="34"/>
  <c r="V619" i="34"/>
  <c r="W619" i="34"/>
  <c r="X619" i="34"/>
  <c r="Y619" i="34"/>
  <c r="Z619" i="34"/>
  <c r="AA619" i="34"/>
  <c r="AB619" i="34"/>
  <c r="AD619" i="34"/>
  <c r="AE619" i="34"/>
  <c r="AF619" i="34"/>
  <c r="AG619" i="34"/>
  <c r="P620" i="34"/>
  <c r="Q620" i="34"/>
  <c r="R620" i="34"/>
  <c r="S620" i="34"/>
  <c r="T620" i="34"/>
  <c r="U620" i="34"/>
  <c r="V620" i="34"/>
  <c r="W620" i="34"/>
  <c r="X620" i="34"/>
  <c r="Y620" i="34"/>
  <c r="Z620" i="34"/>
  <c r="AA620" i="34"/>
  <c r="AB620" i="34"/>
  <c r="AD620" i="34"/>
  <c r="AE620" i="34"/>
  <c r="AF620" i="34"/>
  <c r="AG620" i="34"/>
  <c r="P621" i="34"/>
  <c r="Q621" i="34"/>
  <c r="R621" i="34"/>
  <c r="S621" i="34"/>
  <c r="T621" i="34"/>
  <c r="U621" i="34"/>
  <c r="V621" i="34"/>
  <c r="W621" i="34"/>
  <c r="X621" i="34"/>
  <c r="Y621" i="34"/>
  <c r="Z621" i="34"/>
  <c r="AA621" i="34"/>
  <c r="AB621" i="34"/>
  <c r="AD621" i="34"/>
  <c r="AE621" i="34"/>
  <c r="AF621" i="34"/>
  <c r="AG621" i="34"/>
  <c r="P622" i="34"/>
  <c r="Q622" i="34"/>
  <c r="R622" i="34"/>
  <c r="S622" i="34"/>
  <c r="T622" i="34"/>
  <c r="U622" i="34"/>
  <c r="V622" i="34"/>
  <c r="W622" i="34"/>
  <c r="X622" i="34"/>
  <c r="Y622" i="34"/>
  <c r="Z622" i="34"/>
  <c r="AA622" i="34"/>
  <c r="AB622" i="34"/>
  <c r="AD622" i="34"/>
  <c r="AE622" i="34"/>
  <c r="AF622" i="34"/>
  <c r="AG622" i="34"/>
  <c r="P623" i="34"/>
  <c r="Q623" i="34"/>
  <c r="R623" i="34"/>
  <c r="S623" i="34"/>
  <c r="T623" i="34"/>
  <c r="U623" i="34"/>
  <c r="V623" i="34"/>
  <c r="W623" i="34"/>
  <c r="X623" i="34"/>
  <c r="Y623" i="34"/>
  <c r="Z623" i="34"/>
  <c r="AA623" i="34"/>
  <c r="AB623" i="34"/>
  <c r="AD623" i="34"/>
  <c r="AE623" i="34"/>
  <c r="AF623" i="34"/>
  <c r="AG623" i="34"/>
  <c r="P624" i="34"/>
  <c r="Q624" i="34"/>
  <c r="R624" i="34"/>
  <c r="S624" i="34"/>
  <c r="T624" i="34"/>
  <c r="U624" i="34"/>
  <c r="V624" i="34"/>
  <c r="W624" i="34"/>
  <c r="X624" i="34"/>
  <c r="Y624" i="34"/>
  <c r="Z624" i="34"/>
  <c r="AA624" i="34"/>
  <c r="AB624" i="34"/>
  <c r="AD624" i="34"/>
  <c r="AE624" i="34"/>
  <c r="AF624" i="34"/>
  <c r="AG624" i="34"/>
  <c r="P625" i="34"/>
  <c r="Q625" i="34"/>
  <c r="R625" i="34"/>
  <c r="S625" i="34"/>
  <c r="T625" i="34"/>
  <c r="U625" i="34"/>
  <c r="V625" i="34"/>
  <c r="W625" i="34"/>
  <c r="X625" i="34"/>
  <c r="Y625" i="34"/>
  <c r="Z625" i="34"/>
  <c r="AA625" i="34"/>
  <c r="AB625" i="34"/>
  <c r="AD625" i="34"/>
  <c r="AE625" i="34"/>
  <c r="AF625" i="34"/>
  <c r="AG625" i="34"/>
  <c r="P626" i="34"/>
  <c r="Q626" i="34"/>
  <c r="R626" i="34"/>
  <c r="S626" i="34"/>
  <c r="T626" i="34"/>
  <c r="U626" i="34"/>
  <c r="V626" i="34"/>
  <c r="W626" i="34"/>
  <c r="X626" i="34"/>
  <c r="Y626" i="34"/>
  <c r="Z626" i="34"/>
  <c r="AA626" i="34"/>
  <c r="AB626" i="34"/>
  <c r="AD626" i="34"/>
  <c r="AE626" i="34"/>
  <c r="AF626" i="34"/>
  <c r="AG626" i="34"/>
  <c r="P627" i="34"/>
  <c r="Q627" i="34"/>
  <c r="R627" i="34"/>
  <c r="S627" i="34"/>
  <c r="T627" i="34"/>
  <c r="U627" i="34"/>
  <c r="V627" i="34"/>
  <c r="W627" i="34"/>
  <c r="X627" i="34"/>
  <c r="Y627" i="34"/>
  <c r="Z627" i="34"/>
  <c r="AA627" i="34"/>
  <c r="AB627" i="34"/>
  <c r="AD627" i="34"/>
  <c r="AE627" i="34"/>
  <c r="AF627" i="34"/>
  <c r="AG627" i="34"/>
  <c r="P628" i="34"/>
  <c r="Q628" i="34"/>
  <c r="R628" i="34"/>
  <c r="S628" i="34"/>
  <c r="T628" i="34"/>
  <c r="U628" i="34"/>
  <c r="V628" i="34"/>
  <c r="W628" i="34"/>
  <c r="X628" i="34"/>
  <c r="Y628" i="34"/>
  <c r="Z628" i="34"/>
  <c r="AA628" i="34"/>
  <c r="AB628" i="34"/>
  <c r="AD628" i="34"/>
  <c r="AE628" i="34"/>
  <c r="AF628" i="34"/>
  <c r="AG628" i="34"/>
  <c r="P629" i="34"/>
  <c r="Q629" i="34"/>
  <c r="R629" i="34"/>
  <c r="S629" i="34"/>
  <c r="T629" i="34"/>
  <c r="U629" i="34"/>
  <c r="V629" i="34"/>
  <c r="W629" i="34"/>
  <c r="X629" i="34"/>
  <c r="Y629" i="34"/>
  <c r="Z629" i="34"/>
  <c r="AA629" i="34"/>
  <c r="AB629" i="34"/>
  <c r="AD629" i="34"/>
  <c r="AE629" i="34"/>
  <c r="AF629" i="34"/>
  <c r="AG629" i="34"/>
  <c r="P630" i="34"/>
  <c r="Q630" i="34"/>
  <c r="R630" i="34"/>
  <c r="S630" i="34"/>
  <c r="T630" i="34"/>
  <c r="U630" i="34"/>
  <c r="V630" i="34"/>
  <c r="W630" i="34"/>
  <c r="X630" i="34"/>
  <c r="Y630" i="34"/>
  <c r="Z630" i="34"/>
  <c r="AA630" i="34"/>
  <c r="AB630" i="34"/>
  <c r="AD630" i="34"/>
  <c r="AE630" i="34"/>
  <c r="AF630" i="34"/>
  <c r="AG630" i="34"/>
  <c r="P631" i="34"/>
  <c r="Q631" i="34"/>
  <c r="R631" i="34"/>
  <c r="S631" i="34"/>
  <c r="T631" i="34"/>
  <c r="U631" i="34"/>
  <c r="V631" i="34"/>
  <c r="W631" i="34"/>
  <c r="X631" i="34"/>
  <c r="Y631" i="34"/>
  <c r="Z631" i="34"/>
  <c r="AA631" i="34"/>
  <c r="AB631" i="34"/>
  <c r="AD631" i="34"/>
  <c r="AE631" i="34"/>
  <c r="AF631" i="34"/>
  <c r="AG631" i="34"/>
  <c r="P632" i="34"/>
  <c r="Q632" i="34"/>
  <c r="R632" i="34"/>
  <c r="S632" i="34"/>
  <c r="T632" i="34"/>
  <c r="U632" i="34"/>
  <c r="V632" i="34"/>
  <c r="W632" i="34"/>
  <c r="X632" i="34"/>
  <c r="Y632" i="34"/>
  <c r="Z632" i="34"/>
  <c r="AA632" i="34"/>
  <c r="AB632" i="34"/>
  <c r="AD632" i="34"/>
  <c r="AE632" i="34"/>
  <c r="AF632" i="34"/>
  <c r="AG632" i="34"/>
  <c r="P633" i="34"/>
  <c r="Q633" i="34"/>
  <c r="R633" i="34"/>
  <c r="S633" i="34"/>
  <c r="T633" i="34"/>
  <c r="U633" i="34"/>
  <c r="V633" i="34"/>
  <c r="W633" i="34"/>
  <c r="X633" i="34"/>
  <c r="Y633" i="34"/>
  <c r="Z633" i="34"/>
  <c r="AA633" i="34"/>
  <c r="AB633" i="34"/>
  <c r="AD633" i="34"/>
  <c r="AE633" i="34"/>
  <c r="AF633" i="34"/>
  <c r="AG633" i="34"/>
  <c r="P634" i="34"/>
  <c r="Q634" i="34"/>
  <c r="R634" i="34"/>
  <c r="S634" i="34"/>
  <c r="T634" i="34"/>
  <c r="U634" i="34"/>
  <c r="V634" i="34"/>
  <c r="W634" i="34"/>
  <c r="X634" i="34"/>
  <c r="Y634" i="34"/>
  <c r="Z634" i="34"/>
  <c r="AA634" i="34"/>
  <c r="AB634" i="34"/>
  <c r="AD634" i="34"/>
  <c r="AE634" i="34"/>
  <c r="AF634" i="34"/>
  <c r="AG634" i="34"/>
  <c r="P635" i="34"/>
  <c r="Q635" i="34"/>
  <c r="R635" i="34"/>
  <c r="S635" i="34"/>
  <c r="T635" i="34"/>
  <c r="U635" i="34"/>
  <c r="V635" i="34"/>
  <c r="W635" i="34"/>
  <c r="X635" i="34"/>
  <c r="Y635" i="34"/>
  <c r="Z635" i="34"/>
  <c r="AA635" i="34"/>
  <c r="AB635" i="34"/>
  <c r="AD635" i="34"/>
  <c r="AE635" i="34"/>
  <c r="AF635" i="34"/>
  <c r="AG635" i="34"/>
  <c r="P636" i="34"/>
  <c r="Q636" i="34"/>
  <c r="R636" i="34"/>
  <c r="S636" i="34"/>
  <c r="T636" i="34"/>
  <c r="U636" i="34"/>
  <c r="V636" i="34"/>
  <c r="W636" i="34"/>
  <c r="X636" i="34"/>
  <c r="Y636" i="34"/>
  <c r="Z636" i="34"/>
  <c r="AA636" i="34"/>
  <c r="AB636" i="34"/>
  <c r="AD636" i="34"/>
  <c r="AE636" i="34"/>
  <c r="AF636" i="34"/>
  <c r="AG636" i="34"/>
  <c r="P637" i="34"/>
  <c r="Q637" i="34"/>
  <c r="R637" i="34"/>
  <c r="S637" i="34"/>
  <c r="T637" i="34"/>
  <c r="U637" i="34"/>
  <c r="V637" i="34"/>
  <c r="W637" i="34"/>
  <c r="X637" i="34"/>
  <c r="Y637" i="34"/>
  <c r="Z637" i="34"/>
  <c r="AA637" i="34"/>
  <c r="AB637" i="34"/>
  <c r="AD637" i="34"/>
  <c r="AE637" i="34"/>
  <c r="AF637" i="34"/>
  <c r="AG637" i="34"/>
  <c r="P638" i="34"/>
  <c r="Q638" i="34"/>
  <c r="R638" i="34"/>
  <c r="S638" i="34"/>
  <c r="T638" i="34"/>
  <c r="U638" i="34"/>
  <c r="V638" i="34"/>
  <c r="W638" i="34"/>
  <c r="X638" i="34"/>
  <c r="Y638" i="34"/>
  <c r="Z638" i="34"/>
  <c r="AA638" i="34"/>
  <c r="AB638" i="34"/>
  <c r="AD638" i="34"/>
  <c r="AE638" i="34"/>
  <c r="AF638" i="34"/>
  <c r="AG638" i="34"/>
  <c r="P639" i="34"/>
  <c r="Q639" i="34"/>
  <c r="R639" i="34"/>
  <c r="S639" i="34"/>
  <c r="T639" i="34"/>
  <c r="U639" i="34"/>
  <c r="V639" i="34"/>
  <c r="W639" i="34"/>
  <c r="X639" i="34"/>
  <c r="Y639" i="34"/>
  <c r="Z639" i="34"/>
  <c r="AA639" i="34"/>
  <c r="AB639" i="34"/>
  <c r="AD639" i="34"/>
  <c r="AE639" i="34"/>
  <c r="AF639" i="34"/>
  <c r="AG639" i="34"/>
  <c r="P640" i="34"/>
  <c r="Q640" i="34"/>
  <c r="R640" i="34"/>
  <c r="S640" i="34"/>
  <c r="T640" i="34"/>
  <c r="U640" i="34"/>
  <c r="V640" i="34"/>
  <c r="W640" i="34"/>
  <c r="X640" i="34"/>
  <c r="Y640" i="34"/>
  <c r="Z640" i="34"/>
  <c r="AA640" i="34"/>
  <c r="AB640" i="34"/>
  <c r="AD640" i="34"/>
  <c r="AE640" i="34"/>
  <c r="AF640" i="34"/>
  <c r="AG640" i="34"/>
  <c r="P641" i="34"/>
  <c r="Q641" i="34"/>
  <c r="R641" i="34"/>
  <c r="S641" i="34"/>
  <c r="T641" i="34"/>
  <c r="U641" i="34"/>
  <c r="V641" i="34"/>
  <c r="W641" i="34"/>
  <c r="X641" i="34"/>
  <c r="Y641" i="34"/>
  <c r="Z641" i="34"/>
  <c r="AA641" i="34"/>
  <c r="AB641" i="34"/>
  <c r="AD641" i="34"/>
  <c r="AE641" i="34"/>
  <c r="AF641" i="34"/>
  <c r="AG641" i="34"/>
  <c r="P642" i="34"/>
  <c r="Q642" i="34"/>
  <c r="R642" i="34"/>
  <c r="S642" i="34"/>
  <c r="T642" i="34"/>
  <c r="U642" i="34"/>
  <c r="V642" i="34"/>
  <c r="W642" i="34"/>
  <c r="X642" i="34"/>
  <c r="Y642" i="34"/>
  <c r="Z642" i="34"/>
  <c r="AA642" i="34"/>
  <c r="AB642" i="34"/>
  <c r="AD642" i="34"/>
  <c r="AE642" i="34"/>
  <c r="AF642" i="34"/>
  <c r="AG642" i="34"/>
  <c r="P643" i="34"/>
  <c r="Q643" i="34"/>
  <c r="R643" i="34"/>
  <c r="S643" i="34"/>
  <c r="T643" i="34"/>
  <c r="U643" i="34"/>
  <c r="V643" i="34"/>
  <c r="W643" i="34"/>
  <c r="X643" i="34"/>
  <c r="Y643" i="34"/>
  <c r="Z643" i="34"/>
  <c r="AA643" i="34"/>
  <c r="AB643" i="34"/>
  <c r="AD643" i="34"/>
  <c r="AE643" i="34"/>
  <c r="AF643" i="34"/>
  <c r="AG643" i="34"/>
  <c r="P644" i="34"/>
  <c r="Q644" i="34"/>
  <c r="R644" i="34"/>
  <c r="S644" i="34"/>
  <c r="T644" i="34"/>
  <c r="U644" i="34"/>
  <c r="V644" i="34"/>
  <c r="W644" i="34"/>
  <c r="X644" i="34"/>
  <c r="Y644" i="34"/>
  <c r="Z644" i="34"/>
  <c r="AA644" i="34"/>
  <c r="AB644" i="34"/>
  <c r="AD644" i="34"/>
  <c r="AE644" i="34"/>
  <c r="AF644" i="34"/>
  <c r="AG644" i="34"/>
  <c r="P645" i="34"/>
  <c r="Q645" i="34"/>
  <c r="R645" i="34"/>
  <c r="S645" i="34"/>
  <c r="T645" i="34"/>
  <c r="U645" i="34"/>
  <c r="V645" i="34"/>
  <c r="W645" i="34"/>
  <c r="X645" i="34"/>
  <c r="Y645" i="34"/>
  <c r="Z645" i="34"/>
  <c r="AA645" i="34"/>
  <c r="AB645" i="34"/>
  <c r="AD645" i="34"/>
  <c r="AE645" i="34"/>
  <c r="AF645" i="34"/>
  <c r="AG645" i="34"/>
  <c r="P646" i="34"/>
  <c r="Q646" i="34"/>
  <c r="R646" i="34"/>
  <c r="S646" i="34"/>
  <c r="T646" i="34"/>
  <c r="U646" i="34"/>
  <c r="V646" i="34"/>
  <c r="W646" i="34"/>
  <c r="X646" i="34"/>
  <c r="Y646" i="34"/>
  <c r="Z646" i="34"/>
  <c r="AA646" i="34"/>
  <c r="AB646" i="34"/>
  <c r="AD646" i="34"/>
  <c r="AE646" i="34"/>
  <c r="AF646" i="34"/>
  <c r="AG646" i="34"/>
  <c r="P647" i="34"/>
  <c r="Q647" i="34"/>
  <c r="R647" i="34"/>
  <c r="S647" i="34"/>
  <c r="T647" i="34"/>
  <c r="U647" i="34"/>
  <c r="V647" i="34"/>
  <c r="W647" i="34"/>
  <c r="X647" i="34"/>
  <c r="Y647" i="34"/>
  <c r="Z647" i="34"/>
  <c r="AA647" i="34"/>
  <c r="AB647" i="34"/>
  <c r="AD647" i="34"/>
  <c r="AE647" i="34"/>
  <c r="AF647" i="34"/>
  <c r="AG647" i="34"/>
  <c r="P648" i="34"/>
  <c r="Q648" i="34"/>
  <c r="R648" i="34"/>
  <c r="S648" i="34"/>
  <c r="T648" i="34"/>
  <c r="U648" i="34"/>
  <c r="V648" i="34"/>
  <c r="W648" i="34"/>
  <c r="X648" i="34"/>
  <c r="Y648" i="34"/>
  <c r="Z648" i="34"/>
  <c r="AA648" i="34"/>
  <c r="AB648" i="34"/>
  <c r="AD648" i="34"/>
  <c r="AE648" i="34"/>
  <c r="AF648" i="34"/>
  <c r="AG648" i="34"/>
  <c r="P649" i="34"/>
  <c r="Q649" i="34"/>
  <c r="R649" i="34"/>
  <c r="S649" i="34"/>
  <c r="T649" i="34"/>
  <c r="U649" i="34"/>
  <c r="V649" i="34"/>
  <c r="W649" i="34"/>
  <c r="X649" i="34"/>
  <c r="Y649" i="34"/>
  <c r="Z649" i="34"/>
  <c r="AA649" i="34"/>
  <c r="AB649" i="34"/>
  <c r="AD649" i="34"/>
  <c r="AE649" i="34"/>
  <c r="AF649" i="34"/>
  <c r="AG649" i="34"/>
  <c r="P650" i="34"/>
  <c r="Q650" i="34"/>
  <c r="R650" i="34"/>
  <c r="S650" i="34"/>
  <c r="T650" i="34"/>
  <c r="U650" i="34"/>
  <c r="V650" i="34"/>
  <c r="W650" i="34"/>
  <c r="X650" i="34"/>
  <c r="Y650" i="34"/>
  <c r="Z650" i="34"/>
  <c r="AA650" i="34"/>
  <c r="AB650" i="34"/>
  <c r="AD650" i="34"/>
  <c r="AE650" i="34"/>
  <c r="AF650" i="34"/>
  <c r="AG650" i="34"/>
  <c r="P651" i="34"/>
  <c r="Q651" i="34"/>
  <c r="R651" i="34"/>
  <c r="S651" i="34"/>
  <c r="T651" i="34"/>
  <c r="U651" i="34"/>
  <c r="V651" i="34"/>
  <c r="W651" i="34"/>
  <c r="X651" i="34"/>
  <c r="Y651" i="34"/>
  <c r="Z651" i="34"/>
  <c r="AA651" i="34"/>
  <c r="AB651" i="34"/>
  <c r="AD651" i="34"/>
  <c r="AE651" i="34"/>
  <c r="AF651" i="34"/>
  <c r="AG651" i="34"/>
  <c r="P652" i="34"/>
  <c r="Q652" i="34"/>
  <c r="R652" i="34"/>
  <c r="S652" i="34"/>
  <c r="T652" i="34"/>
  <c r="U652" i="34"/>
  <c r="V652" i="34"/>
  <c r="W652" i="34"/>
  <c r="X652" i="34"/>
  <c r="Y652" i="34"/>
  <c r="Z652" i="34"/>
  <c r="AA652" i="34"/>
  <c r="AB652" i="34"/>
  <c r="AD652" i="34"/>
  <c r="AE652" i="34"/>
  <c r="AF652" i="34"/>
  <c r="AG652" i="34"/>
  <c r="P653" i="34"/>
  <c r="Q653" i="34"/>
  <c r="R653" i="34"/>
  <c r="S653" i="34"/>
  <c r="T653" i="34"/>
  <c r="U653" i="34"/>
  <c r="V653" i="34"/>
  <c r="W653" i="34"/>
  <c r="X653" i="34"/>
  <c r="Y653" i="34"/>
  <c r="Z653" i="34"/>
  <c r="AA653" i="34"/>
  <c r="AB653" i="34"/>
  <c r="AD653" i="34"/>
  <c r="AE653" i="34"/>
  <c r="AF653" i="34"/>
  <c r="AG653" i="34"/>
  <c r="P654" i="34"/>
  <c r="Q654" i="34"/>
  <c r="R654" i="34"/>
  <c r="S654" i="34"/>
  <c r="T654" i="34"/>
  <c r="U654" i="34"/>
  <c r="V654" i="34"/>
  <c r="W654" i="34"/>
  <c r="X654" i="34"/>
  <c r="Y654" i="34"/>
  <c r="Z654" i="34"/>
  <c r="AA654" i="34"/>
  <c r="AB654" i="34"/>
  <c r="AD654" i="34"/>
  <c r="AE654" i="34"/>
  <c r="AF654" i="34"/>
  <c r="AG654" i="34"/>
  <c r="P655" i="34"/>
  <c r="Q655" i="34"/>
  <c r="R655" i="34"/>
  <c r="S655" i="34"/>
  <c r="T655" i="34"/>
  <c r="U655" i="34"/>
  <c r="V655" i="34"/>
  <c r="W655" i="34"/>
  <c r="X655" i="34"/>
  <c r="Y655" i="34"/>
  <c r="Z655" i="34"/>
  <c r="AA655" i="34"/>
  <c r="AB655" i="34"/>
  <c r="AD655" i="34"/>
  <c r="AE655" i="34"/>
  <c r="AF655" i="34"/>
  <c r="AG655" i="34"/>
  <c r="P656" i="34"/>
  <c r="Q656" i="34"/>
  <c r="R656" i="34"/>
  <c r="S656" i="34"/>
  <c r="T656" i="34"/>
  <c r="U656" i="34"/>
  <c r="V656" i="34"/>
  <c r="W656" i="34"/>
  <c r="X656" i="34"/>
  <c r="Y656" i="34"/>
  <c r="Z656" i="34"/>
  <c r="AA656" i="34"/>
  <c r="AB656" i="34"/>
  <c r="AD656" i="34"/>
  <c r="AE656" i="34"/>
  <c r="AF656" i="34"/>
  <c r="AG656" i="34"/>
  <c r="P657" i="34"/>
  <c r="Q657" i="34"/>
  <c r="R657" i="34"/>
  <c r="S657" i="34"/>
  <c r="T657" i="34"/>
  <c r="U657" i="34"/>
  <c r="V657" i="34"/>
  <c r="W657" i="34"/>
  <c r="X657" i="34"/>
  <c r="Y657" i="34"/>
  <c r="Z657" i="34"/>
  <c r="AA657" i="34"/>
  <c r="AB657" i="34"/>
  <c r="AD657" i="34"/>
  <c r="AE657" i="34"/>
  <c r="AF657" i="34"/>
  <c r="AG657" i="34"/>
  <c r="P658" i="34"/>
  <c r="Q658" i="34"/>
  <c r="R658" i="34"/>
  <c r="S658" i="34"/>
  <c r="T658" i="34"/>
  <c r="U658" i="34"/>
  <c r="V658" i="34"/>
  <c r="W658" i="34"/>
  <c r="X658" i="34"/>
  <c r="Y658" i="34"/>
  <c r="Z658" i="34"/>
  <c r="AA658" i="34"/>
  <c r="AB658" i="34"/>
  <c r="AD658" i="34"/>
  <c r="AE658" i="34"/>
  <c r="AF658" i="34"/>
  <c r="AG658" i="34"/>
  <c r="P659" i="34"/>
  <c r="Q659" i="34"/>
  <c r="R659" i="34"/>
  <c r="S659" i="34"/>
  <c r="T659" i="34"/>
  <c r="U659" i="34"/>
  <c r="V659" i="34"/>
  <c r="W659" i="34"/>
  <c r="X659" i="34"/>
  <c r="Y659" i="34"/>
  <c r="Z659" i="34"/>
  <c r="AA659" i="34"/>
  <c r="AB659" i="34"/>
  <c r="AD659" i="34"/>
  <c r="AE659" i="34"/>
  <c r="AF659" i="34"/>
  <c r="AG659" i="34"/>
  <c r="P660" i="34"/>
  <c r="Q660" i="34"/>
  <c r="R660" i="34"/>
  <c r="S660" i="34"/>
  <c r="T660" i="34"/>
  <c r="U660" i="34"/>
  <c r="V660" i="34"/>
  <c r="W660" i="34"/>
  <c r="X660" i="34"/>
  <c r="Y660" i="34"/>
  <c r="Z660" i="34"/>
  <c r="AA660" i="34"/>
  <c r="AB660" i="34"/>
  <c r="AD660" i="34"/>
  <c r="AE660" i="34"/>
  <c r="AF660" i="34"/>
  <c r="AG660" i="34"/>
  <c r="P661" i="34"/>
  <c r="Q661" i="34"/>
  <c r="R661" i="34"/>
  <c r="S661" i="34"/>
  <c r="T661" i="34"/>
  <c r="U661" i="34"/>
  <c r="V661" i="34"/>
  <c r="W661" i="34"/>
  <c r="X661" i="34"/>
  <c r="Y661" i="34"/>
  <c r="Z661" i="34"/>
  <c r="AA661" i="34"/>
  <c r="AB661" i="34"/>
  <c r="AD661" i="34"/>
  <c r="AE661" i="34"/>
  <c r="AF661" i="34"/>
  <c r="AG661" i="34"/>
  <c r="P662" i="34"/>
  <c r="Q662" i="34"/>
  <c r="R662" i="34"/>
  <c r="S662" i="34"/>
  <c r="T662" i="34"/>
  <c r="U662" i="34"/>
  <c r="V662" i="34"/>
  <c r="W662" i="34"/>
  <c r="X662" i="34"/>
  <c r="Y662" i="34"/>
  <c r="Z662" i="34"/>
  <c r="AA662" i="34"/>
  <c r="AB662" i="34"/>
  <c r="AD662" i="34"/>
  <c r="AE662" i="34"/>
  <c r="AF662" i="34"/>
  <c r="AG662" i="34"/>
  <c r="P663" i="34"/>
  <c r="Q663" i="34"/>
  <c r="R663" i="34"/>
  <c r="S663" i="34"/>
  <c r="T663" i="34"/>
  <c r="U663" i="34"/>
  <c r="V663" i="34"/>
  <c r="W663" i="34"/>
  <c r="X663" i="34"/>
  <c r="Y663" i="34"/>
  <c r="Z663" i="34"/>
  <c r="AA663" i="34"/>
  <c r="AB663" i="34"/>
  <c r="AD663" i="34"/>
  <c r="AE663" i="34"/>
  <c r="AF663" i="34"/>
  <c r="AG663" i="34"/>
  <c r="P664" i="34"/>
  <c r="Q664" i="34"/>
  <c r="R664" i="34"/>
  <c r="S664" i="34"/>
  <c r="T664" i="34"/>
  <c r="U664" i="34"/>
  <c r="V664" i="34"/>
  <c r="W664" i="34"/>
  <c r="X664" i="34"/>
  <c r="Y664" i="34"/>
  <c r="Z664" i="34"/>
  <c r="AA664" i="34"/>
  <c r="AB664" i="34"/>
  <c r="AD664" i="34"/>
  <c r="AE664" i="34"/>
  <c r="AF664" i="34"/>
  <c r="AG664" i="34"/>
  <c r="P665" i="34"/>
  <c r="Q665" i="34"/>
  <c r="R665" i="34"/>
  <c r="S665" i="34"/>
  <c r="T665" i="34"/>
  <c r="U665" i="34"/>
  <c r="V665" i="34"/>
  <c r="W665" i="34"/>
  <c r="X665" i="34"/>
  <c r="Y665" i="34"/>
  <c r="Z665" i="34"/>
  <c r="AA665" i="34"/>
  <c r="AB665" i="34"/>
  <c r="AD665" i="34"/>
  <c r="AE665" i="34"/>
  <c r="AF665" i="34"/>
  <c r="AG665" i="34"/>
  <c r="P666" i="34"/>
  <c r="Q666" i="34"/>
  <c r="R666" i="34"/>
  <c r="S666" i="34"/>
  <c r="T666" i="34"/>
  <c r="U666" i="34"/>
  <c r="V666" i="34"/>
  <c r="W666" i="34"/>
  <c r="X666" i="34"/>
  <c r="Y666" i="34"/>
  <c r="Z666" i="34"/>
  <c r="AA666" i="34"/>
  <c r="AB666" i="34"/>
  <c r="AD666" i="34"/>
  <c r="AE666" i="34"/>
  <c r="AF666" i="34"/>
  <c r="AG666" i="34"/>
  <c r="P667" i="34"/>
  <c r="Q667" i="34"/>
  <c r="R667" i="34"/>
  <c r="S667" i="34"/>
  <c r="T667" i="34"/>
  <c r="U667" i="34"/>
  <c r="V667" i="34"/>
  <c r="W667" i="34"/>
  <c r="X667" i="34"/>
  <c r="Y667" i="34"/>
  <c r="Z667" i="34"/>
  <c r="AA667" i="34"/>
  <c r="AB667" i="34"/>
  <c r="AD667" i="34"/>
  <c r="AE667" i="34"/>
  <c r="AF667" i="34"/>
  <c r="AG667" i="34"/>
  <c r="P668" i="34"/>
  <c r="Q668" i="34"/>
  <c r="R668" i="34"/>
  <c r="S668" i="34"/>
  <c r="T668" i="34"/>
  <c r="U668" i="34"/>
  <c r="V668" i="34"/>
  <c r="W668" i="34"/>
  <c r="X668" i="34"/>
  <c r="Y668" i="34"/>
  <c r="Z668" i="34"/>
  <c r="AA668" i="34"/>
  <c r="AB668" i="34"/>
  <c r="AD668" i="34"/>
  <c r="AE668" i="34"/>
  <c r="AF668" i="34"/>
  <c r="AG668" i="34"/>
  <c r="P669" i="34"/>
  <c r="Q669" i="34"/>
  <c r="R669" i="34"/>
  <c r="S669" i="34"/>
  <c r="T669" i="34"/>
  <c r="U669" i="34"/>
  <c r="V669" i="34"/>
  <c r="W669" i="34"/>
  <c r="X669" i="34"/>
  <c r="Y669" i="34"/>
  <c r="Z669" i="34"/>
  <c r="AA669" i="34"/>
  <c r="AB669" i="34"/>
  <c r="AD669" i="34"/>
  <c r="AE669" i="34"/>
  <c r="AF669" i="34"/>
  <c r="AG669" i="34"/>
  <c r="P670" i="34"/>
  <c r="Q670" i="34"/>
  <c r="R670" i="34"/>
  <c r="S670" i="34"/>
  <c r="T670" i="34"/>
  <c r="U670" i="34"/>
  <c r="V670" i="34"/>
  <c r="W670" i="34"/>
  <c r="X670" i="34"/>
  <c r="Y670" i="34"/>
  <c r="Z670" i="34"/>
  <c r="AA670" i="34"/>
  <c r="AB670" i="34"/>
  <c r="AD670" i="34"/>
  <c r="AE670" i="34"/>
  <c r="AF670" i="34"/>
  <c r="AG670" i="34"/>
  <c r="P671" i="34"/>
  <c r="Q671" i="34"/>
  <c r="R671" i="34"/>
  <c r="S671" i="34"/>
  <c r="T671" i="34"/>
  <c r="U671" i="34"/>
  <c r="V671" i="34"/>
  <c r="W671" i="34"/>
  <c r="X671" i="34"/>
  <c r="Y671" i="34"/>
  <c r="Z671" i="34"/>
  <c r="AA671" i="34"/>
  <c r="AB671" i="34"/>
  <c r="AD671" i="34"/>
  <c r="AE671" i="34"/>
  <c r="AF671" i="34"/>
  <c r="AG671" i="34"/>
  <c r="P672" i="34"/>
  <c r="Q672" i="34"/>
  <c r="R672" i="34"/>
  <c r="S672" i="34"/>
  <c r="T672" i="34"/>
  <c r="U672" i="34"/>
  <c r="V672" i="34"/>
  <c r="W672" i="34"/>
  <c r="X672" i="34"/>
  <c r="Y672" i="34"/>
  <c r="Z672" i="34"/>
  <c r="AA672" i="34"/>
  <c r="AB672" i="34"/>
  <c r="AD672" i="34"/>
  <c r="AE672" i="34"/>
  <c r="AF672" i="34"/>
  <c r="AG672" i="34"/>
  <c r="P673" i="34"/>
  <c r="Q673" i="34"/>
  <c r="R673" i="34"/>
  <c r="S673" i="34"/>
  <c r="T673" i="34"/>
  <c r="U673" i="34"/>
  <c r="V673" i="34"/>
  <c r="W673" i="34"/>
  <c r="X673" i="34"/>
  <c r="Y673" i="34"/>
  <c r="Z673" i="34"/>
  <c r="AA673" i="34"/>
  <c r="AB673" i="34"/>
  <c r="AD673" i="34"/>
  <c r="AE673" i="34"/>
  <c r="AF673" i="34"/>
  <c r="AG673" i="34"/>
  <c r="P674" i="34"/>
  <c r="Q674" i="34"/>
  <c r="R674" i="34"/>
  <c r="S674" i="34"/>
  <c r="T674" i="34"/>
  <c r="U674" i="34"/>
  <c r="V674" i="34"/>
  <c r="W674" i="34"/>
  <c r="X674" i="34"/>
  <c r="Y674" i="34"/>
  <c r="Z674" i="34"/>
  <c r="AA674" i="34"/>
  <c r="AB674" i="34"/>
  <c r="AD674" i="34"/>
  <c r="AE674" i="34"/>
  <c r="AF674" i="34"/>
  <c r="AG674" i="34"/>
  <c r="P675" i="34"/>
  <c r="Q675" i="34"/>
  <c r="R675" i="34"/>
  <c r="S675" i="34"/>
  <c r="T675" i="34"/>
  <c r="U675" i="34"/>
  <c r="V675" i="34"/>
  <c r="W675" i="34"/>
  <c r="X675" i="34"/>
  <c r="Y675" i="34"/>
  <c r="Z675" i="34"/>
  <c r="AA675" i="34"/>
  <c r="AB675" i="34"/>
  <c r="AD675" i="34"/>
  <c r="AE675" i="34"/>
  <c r="AF675" i="34"/>
  <c r="AG675" i="34"/>
  <c r="P676" i="34"/>
  <c r="Q676" i="34"/>
  <c r="R676" i="34"/>
  <c r="S676" i="34"/>
  <c r="T676" i="34"/>
  <c r="U676" i="34"/>
  <c r="V676" i="34"/>
  <c r="W676" i="34"/>
  <c r="X676" i="34"/>
  <c r="Y676" i="34"/>
  <c r="Z676" i="34"/>
  <c r="AA676" i="34"/>
  <c r="AB676" i="34"/>
  <c r="AD676" i="34"/>
  <c r="AE676" i="34"/>
  <c r="AF676" i="34"/>
  <c r="AG676" i="34"/>
  <c r="P677" i="34"/>
  <c r="Q677" i="34"/>
  <c r="R677" i="34"/>
  <c r="S677" i="34"/>
  <c r="T677" i="34"/>
  <c r="U677" i="34"/>
  <c r="V677" i="34"/>
  <c r="W677" i="34"/>
  <c r="X677" i="34"/>
  <c r="Y677" i="34"/>
  <c r="Z677" i="34"/>
  <c r="AA677" i="34"/>
  <c r="AB677" i="34"/>
  <c r="AD677" i="34"/>
  <c r="AE677" i="34"/>
  <c r="AF677" i="34"/>
  <c r="AG677" i="34"/>
  <c r="P678" i="34"/>
  <c r="Q678" i="34"/>
  <c r="R678" i="34"/>
  <c r="S678" i="34"/>
  <c r="T678" i="34"/>
  <c r="U678" i="34"/>
  <c r="V678" i="34"/>
  <c r="W678" i="34"/>
  <c r="X678" i="34"/>
  <c r="Y678" i="34"/>
  <c r="Z678" i="34"/>
  <c r="AA678" i="34"/>
  <c r="AB678" i="34"/>
  <c r="AD678" i="34"/>
  <c r="AE678" i="34"/>
  <c r="AF678" i="34"/>
  <c r="AG678" i="34"/>
  <c r="P679" i="34"/>
  <c r="Q679" i="34"/>
  <c r="R679" i="34"/>
  <c r="S679" i="34"/>
  <c r="T679" i="34"/>
  <c r="U679" i="34"/>
  <c r="V679" i="34"/>
  <c r="W679" i="34"/>
  <c r="X679" i="34"/>
  <c r="Y679" i="34"/>
  <c r="Z679" i="34"/>
  <c r="AA679" i="34"/>
  <c r="AB679" i="34"/>
  <c r="AD679" i="34"/>
  <c r="AE679" i="34"/>
  <c r="AF679" i="34"/>
  <c r="AG679" i="34"/>
  <c r="P680" i="34"/>
  <c r="Q680" i="34"/>
  <c r="R680" i="34"/>
  <c r="S680" i="34"/>
  <c r="T680" i="34"/>
  <c r="U680" i="34"/>
  <c r="V680" i="34"/>
  <c r="W680" i="34"/>
  <c r="X680" i="34"/>
  <c r="Y680" i="34"/>
  <c r="Z680" i="34"/>
  <c r="AA680" i="34"/>
  <c r="AB680" i="34"/>
  <c r="AD680" i="34"/>
  <c r="AE680" i="34"/>
  <c r="AF680" i="34"/>
  <c r="AG680" i="34"/>
  <c r="P681" i="34"/>
  <c r="Q681" i="34"/>
  <c r="R681" i="34"/>
  <c r="S681" i="34"/>
  <c r="T681" i="34"/>
  <c r="U681" i="34"/>
  <c r="V681" i="34"/>
  <c r="W681" i="34"/>
  <c r="X681" i="34"/>
  <c r="Y681" i="34"/>
  <c r="Z681" i="34"/>
  <c r="AA681" i="34"/>
  <c r="AB681" i="34"/>
  <c r="AD681" i="34"/>
  <c r="AE681" i="34"/>
  <c r="AF681" i="34"/>
  <c r="AG681" i="34"/>
  <c r="P682" i="34"/>
  <c r="Q682" i="34"/>
  <c r="R682" i="34"/>
  <c r="S682" i="34"/>
  <c r="T682" i="34"/>
  <c r="U682" i="34"/>
  <c r="V682" i="34"/>
  <c r="W682" i="34"/>
  <c r="X682" i="34"/>
  <c r="Y682" i="34"/>
  <c r="Z682" i="34"/>
  <c r="AA682" i="34"/>
  <c r="AB682" i="34"/>
  <c r="AD682" i="34"/>
  <c r="AE682" i="34"/>
  <c r="AF682" i="34"/>
  <c r="AG682" i="34"/>
  <c r="P683" i="34"/>
  <c r="Q683" i="34"/>
  <c r="R683" i="34"/>
  <c r="S683" i="34"/>
  <c r="T683" i="34"/>
  <c r="U683" i="34"/>
  <c r="V683" i="34"/>
  <c r="W683" i="34"/>
  <c r="X683" i="34"/>
  <c r="Y683" i="34"/>
  <c r="Z683" i="34"/>
  <c r="AA683" i="34"/>
  <c r="AB683" i="34"/>
  <c r="AD683" i="34"/>
  <c r="AE683" i="34"/>
  <c r="AF683" i="34"/>
  <c r="AG683" i="34"/>
  <c r="P684" i="34"/>
  <c r="Q684" i="34"/>
  <c r="R684" i="34"/>
  <c r="S684" i="34"/>
  <c r="T684" i="34"/>
  <c r="U684" i="34"/>
  <c r="V684" i="34"/>
  <c r="W684" i="34"/>
  <c r="X684" i="34"/>
  <c r="Y684" i="34"/>
  <c r="Z684" i="34"/>
  <c r="AA684" i="34"/>
  <c r="AB684" i="34"/>
  <c r="AD684" i="34"/>
  <c r="AE684" i="34"/>
  <c r="AF684" i="34"/>
  <c r="AG684" i="34"/>
  <c r="P685" i="34"/>
  <c r="Q685" i="34"/>
  <c r="R685" i="34"/>
  <c r="S685" i="34"/>
  <c r="T685" i="34"/>
  <c r="U685" i="34"/>
  <c r="V685" i="34"/>
  <c r="W685" i="34"/>
  <c r="X685" i="34"/>
  <c r="Y685" i="34"/>
  <c r="Z685" i="34"/>
  <c r="AA685" i="34"/>
  <c r="AB685" i="34"/>
  <c r="AD685" i="34"/>
  <c r="AE685" i="34"/>
  <c r="AF685" i="34"/>
  <c r="AG685" i="34"/>
  <c r="P686" i="34"/>
  <c r="Q686" i="34"/>
  <c r="R686" i="34"/>
  <c r="S686" i="34"/>
  <c r="T686" i="34"/>
  <c r="U686" i="34"/>
  <c r="V686" i="34"/>
  <c r="W686" i="34"/>
  <c r="X686" i="34"/>
  <c r="Y686" i="34"/>
  <c r="Z686" i="34"/>
  <c r="AA686" i="34"/>
  <c r="AB686" i="34"/>
  <c r="AD686" i="34"/>
  <c r="AE686" i="34"/>
  <c r="AF686" i="34"/>
  <c r="AG686" i="34"/>
  <c r="P687" i="34"/>
  <c r="Q687" i="34"/>
  <c r="R687" i="34"/>
  <c r="S687" i="34"/>
  <c r="T687" i="34"/>
  <c r="U687" i="34"/>
  <c r="V687" i="34"/>
  <c r="W687" i="34"/>
  <c r="X687" i="34"/>
  <c r="Y687" i="34"/>
  <c r="Z687" i="34"/>
  <c r="AA687" i="34"/>
  <c r="AB687" i="34"/>
  <c r="AD687" i="34"/>
  <c r="AE687" i="34"/>
  <c r="AF687" i="34"/>
  <c r="AG687" i="34"/>
  <c r="P688" i="34"/>
  <c r="Q688" i="34"/>
  <c r="R688" i="34"/>
  <c r="S688" i="34"/>
  <c r="T688" i="34"/>
  <c r="U688" i="34"/>
  <c r="V688" i="34"/>
  <c r="W688" i="34"/>
  <c r="X688" i="34"/>
  <c r="Y688" i="34"/>
  <c r="Z688" i="34"/>
  <c r="AA688" i="34"/>
  <c r="AB688" i="34"/>
  <c r="AD688" i="34"/>
  <c r="AE688" i="34"/>
  <c r="AF688" i="34"/>
  <c r="AG688" i="34"/>
  <c r="P689" i="34"/>
  <c r="Q689" i="34"/>
  <c r="R689" i="34"/>
  <c r="S689" i="34"/>
  <c r="T689" i="34"/>
  <c r="U689" i="34"/>
  <c r="V689" i="34"/>
  <c r="W689" i="34"/>
  <c r="X689" i="34"/>
  <c r="Y689" i="34"/>
  <c r="Z689" i="34"/>
  <c r="AA689" i="34"/>
  <c r="AB689" i="34"/>
  <c r="AD689" i="34"/>
  <c r="AE689" i="34"/>
  <c r="AF689" i="34"/>
  <c r="AG689" i="34"/>
  <c r="P690" i="34"/>
  <c r="Q690" i="34"/>
  <c r="R690" i="34"/>
  <c r="S690" i="34"/>
  <c r="T690" i="34"/>
  <c r="U690" i="34"/>
  <c r="V690" i="34"/>
  <c r="W690" i="34"/>
  <c r="X690" i="34"/>
  <c r="Y690" i="34"/>
  <c r="Z690" i="34"/>
  <c r="AA690" i="34"/>
  <c r="AB690" i="34"/>
  <c r="AD690" i="34"/>
  <c r="AE690" i="34"/>
  <c r="AF690" i="34"/>
  <c r="AG690" i="34"/>
  <c r="P691" i="34"/>
  <c r="Q691" i="34"/>
  <c r="R691" i="34"/>
  <c r="S691" i="34"/>
  <c r="T691" i="34"/>
  <c r="U691" i="34"/>
  <c r="V691" i="34"/>
  <c r="W691" i="34"/>
  <c r="X691" i="34"/>
  <c r="Y691" i="34"/>
  <c r="Z691" i="34"/>
  <c r="AA691" i="34"/>
  <c r="AB691" i="34"/>
  <c r="AD691" i="34"/>
  <c r="AE691" i="34"/>
  <c r="AF691" i="34"/>
  <c r="AG691" i="34"/>
  <c r="P692" i="34"/>
  <c r="Q692" i="34"/>
  <c r="R692" i="34"/>
  <c r="S692" i="34"/>
  <c r="T692" i="34"/>
  <c r="U692" i="34"/>
  <c r="V692" i="34"/>
  <c r="W692" i="34"/>
  <c r="X692" i="34"/>
  <c r="Y692" i="34"/>
  <c r="Z692" i="34"/>
  <c r="AA692" i="34"/>
  <c r="AB692" i="34"/>
  <c r="AD692" i="34"/>
  <c r="AE692" i="34"/>
  <c r="AF692" i="34"/>
  <c r="AG692" i="34"/>
  <c r="P693" i="34"/>
  <c r="Q693" i="34"/>
  <c r="R693" i="34"/>
  <c r="S693" i="34"/>
  <c r="T693" i="34"/>
  <c r="U693" i="34"/>
  <c r="V693" i="34"/>
  <c r="W693" i="34"/>
  <c r="X693" i="34"/>
  <c r="Y693" i="34"/>
  <c r="Z693" i="34"/>
  <c r="AA693" i="34"/>
  <c r="AB693" i="34"/>
  <c r="AD693" i="34"/>
  <c r="AE693" i="34"/>
  <c r="AF693" i="34"/>
  <c r="AG693" i="34"/>
  <c r="P694" i="34"/>
  <c r="Q694" i="34"/>
  <c r="R694" i="34"/>
  <c r="S694" i="34"/>
  <c r="T694" i="34"/>
  <c r="U694" i="34"/>
  <c r="V694" i="34"/>
  <c r="W694" i="34"/>
  <c r="X694" i="34"/>
  <c r="Y694" i="34"/>
  <c r="Z694" i="34"/>
  <c r="AA694" i="34"/>
  <c r="AB694" i="34"/>
  <c r="AD694" i="34"/>
  <c r="AE694" i="34"/>
  <c r="AF694" i="34"/>
  <c r="AG694" i="34"/>
  <c r="P695" i="34"/>
  <c r="Q695" i="34"/>
  <c r="R695" i="34"/>
  <c r="S695" i="34"/>
  <c r="T695" i="34"/>
  <c r="U695" i="34"/>
  <c r="V695" i="34"/>
  <c r="W695" i="34"/>
  <c r="X695" i="34"/>
  <c r="Y695" i="34"/>
  <c r="Z695" i="34"/>
  <c r="AA695" i="34"/>
  <c r="AB695" i="34"/>
  <c r="AD695" i="34"/>
  <c r="AE695" i="34"/>
  <c r="AF695" i="34"/>
  <c r="AG695" i="34"/>
  <c r="P696" i="34"/>
  <c r="Q696" i="34"/>
  <c r="R696" i="34"/>
  <c r="S696" i="34"/>
  <c r="T696" i="34"/>
  <c r="U696" i="34"/>
  <c r="V696" i="34"/>
  <c r="W696" i="34"/>
  <c r="X696" i="34"/>
  <c r="Y696" i="34"/>
  <c r="Z696" i="34"/>
  <c r="AA696" i="34"/>
  <c r="AB696" i="34"/>
  <c r="AD696" i="34"/>
  <c r="AE696" i="34"/>
  <c r="AF696" i="34"/>
  <c r="AG696" i="34"/>
  <c r="P697" i="34"/>
  <c r="Q697" i="34"/>
  <c r="R697" i="34"/>
  <c r="S697" i="34"/>
  <c r="T697" i="34"/>
  <c r="U697" i="34"/>
  <c r="V697" i="34"/>
  <c r="W697" i="34"/>
  <c r="X697" i="34"/>
  <c r="Y697" i="34"/>
  <c r="Z697" i="34"/>
  <c r="AA697" i="34"/>
  <c r="AB697" i="34"/>
  <c r="AD697" i="34"/>
  <c r="AE697" i="34"/>
  <c r="AF697" i="34"/>
  <c r="AG697" i="34"/>
  <c r="P698" i="34"/>
  <c r="Q698" i="34"/>
  <c r="R698" i="34"/>
  <c r="S698" i="34"/>
  <c r="T698" i="34"/>
  <c r="U698" i="34"/>
  <c r="V698" i="34"/>
  <c r="W698" i="34"/>
  <c r="X698" i="34"/>
  <c r="Y698" i="34"/>
  <c r="Z698" i="34"/>
  <c r="AA698" i="34"/>
  <c r="AB698" i="34"/>
  <c r="AD698" i="34"/>
  <c r="AE698" i="34"/>
  <c r="AF698" i="34"/>
  <c r="AG698" i="34"/>
  <c r="P699" i="34"/>
  <c r="Q699" i="34"/>
  <c r="R699" i="34"/>
  <c r="S699" i="34"/>
  <c r="T699" i="34"/>
  <c r="U699" i="34"/>
  <c r="V699" i="34"/>
  <c r="W699" i="34"/>
  <c r="X699" i="34"/>
  <c r="Y699" i="34"/>
  <c r="Z699" i="34"/>
  <c r="AA699" i="34"/>
  <c r="AB699" i="34"/>
  <c r="AD699" i="34"/>
  <c r="AE699" i="34"/>
  <c r="AF699" i="34"/>
  <c r="AG699" i="34"/>
  <c r="P700" i="34"/>
  <c r="Q700" i="34"/>
  <c r="R700" i="34"/>
  <c r="S700" i="34"/>
  <c r="T700" i="34"/>
  <c r="U700" i="34"/>
  <c r="V700" i="34"/>
  <c r="W700" i="34"/>
  <c r="X700" i="34"/>
  <c r="Y700" i="34"/>
  <c r="Z700" i="34"/>
  <c r="AA700" i="34"/>
  <c r="AB700" i="34"/>
  <c r="AD700" i="34"/>
  <c r="AE700" i="34"/>
  <c r="AF700" i="34"/>
  <c r="AG700" i="34"/>
  <c r="P701" i="34"/>
  <c r="Q701" i="34"/>
  <c r="R701" i="34"/>
  <c r="S701" i="34"/>
  <c r="T701" i="34"/>
  <c r="U701" i="34"/>
  <c r="V701" i="34"/>
  <c r="W701" i="34"/>
  <c r="X701" i="34"/>
  <c r="Y701" i="34"/>
  <c r="Z701" i="34"/>
  <c r="AA701" i="34"/>
  <c r="AB701" i="34"/>
  <c r="AD701" i="34"/>
  <c r="AE701" i="34"/>
  <c r="AF701" i="34"/>
  <c r="AG701" i="34"/>
  <c r="P702" i="34"/>
  <c r="Q702" i="34"/>
  <c r="R702" i="34"/>
  <c r="S702" i="34"/>
  <c r="T702" i="34"/>
  <c r="U702" i="34"/>
  <c r="V702" i="34"/>
  <c r="W702" i="34"/>
  <c r="X702" i="34"/>
  <c r="Y702" i="34"/>
  <c r="Z702" i="34"/>
  <c r="AA702" i="34"/>
  <c r="AB702" i="34"/>
  <c r="AD702" i="34"/>
  <c r="AE702" i="34"/>
  <c r="AF702" i="34"/>
  <c r="AG702" i="34"/>
  <c r="P703" i="34"/>
  <c r="Q703" i="34"/>
  <c r="R703" i="34"/>
  <c r="S703" i="34"/>
  <c r="T703" i="34"/>
  <c r="U703" i="34"/>
  <c r="V703" i="34"/>
  <c r="W703" i="34"/>
  <c r="X703" i="34"/>
  <c r="Y703" i="34"/>
  <c r="Z703" i="34"/>
  <c r="AA703" i="34"/>
  <c r="AB703" i="34"/>
  <c r="AD703" i="34"/>
  <c r="AE703" i="34"/>
  <c r="AF703" i="34"/>
  <c r="AG703" i="34"/>
  <c r="P704" i="34"/>
  <c r="Q704" i="34"/>
  <c r="R704" i="34"/>
  <c r="S704" i="34"/>
  <c r="T704" i="34"/>
  <c r="U704" i="34"/>
  <c r="V704" i="34"/>
  <c r="W704" i="34"/>
  <c r="X704" i="34"/>
  <c r="Y704" i="34"/>
  <c r="Z704" i="34"/>
  <c r="AA704" i="34"/>
  <c r="AB704" i="34"/>
  <c r="AD704" i="34"/>
  <c r="AE704" i="34"/>
  <c r="AF704" i="34"/>
  <c r="AG704" i="34"/>
  <c r="P705" i="34"/>
  <c r="Q705" i="34"/>
  <c r="R705" i="34"/>
  <c r="S705" i="34"/>
  <c r="T705" i="34"/>
  <c r="U705" i="34"/>
  <c r="V705" i="34"/>
  <c r="W705" i="34"/>
  <c r="X705" i="34"/>
  <c r="Y705" i="34"/>
  <c r="Z705" i="34"/>
  <c r="AA705" i="34"/>
  <c r="AB705" i="34"/>
  <c r="AD705" i="34"/>
  <c r="AE705" i="34"/>
  <c r="AF705" i="34"/>
  <c r="AG705" i="34"/>
  <c r="P706" i="34"/>
  <c r="Q706" i="34"/>
  <c r="R706" i="34"/>
  <c r="S706" i="34"/>
  <c r="T706" i="34"/>
  <c r="U706" i="34"/>
  <c r="V706" i="34"/>
  <c r="W706" i="34"/>
  <c r="X706" i="34"/>
  <c r="Y706" i="34"/>
  <c r="Z706" i="34"/>
  <c r="AA706" i="34"/>
  <c r="AB706" i="34"/>
  <c r="AD706" i="34"/>
  <c r="AE706" i="34"/>
  <c r="AF706" i="34"/>
  <c r="AG706" i="34"/>
  <c r="P707" i="34"/>
  <c r="Q707" i="34"/>
  <c r="R707" i="34"/>
  <c r="S707" i="34"/>
  <c r="T707" i="34"/>
  <c r="U707" i="34"/>
  <c r="V707" i="34"/>
  <c r="W707" i="34"/>
  <c r="X707" i="34"/>
  <c r="Y707" i="34"/>
  <c r="Z707" i="34"/>
  <c r="AA707" i="34"/>
  <c r="AB707" i="34"/>
  <c r="AD707" i="34"/>
  <c r="AE707" i="34"/>
  <c r="AF707" i="34"/>
  <c r="AG707" i="34"/>
  <c r="P708" i="34"/>
  <c r="Q708" i="34"/>
  <c r="R708" i="34"/>
  <c r="S708" i="34"/>
  <c r="T708" i="34"/>
  <c r="U708" i="34"/>
  <c r="V708" i="34"/>
  <c r="W708" i="34"/>
  <c r="X708" i="34"/>
  <c r="Y708" i="34"/>
  <c r="Z708" i="34"/>
  <c r="AA708" i="34"/>
  <c r="AB708" i="34"/>
  <c r="AD708" i="34"/>
  <c r="AE708" i="34"/>
  <c r="AF708" i="34"/>
  <c r="AG708" i="34"/>
  <c r="P709" i="34"/>
  <c r="Q709" i="34"/>
  <c r="R709" i="34"/>
  <c r="S709" i="34"/>
  <c r="T709" i="34"/>
  <c r="U709" i="34"/>
  <c r="V709" i="34"/>
  <c r="W709" i="34"/>
  <c r="X709" i="34"/>
  <c r="Y709" i="34"/>
  <c r="Z709" i="34"/>
  <c r="AA709" i="34"/>
  <c r="AB709" i="34"/>
  <c r="AD709" i="34"/>
  <c r="AE709" i="34"/>
  <c r="AF709" i="34"/>
  <c r="AG709" i="34"/>
  <c r="P710" i="34"/>
  <c r="Q710" i="34"/>
  <c r="R710" i="34"/>
  <c r="S710" i="34"/>
  <c r="T710" i="34"/>
  <c r="U710" i="34"/>
  <c r="V710" i="34"/>
  <c r="W710" i="34"/>
  <c r="X710" i="34"/>
  <c r="Y710" i="34"/>
  <c r="Z710" i="34"/>
  <c r="AA710" i="34"/>
  <c r="AB710" i="34"/>
  <c r="AD710" i="34"/>
  <c r="AE710" i="34"/>
  <c r="AF710" i="34"/>
  <c r="AG710" i="34"/>
  <c r="P711" i="34"/>
  <c r="Q711" i="34"/>
  <c r="R711" i="34"/>
  <c r="S711" i="34"/>
  <c r="T711" i="34"/>
  <c r="U711" i="34"/>
  <c r="V711" i="34"/>
  <c r="W711" i="34"/>
  <c r="X711" i="34"/>
  <c r="Y711" i="34"/>
  <c r="Z711" i="34"/>
  <c r="AA711" i="34"/>
  <c r="AB711" i="34"/>
  <c r="AD711" i="34"/>
  <c r="AE711" i="34"/>
  <c r="AF711" i="34"/>
  <c r="AG711" i="34"/>
  <c r="P712" i="34"/>
  <c r="Q712" i="34"/>
  <c r="R712" i="34"/>
  <c r="S712" i="34"/>
  <c r="T712" i="34"/>
  <c r="U712" i="34"/>
  <c r="V712" i="34"/>
  <c r="W712" i="34"/>
  <c r="X712" i="34"/>
  <c r="Y712" i="34"/>
  <c r="Z712" i="34"/>
  <c r="AA712" i="34"/>
  <c r="AB712" i="34"/>
  <c r="AD712" i="34"/>
  <c r="AE712" i="34"/>
  <c r="AF712" i="34"/>
  <c r="AG712" i="34"/>
  <c r="P713" i="34"/>
  <c r="Q713" i="34"/>
  <c r="R713" i="34"/>
  <c r="S713" i="34"/>
  <c r="T713" i="34"/>
  <c r="U713" i="34"/>
  <c r="V713" i="34"/>
  <c r="W713" i="34"/>
  <c r="X713" i="34"/>
  <c r="Y713" i="34"/>
  <c r="Z713" i="34"/>
  <c r="AA713" i="34"/>
  <c r="AB713" i="34"/>
  <c r="AD713" i="34"/>
  <c r="AE713" i="34"/>
  <c r="AF713" i="34"/>
  <c r="AG713" i="34"/>
  <c r="P714" i="34"/>
  <c r="Q714" i="34"/>
  <c r="R714" i="34"/>
  <c r="S714" i="34"/>
  <c r="T714" i="34"/>
  <c r="U714" i="34"/>
  <c r="V714" i="34"/>
  <c r="W714" i="34"/>
  <c r="X714" i="34"/>
  <c r="Y714" i="34"/>
  <c r="Z714" i="34"/>
  <c r="AA714" i="34"/>
  <c r="AB714" i="34"/>
  <c r="AD714" i="34"/>
  <c r="AE714" i="34"/>
  <c r="AF714" i="34"/>
  <c r="AG714" i="34"/>
  <c r="P715" i="34"/>
  <c r="Q715" i="34"/>
  <c r="R715" i="34"/>
  <c r="S715" i="34"/>
  <c r="T715" i="34"/>
  <c r="U715" i="34"/>
  <c r="V715" i="34"/>
  <c r="W715" i="34"/>
  <c r="X715" i="34"/>
  <c r="Y715" i="34"/>
  <c r="Z715" i="34"/>
  <c r="AA715" i="34"/>
  <c r="AB715" i="34"/>
  <c r="AD715" i="34"/>
  <c r="AE715" i="34"/>
  <c r="AF715" i="34"/>
  <c r="AG715" i="34"/>
  <c r="P716" i="34"/>
  <c r="Q716" i="34"/>
  <c r="R716" i="34"/>
  <c r="S716" i="34"/>
  <c r="T716" i="34"/>
  <c r="U716" i="34"/>
  <c r="V716" i="34"/>
  <c r="W716" i="34"/>
  <c r="X716" i="34"/>
  <c r="Y716" i="34"/>
  <c r="Z716" i="34"/>
  <c r="AA716" i="34"/>
  <c r="AB716" i="34"/>
  <c r="AD716" i="34"/>
  <c r="AE716" i="34"/>
  <c r="AF716" i="34"/>
  <c r="AG716" i="34"/>
  <c r="P717" i="34"/>
  <c r="Q717" i="34"/>
  <c r="R717" i="34"/>
  <c r="S717" i="34"/>
  <c r="T717" i="34"/>
  <c r="U717" i="34"/>
  <c r="V717" i="34"/>
  <c r="W717" i="34"/>
  <c r="X717" i="34"/>
  <c r="Y717" i="34"/>
  <c r="Z717" i="34"/>
  <c r="AA717" i="34"/>
  <c r="AB717" i="34"/>
  <c r="AD717" i="34"/>
  <c r="AE717" i="34"/>
  <c r="AF717" i="34"/>
  <c r="AG717" i="34"/>
  <c r="P718" i="34"/>
  <c r="Q718" i="34"/>
  <c r="R718" i="34"/>
  <c r="S718" i="34"/>
  <c r="T718" i="34"/>
  <c r="U718" i="34"/>
  <c r="V718" i="34"/>
  <c r="W718" i="34"/>
  <c r="X718" i="34"/>
  <c r="Y718" i="34"/>
  <c r="Z718" i="34"/>
  <c r="AA718" i="34"/>
  <c r="AB718" i="34"/>
  <c r="AD718" i="34"/>
  <c r="AE718" i="34"/>
  <c r="AF718" i="34"/>
  <c r="AG718" i="34"/>
  <c r="P719" i="34"/>
  <c r="Q719" i="34"/>
  <c r="R719" i="34"/>
  <c r="S719" i="34"/>
  <c r="T719" i="34"/>
  <c r="U719" i="34"/>
  <c r="V719" i="34"/>
  <c r="W719" i="34"/>
  <c r="X719" i="34"/>
  <c r="Y719" i="34"/>
  <c r="Z719" i="34"/>
  <c r="AA719" i="34"/>
  <c r="AB719" i="34"/>
  <c r="AD719" i="34"/>
  <c r="AE719" i="34"/>
  <c r="AF719" i="34"/>
  <c r="AG719" i="34"/>
  <c r="P720" i="34"/>
  <c r="Q720" i="34"/>
  <c r="R720" i="34"/>
  <c r="S720" i="34"/>
  <c r="T720" i="34"/>
  <c r="U720" i="34"/>
  <c r="V720" i="34"/>
  <c r="W720" i="34"/>
  <c r="X720" i="34"/>
  <c r="Y720" i="34"/>
  <c r="Z720" i="34"/>
  <c r="AA720" i="34"/>
  <c r="AB720" i="34"/>
  <c r="AD720" i="34"/>
  <c r="AE720" i="34"/>
  <c r="AF720" i="34"/>
  <c r="AG720" i="34"/>
  <c r="P721" i="34"/>
  <c r="Q721" i="34"/>
  <c r="R721" i="34"/>
  <c r="S721" i="34"/>
  <c r="T721" i="34"/>
  <c r="U721" i="34"/>
  <c r="V721" i="34"/>
  <c r="W721" i="34"/>
  <c r="X721" i="34"/>
  <c r="Y721" i="34"/>
  <c r="Z721" i="34"/>
  <c r="AA721" i="34"/>
  <c r="AB721" i="34"/>
  <c r="AD721" i="34"/>
  <c r="AE721" i="34"/>
  <c r="AF721" i="34"/>
  <c r="AG721" i="34"/>
  <c r="P722" i="34"/>
  <c r="Q722" i="34"/>
  <c r="R722" i="34"/>
  <c r="S722" i="34"/>
  <c r="T722" i="34"/>
  <c r="U722" i="34"/>
  <c r="V722" i="34"/>
  <c r="W722" i="34"/>
  <c r="X722" i="34"/>
  <c r="Y722" i="34"/>
  <c r="Z722" i="34"/>
  <c r="AA722" i="34"/>
  <c r="AB722" i="34"/>
  <c r="AD722" i="34"/>
  <c r="AE722" i="34"/>
  <c r="AF722" i="34"/>
  <c r="AG722" i="34"/>
  <c r="P723" i="34"/>
  <c r="Q723" i="34"/>
  <c r="R723" i="34"/>
  <c r="S723" i="34"/>
  <c r="T723" i="34"/>
  <c r="U723" i="34"/>
  <c r="V723" i="34"/>
  <c r="W723" i="34"/>
  <c r="X723" i="34"/>
  <c r="Y723" i="34"/>
  <c r="Z723" i="34"/>
  <c r="AA723" i="34"/>
  <c r="AB723" i="34"/>
  <c r="AD723" i="34"/>
  <c r="AE723" i="34"/>
  <c r="AF723" i="34"/>
  <c r="AG723" i="34"/>
  <c r="P724" i="34"/>
  <c r="Q724" i="34"/>
  <c r="R724" i="34"/>
  <c r="S724" i="34"/>
  <c r="T724" i="34"/>
  <c r="U724" i="34"/>
  <c r="V724" i="34"/>
  <c r="W724" i="34"/>
  <c r="X724" i="34"/>
  <c r="Y724" i="34"/>
  <c r="Z724" i="34"/>
  <c r="AA724" i="34"/>
  <c r="AB724" i="34"/>
  <c r="AD724" i="34"/>
  <c r="AE724" i="34"/>
  <c r="AF724" i="34"/>
  <c r="AG724" i="34"/>
  <c r="P725" i="34"/>
  <c r="Q725" i="34"/>
  <c r="R725" i="34"/>
  <c r="S725" i="34"/>
  <c r="T725" i="34"/>
  <c r="U725" i="34"/>
  <c r="V725" i="34"/>
  <c r="W725" i="34"/>
  <c r="X725" i="34"/>
  <c r="Y725" i="34"/>
  <c r="Z725" i="34"/>
  <c r="AA725" i="34"/>
  <c r="AB725" i="34"/>
  <c r="AD725" i="34"/>
  <c r="AE725" i="34"/>
  <c r="AF725" i="34"/>
  <c r="AG725" i="34"/>
  <c r="P726" i="34"/>
  <c r="Q726" i="34"/>
  <c r="R726" i="34"/>
  <c r="S726" i="34"/>
  <c r="T726" i="34"/>
  <c r="U726" i="34"/>
  <c r="V726" i="34"/>
  <c r="W726" i="34"/>
  <c r="X726" i="34"/>
  <c r="Y726" i="34"/>
  <c r="Z726" i="34"/>
  <c r="AA726" i="34"/>
  <c r="AB726" i="34"/>
  <c r="AD726" i="34"/>
  <c r="AE726" i="34"/>
  <c r="AF726" i="34"/>
  <c r="AG726" i="34"/>
  <c r="P727" i="34"/>
  <c r="Q727" i="34"/>
  <c r="R727" i="34"/>
  <c r="S727" i="34"/>
  <c r="T727" i="34"/>
  <c r="U727" i="34"/>
  <c r="V727" i="34"/>
  <c r="W727" i="34"/>
  <c r="X727" i="34"/>
  <c r="Y727" i="34"/>
  <c r="Z727" i="34"/>
  <c r="AA727" i="34"/>
  <c r="AB727" i="34"/>
  <c r="AD727" i="34"/>
  <c r="AE727" i="34"/>
  <c r="AF727" i="34"/>
  <c r="AG727" i="34"/>
  <c r="P728" i="34"/>
  <c r="Q728" i="34"/>
  <c r="R728" i="34"/>
  <c r="S728" i="34"/>
  <c r="T728" i="34"/>
  <c r="U728" i="34"/>
  <c r="V728" i="34"/>
  <c r="W728" i="34"/>
  <c r="X728" i="34"/>
  <c r="Y728" i="34"/>
  <c r="Z728" i="34"/>
  <c r="AA728" i="34"/>
  <c r="AB728" i="34"/>
  <c r="AD728" i="34"/>
  <c r="AE728" i="34"/>
  <c r="AF728" i="34"/>
  <c r="AG728" i="34"/>
  <c r="P729" i="34"/>
  <c r="Q729" i="34"/>
  <c r="R729" i="34"/>
  <c r="S729" i="34"/>
  <c r="T729" i="34"/>
  <c r="U729" i="34"/>
  <c r="V729" i="34"/>
  <c r="W729" i="34"/>
  <c r="X729" i="34"/>
  <c r="Y729" i="34"/>
  <c r="Z729" i="34"/>
  <c r="AA729" i="34"/>
  <c r="AB729" i="34"/>
  <c r="AD729" i="34"/>
  <c r="AE729" i="34"/>
  <c r="AF729" i="34"/>
  <c r="AG729" i="34"/>
  <c r="P730" i="34"/>
  <c r="Q730" i="34"/>
  <c r="R730" i="34"/>
  <c r="S730" i="34"/>
  <c r="T730" i="34"/>
  <c r="U730" i="34"/>
  <c r="V730" i="34"/>
  <c r="W730" i="34"/>
  <c r="X730" i="34"/>
  <c r="Y730" i="34"/>
  <c r="Z730" i="34"/>
  <c r="AA730" i="34"/>
  <c r="AB730" i="34"/>
  <c r="AD730" i="34"/>
  <c r="AE730" i="34"/>
  <c r="AF730" i="34"/>
  <c r="AG730" i="34"/>
  <c r="P731" i="34"/>
  <c r="Q731" i="34"/>
  <c r="R731" i="34"/>
  <c r="S731" i="34"/>
  <c r="T731" i="34"/>
  <c r="U731" i="34"/>
  <c r="V731" i="34"/>
  <c r="W731" i="34"/>
  <c r="X731" i="34"/>
  <c r="Y731" i="34"/>
  <c r="Z731" i="34"/>
  <c r="AA731" i="34"/>
  <c r="AB731" i="34"/>
  <c r="AD731" i="34"/>
  <c r="AE731" i="34"/>
  <c r="AF731" i="34"/>
  <c r="AG731" i="34"/>
  <c r="P732" i="34"/>
  <c r="Q732" i="34"/>
  <c r="R732" i="34"/>
  <c r="S732" i="34"/>
  <c r="T732" i="34"/>
  <c r="U732" i="34"/>
  <c r="V732" i="34"/>
  <c r="W732" i="34"/>
  <c r="X732" i="34"/>
  <c r="Y732" i="34"/>
  <c r="Z732" i="34"/>
  <c r="AA732" i="34"/>
  <c r="AB732" i="34"/>
  <c r="AD732" i="34"/>
  <c r="AE732" i="34"/>
  <c r="AF732" i="34"/>
  <c r="AG732" i="34"/>
  <c r="P733" i="34"/>
  <c r="Q733" i="34"/>
  <c r="R733" i="34"/>
  <c r="S733" i="34"/>
  <c r="T733" i="34"/>
  <c r="U733" i="34"/>
  <c r="V733" i="34"/>
  <c r="W733" i="34"/>
  <c r="X733" i="34"/>
  <c r="Y733" i="34"/>
  <c r="Z733" i="34"/>
  <c r="AA733" i="34"/>
  <c r="AB733" i="34"/>
  <c r="AD733" i="34"/>
  <c r="AE733" i="34"/>
  <c r="AF733" i="34"/>
  <c r="AG733" i="34"/>
  <c r="P734" i="34"/>
  <c r="Q734" i="34"/>
  <c r="R734" i="34"/>
  <c r="S734" i="34"/>
  <c r="T734" i="34"/>
  <c r="U734" i="34"/>
  <c r="V734" i="34"/>
  <c r="W734" i="34"/>
  <c r="X734" i="34"/>
  <c r="Y734" i="34"/>
  <c r="Z734" i="34"/>
  <c r="AA734" i="34"/>
  <c r="AB734" i="34"/>
  <c r="AD734" i="34"/>
  <c r="AE734" i="34"/>
  <c r="AF734" i="34"/>
  <c r="AG734" i="34"/>
  <c r="P735" i="34"/>
  <c r="Q735" i="34"/>
  <c r="R735" i="34"/>
  <c r="S735" i="34"/>
  <c r="T735" i="34"/>
  <c r="U735" i="34"/>
  <c r="V735" i="34"/>
  <c r="W735" i="34"/>
  <c r="X735" i="34"/>
  <c r="Y735" i="34"/>
  <c r="Z735" i="34"/>
  <c r="AA735" i="34"/>
  <c r="AB735" i="34"/>
  <c r="AD735" i="34"/>
  <c r="AE735" i="34"/>
  <c r="AF735" i="34"/>
  <c r="AG735" i="34"/>
  <c r="P736" i="34"/>
  <c r="Q736" i="34"/>
  <c r="R736" i="34"/>
  <c r="S736" i="34"/>
  <c r="T736" i="34"/>
  <c r="U736" i="34"/>
  <c r="V736" i="34"/>
  <c r="W736" i="34"/>
  <c r="X736" i="34"/>
  <c r="Y736" i="34"/>
  <c r="Z736" i="34"/>
  <c r="AA736" i="34"/>
  <c r="AB736" i="34"/>
  <c r="AD736" i="34"/>
  <c r="AE736" i="34"/>
  <c r="AF736" i="34"/>
  <c r="AG736" i="34"/>
  <c r="P737" i="34"/>
  <c r="Q737" i="34"/>
  <c r="R737" i="34"/>
  <c r="S737" i="34"/>
  <c r="T737" i="34"/>
  <c r="U737" i="34"/>
  <c r="V737" i="34"/>
  <c r="W737" i="34"/>
  <c r="X737" i="34"/>
  <c r="Y737" i="34"/>
  <c r="Z737" i="34"/>
  <c r="AA737" i="34"/>
  <c r="AB737" i="34"/>
  <c r="AD737" i="34"/>
  <c r="AE737" i="34"/>
  <c r="AF737" i="34"/>
  <c r="AG737" i="34"/>
  <c r="P738" i="34"/>
  <c r="Q738" i="34"/>
  <c r="R738" i="34"/>
  <c r="S738" i="34"/>
  <c r="T738" i="34"/>
  <c r="U738" i="34"/>
  <c r="V738" i="34"/>
  <c r="W738" i="34"/>
  <c r="X738" i="34"/>
  <c r="Y738" i="34"/>
  <c r="Z738" i="34"/>
  <c r="AA738" i="34"/>
  <c r="AB738" i="34"/>
  <c r="AD738" i="34"/>
  <c r="AE738" i="34"/>
  <c r="AF738" i="34"/>
  <c r="AG738" i="34"/>
  <c r="P739" i="34"/>
  <c r="Q739" i="34"/>
  <c r="R739" i="34"/>
  <c r="S739" i="34"/>
  <c r="T739" i="34"/>
  <c r="U739" i="34"/>
  <c r="V739" i="34"/>
  <c r="W739" i="34"/>
  <c r="X739" i="34"/>
  <c r="Y739" i="34"/>
  <c r="Z739" i="34"/>
  <c r="AA739" i="34"/>
  <c r="AB739" i="34"/>
  <c r="AD739" i="34"/>
  <c r="AE739" i="34"/>
  <c r="AF739" i="34"/>
  <c r="AG739" i="34"/>
  <c r="P740" i="34"/>
  <c r="Q740" i="34"/>
  <c r="R740" i="34"/>
  <c r="S740" i="34"/>
  <c r="T740" i="34"/>
  <c r="U740" i="34"/>
  <c r="V740" i="34"/>
  <c r="W740" i="34"/>
  <c r="X740" i="34"/>
  <c r="Y740" i="34"/>
  <c r="Z740" i="34"/>
  <c r="AA740" i="34"/>
  <c r="AB740" i="34"/>
  <c r="AD740" i="34"/>
  <c r="AE740" i="34"/>
  <c r="AF740" i="34"/>
  <c r="AG740" i="34"/>
  <c r="P741" i="34"/>
  <c r="Q741" i="34"/>
  <c r="R741" i="34"/>
  <c r="S741" i="34"/>
  <c r="T741" i="34"/>
  <c r="U741" i="34"/>
  <c r="V741" i="34"/>
  <c r="W741" i="34"/>
  <c r="X741" i="34"/>
  <c r="Y741" i="34"/>
  <c r="Z741" i="34"/>
  <c r="AA741" i="34"/>
  <c r="AB741" i="34"/>
  <c r="AD741" i="34"/>
  <c r="AE741" i="34"/>
  <c r="AF741" i="34"/>
  <c r="AG741" i="34"/>
  <c r="P742" i="34"/>
  <c r="Q742" i="34"/>
  <c r="R742" i="34"/>
  <c r="S742" i="34"/>
  <c r="T742" i="34"/>
  <c r="U742" i="34"/>
  <c r="V742" i="34"/>
  <c r="W742" i="34"/>
  <c r="X742" i="34"/>
  <c r="Y742" i="34"/>
  <c r="Z742" i="34"/>
  <c r="AA742" i="34"/>
  <c r="AB742" i="34"/>
  <c r="AD742" i="34"/>
  <c r="AE742" i="34"/>
  <c r="AF742" i="34"/>
  <c r="AG742" i="34"/>
  <c r="P743" i="34"/>
  <c r="Q743" i="34"/>
  <c r="R743" i="34"/>
  <c r="S743" i="34"/>
  <c r="T743" i="34"/>
  <c r="U743" i="34"/>
  <c r="V743" i="34"/>
  <c r="W743" i="34"/>
  <c r="X743" i="34"/>
  <c r="Y743" i="34"/>
  <c r="Z743" i="34"/>
  <c r="AA743" i="34"/>
  <c r="AB743" i="34"/>
  <c r="AD743" i="34"/>
  <c r="AE743" i="34"/>
  <c r="AF743" i="34"/>
  <c r="AG743" i="34"/>
  <c r="P744" i="34"/>
  <c r="Q744" i="34"/>
  <c r="R744" i="34"/>
  <c r="S744" i="34"/>
  <c r="T744" i="34"/>
  <c r="U744" i="34"/>
  <c r="V744" i="34"/>
  <c r="W744" i="34"/>
  <c r="X744" i="34"/>
  <c r="Y744" i="34"/>
  <c r="Z744" i="34"/>
  <c r="AA744" i="34"/>
  <c r="AB744" i="34"/>
  <c r="AD744" i="34"/>
  <c r="AE744" i="34"/>
  <c r="AF744" i="34"/>
  <c r="AG744" i="34"/>
  <c r="P745" i="34"/>
  <c r="Q745" i="34"/>
  <c r="R745" i="34"/>
  <c r="S745" i="34"/>
  <c r="T745" i="34"/>
  <c r="U745" i="34"/>
  <c r="V745" i="34"/>
  <c r="W745" i="34"/>
  <c r="X745" i="34"/>
  <c r="Y745" i="34"/>
  <c r="Z745" i="34"/>
  <c r="AA745" i="34"/>
  <c r="AB745" i="34"/>
  <c r="AD745" i="34"/>
  <c r="AE745" i="34"/>
  <c r="AF745" i="34"/>
  <c r="AG745" i="34"/>
  <c r="P746" i="34"/>
  <c r="Q746" i="34"/>
  <c r="R746" i="34"/>
  <c r="S746" i="34"/>
  <c r="T746" i="34"/>
  <c r="U746" i="34"/>
  <c r="V746" i="34"/>
  <c r="W746" i="34"/>
  <c r="X746" i="34"/>
  <c r="Y746" i="34"/>
  <c r="Z746" i="34"/>
  <c r="AA746" i="34"/>
  <c r="AB746" i="34"/>
  <c r="AD746" i="34"/>
  <c r="AE746" i="34"/>
  <c r="AF746" i="34"/>
  <c r="AG746" i="34"/>
  <c r="P747" i="34"/>
  <c r="Q747" i="34"/>
  <c r="R747" i="34"/>
  <c r="S747" i="34"/>
  <c r="T747" i="34"/>
  <c r="U747" i="34"/>
  <c r="V747" i="34"/>
  <c r="W747" i="34"/>
  <c r="X747" i="34"/>
  <c r="Y747" i="34"/>
  <c r="Z747" i="34"/>
  <c r="AA747" i="34"/>
  <c r="AB747" i="34"/>
  <c r="AD747" i="34"/>
  <c r="AE747" i="34"/>
  <c r="AF747" i="34"/>
  <c r="AG747" i="34"/>
  <c r="P748" i="34"/>
  <c r="Q748" i="34"/>
  <c r="R748" i="34"/>
  <c r="S748" i="34"/>
  <c r="T748" i="34"/>
  <c r="U748" i="34"/>
  <c r="V748" i="34"/>
  <c r="W748" i="34"/>
  <c r="X748" i="34"/>
  <c r="Y748" i="34"/>
  <c r="Z748" i="34"/>
  <c r="AA748" i="34"/>
  <c r="AB748" i="34"/>
  <c r="AD748" i="34"/>
  <c r="AE748" i="34"/>
  <c r="AF748" i="34"/>
  <c r="AG748" i="34"/>
  <c r="P749" i="34"/>
  <c r="Q749" i="34"/>
  <c r="R749" i="34"/>
  <c r="S749" i="34"/>
  <c r="T749" i="34"/>
  <c r="U749" i="34"/>
  <c r="V749" i="34"/>
  <c r="W749" i="34"/>
  <c r="X749" i="34"/>
  <c r="Y749" i="34"/>
  <c r="Z749" i="34"/>
  <c r="AA749" i="34"/>
  <c r="AB749" i="34"/>
  <c r="AD749" i="34"/>
  <c r="AE749" i="34"/>
  <c r="AF749" i="34"/>
  <c r="AG749" i="34"/>
  <c r="P750" i="34"/>
  <c r="Q750" i="34"/>
  <c r="R750" i="34"/>
  <c r="S750" i="34"/>
  <c r="T750" i="34"/>
  <c r="U750" i="34"/>
  <c r="V750" i="34"/>
  <c r="W750" i="34"/>
  <c r="X750" i="34"/>
  <c r="Y750" i="34"/>
  <c r="Z750" i="34"/>
  <c r="AA750" i="34"/>
  <c r="AB750" i="34"/>
  <c r="AD750" i="34"/>
  <c r="AE750" i="34"/>
  <c r="AF750" i="34"/>
  <c r="AG750" i="34"/>
  <c r="P751" i="34"/>
  <c r="Q751" i="34"/>
  <c r="R751" i="34"/>
  <c r="S751" i="34"/>
  <c r="T751" i="34"/>
  <c r="U751" i="34"/>
  <c r="V751" i="34"/>
  <c r="W751" i="34"/>
  <c r="X751" i="34"/>
  <c r="Y751" i="34"/>
  <c r="Z751" i="34"/>
  <c r="AA751" i="34"/>
  <c r="AB751" i="34"/>
  <c r="AD751" i="34"/>
  <c r="AE751" i="34"/>
  <c r="AF751" i="34"/>
  <c r="AG751" i="34"/>
  <c r="P752" i="34"/>
  <c r="Q752" i="34"/>
  <c r="R752" i="34"/>
  <c r="S752" i="34"/>
  <c r="T752" i="34"/>
  <c r="U752" i="34"/>
  <c r="V752" i="34"/>
  <c r="W752" i="34"/>
  <c r="X752" i="34"/>
  <c r="Y752" i="34"/>
  <c r="Z752" i="34"/>
  <c r="AA752" i="34"/>
  <c r="AB752" i="34"/>
  <c r="AD752" i="34"/>
  <c r="AE752" i="34"/>
  <c r="AF752" i="34"/>
  <c r="AG752" i="34"/>
  <c r="P753" i="34"/>
  <c r="Q753" i="34"/>
  <c r="R753" i="34"/>
  <c r="S753" i="34"/>
  <c r="T753" i="34"/>
  <c r="U753" i="34"/>
  <c r="V753" i="34"/>
  <c r="W753" i="34"/>
  <c r="X753" i="34"/>
  <c r="Y753" i="34"/>
  <c r="Z753" i="34"/>
  <c r="AA753" i="34"/>
  <c r="AB753" i="34"/>
  <c r="AD753" i="34"/>
  <c r="AE753" i="34"/>
  <c r="AF753" i="34"/>
  <c r="AG753" i="34"/>
  <c r="P754" i="34"/>
  <c r="Q754" i="34"/>
  <c r="R754" i="34"/>
  <c r="S754" i="34"/>
  <c r="T754" i="34"/>
  <c r="U754" i="34"/>
  <c r="V754" i="34"/>
  <c r="W754" i="34"/>
  <c r="X754" i="34"/>
  <c r="Y754" i="34"/>
  <c r="Z754" i="34"/>
  <c r="AA754" i="34"/>
  <c r="AB754" i="34"/>
  <c r="AD754" i="34"/>
  <c r="AE754" i="34"/>
  <c r="AF754" i="34"/>
  <c r="AG754" i="34"/>
  <c r="P755" i="34"/>
  <c r="Q755" i="34"/>
  <c r="R755" i="34"/>
  <c r="S755" i="34"/>
  <c r="T755" i="34"/>
  <c r="U755" i="34"/>
  <c r="V755" i="34"/>
  <c r="W755" i="34"/>
  <c r="X755" i="34"/>
  <c r="Y755" i="34"/>
  <c r="Z755" i="34"/>
  <c r="AA755" i="34"/>
  <c r="AB755" i="34"/>
  <c r="AD755" i="34"/>
  <c r="AE755" i="34"/>
  <c r="AF755" i="34"/>
  <c r="AG755" i="34"/>
  <c r="P756" i="34"/>
  <c r="Q756" i="34"/>
  <c r="R756" i="34"/>
  <c r="S756" i="34"/>
  <c r="T756" i="34"/>
  <c r="U756" i="34"/>
  <c r="V756" i="34"/>
  <c r="W756" i="34"/>
  <c r="X756" i="34"/>
  <c r="Y756" i="34"/>
  <c r="Z756" i="34"/>
  <c r="AA756" i="34"/>
  <c r="AB756" i="34"/>
  <c r="AD756" i="34"/>
  <c r="AE756" i="34"/>
  <c r="AF756" i="34"/>
  <c r="AG756" i="34"/>
  <c r="P757" i="34"/>
  <c r="Q757" i="34"/>
  <c r="R757" i="34"/>
  <c r="S757" i="34"/>
  <c r="T757" i="34"/>
  <c r="U757" i="34"/>
  <c r="V757" i="34"/>
  <c r="W757" i="34"/>
  <c r="X757" i="34"/>
  <c r="Y757" i="34"/>
  <c r="Z757" i="34"/>
  <c r="AA757" i="34"/>
  <c r="AB757" i="34"/>
  <c r="AD757" i="34"/>
  <c r="AE757" i="34"/>
  <c r="AF757" i="34"/>
  <c r="AG757" i="34"/>
  <c r="P758" i="34"/>
  <c r="Q758" i="34"/>
  <c r="R758" i="34"/>
  <c r="S758" i="34"/>
  <c r="T758" i="34"/>
  <c r="U758" i="34"/>
  <c r="V758" i="34"/>
  <c r="W758" i="34"/>
  <c r="X758" i="34"/>
  <c r="Y758" i="34"/>
  <c r="Z758" i="34"/>
  <c r="AA758" i="34"/>
  <c r="AB758" i="34"/>
  <c r="AD758" i="34"/>
  <c r="AE758" i="34"/>
  <c r="AF758" i="34"/>
  <c r="AG758" i="34"/>
  <c r="P759" i="34"/>
  <c r="Q759" i="34"/>
  <c r="R759" i="34"/>
  <c r="S759" i="34"/>
  <c r="T759" i="34"/>
  <c r="U759" i="34"/>
  <c r="V759" i="34"/>
  <c r="W759" i="34"/>
  <c r="X759" i="34"/>
  <c r="Y759" i="34"/>
  <c r="Z759" i="34"/>
  <c r="AA759" i="34"/>
  <c r="AB759" i="34"/>
  <c r="AD759" i="34"/>
  <c r="AE759" i="34"/>
  <c r="AF759" i="34"/>
  <c r="AG759" i="34"/>
  <c r="P760" i="34"/>
  <c r="Q760" i="34"/>
  <c r="R760" i="34"/>
  <c r="S760" i="34"/>
  <c r="T760" i="34"/>
  <c r="U760" i="34"/>
  <c r="V760" i="34"/>
  <c r="W760" i="34"/>
  <c r="X760" i="34"/>
  <c r="Y760" i="34"/>
  <c r="Z760" i="34"/>
  <c r="AA760" i="34"/>
  <c r="AB760" i="34"/>
  <c r="AD760" i="34"/>
  <c r="AE760" i="34"/>
  <c r="AF760" i="34"/>
  <c r="AG760" i="34"/>
  <c r="P761" i="34"/>
  <c r="Q761" i="34"/>
  <c r="R761" i="34"/>
  <c r="S761" i="34"/>
  <c r="T761" i="34"/>
  <c r="U761" i="34"/>
  <c r="V761" i="34"/>
  <c r="W761" i="34"/>
  <c r="X761" i="34"/>
  <c r="Y761" i="34"/>
  <c r="Z761" i="34"/>
  <c r="AA761" i="34"/>
  <c r="AB761" i="34"/>
  <c r="AD761" i="34"/>
  <c r="AE761" i="34"/>
  <c r="AF761" i="34"/>
  <c r="AG761" i="34"/>
  <c r="P762" i="34"/>
  <c r="Q762" i="34"/>
  <c r="R762" i="34"/>
  <c r="S762" i="34"/>
  <c r="T762" i="34"/>
  <c r="U762" i="34"/>
  <c r="V762" i="34"/>
  <c r="W762" i="34"/>
  <c r="X762" i="34"/>
  <c r="Y762" i="34"/>
  <c r="Z762" i="34"/>
  <c r="AA762" i="34"/>
  <c r="AB762" i="34"/>
  <c r="AD762" i="34"/>
  <c r="AE762" i="34"/>
  <c r="AF762" i="34"/>
  <c r="AG762" i="34"/>
  <c r="P763" i="34"/>
  <c r="Q763" i="34"/>
  <c r="R763" i="34"/>
  <c r="S763" i="34"/>
  <c r="T763" i="34"/>
  <c r="U763" i="34"/>
  <c r="V763" i="34"/>
  <c r="W763" i="34"/>
  <c r="X763" i="34"/>
  <c r="Y763" i="34"/>
  <c r="Z763" i="34"/>
  <c r="AA763" i="34"/>
  <c r="AB763" i="34"/>
  <c r="AD763" i="34"/>
  <c r="AE763" i="34"/>
  <c r="AF763" i="34"/>
  <c r="AG763" i="34"/>
  <c r="P764" i="34"/>
  <c r="Q764" i="34"/>
  <c r="R764" i="34"/>
  <c r="S764" i="34"/>
  <c r="T764" i="34"/>
  <c r="U764" i="34"/>
  <c r="V764" i="34"/>
  <c r="W764" i="34"/>
  <c r="X764" i="34"/>
  <c r="Y764" i="34"/>
  <c r="Z764" i="34"/>
  <c r="AA764" i="34"/>
  <c r="AB764" i="34"/>
  <c r="AD764" i="34"/>
  <c r="AE764" i="34"/>
  <c r="AF764" i="34"/>
  <c r="AG764" i="34"/>
  <c r="P765" i="34"/>
  <c r="Q765" i="34"/>
  <c r="R765" i="34"/>
  <c r="S765" i="34"/>
  <c r="T765" i="34"/>
  <c r="U765" i="34"/>
  <c r="V765" i="34"/>
  <c r="W765" i="34"/>
  <c r="X765" i="34"/>
  <c r="Y765" i="34"/>
  <c r="Z765" i="34"/>
  <c r="AA765" i="34"/>
  <c r="AB765" i="34"/>
  <c r="AD765" i="34"/>
  <c r="AE765" i="34"/>
  <c r="AF765" i="34"/>
  <c r="AG765" i="34"/>
  <c r="P766" i="34"/>
  <c r="Q766" i="34"/>
  <c r="R766" i="34"/>
  <c r="S766" i="34"/>
  <c r="T766" i="34"/>
  <c r="U766" i="34"/>
  <c r="V766" i="34"/>
  <c r="W766" i="34"/>
  <c r="X766" i="34"/>
  <c r="Y766" i="34"/>
  <c r="Z766" i="34"/>
  <c r="AA766" i="34"/>
  <c r="AB766" i="34"/>
  <c r="AD766" i="34"/>
  <c r="AE766" i="34"/>
  <c r="AF766" i="34"/>
  <c r="AG766" i="34"/>
  <c r="P767" i="34"/>
  <c r="Q767" i="34"/>
  <c r="R767" i="34"/>
  <c r="S767" i="34"/>
  <c r="T767" i="34"/>
  <c r="U767" i="34"/>
  <c r="V767" i="34"/>
  <c r="W767" i="34"/>
  <c r="X767" i="34"/>
  <c r="Y767" i="34"/>
  <c r="Z767" i="34"/>
  <c r="AA767" i="34"/>
  <c r="AB767" i="34"/>
  <c r="AD767" i="34"/>
  <c r="AE767" i="34"/>
  <c r="AF767" i="34"/>
  <c r="AG767" i="34"/>
  <c r="P768" i="34"/>
  <c r="Q768" i="34"/>
  <c r="R768" i="34"/>
  <c r="S768" i="34"/>
  <c r="T768" i="34"/>
  <c r="U768" i="34"/>
  <c r="V768" i="34"/>
  <c r="W768" i="34"/>
  <c r="X768" i="34"/>
  <c r="Y768" i="34"/>
  <c r="Z768" i="34"/>
  <c r="AA768" i="34"/>
  <c r="AB768" i="34"/>
  <c r="AD768" i="34"/>
  <c r="AE768" i="34"/>
  <c r="AF768" i="34"/>
  <c r="AG768" i="34"/>
  <c r="P769" i="34"/>
  <c r="Q769" i="34"/>
  <c r="R769" i="34"/>
  <c r="S769" i="34"/>
  <c r="T769" i="34"/>
  <c r="U769" i="34"/>
  <c r="V769" i="34"/>
  <c r="W769" i="34"/>
  <c r="X769" i="34"/>
  <c r="Y769" i="34"/>
  <c r="Z769" i="34"/>
  <c r="AA769" i="34"/>
  <c r="AB769" i="34"/>
  <c r="AD769" i="34"/>
  <c r="AE769" i="34"/>
  <c r="AF769" i="34"/>
  <c r="AG769" i="34"/>
  <c r="P770" i="34"/>
  <c r="Q770" i="34"/>
  <c r="R770" i="34"/>
  <c r="S770" i="34"/>
  <c r="T770" i="34"/>
  <c r="U770" i="34"/>
  <c r="V770" i="34"/>
  <c r="W770" i="34"/>
  <c r="X770" i="34"/>
  <c r="Y770" i="34"/>
  <c r="Z770" i="34"/>
  <c r="AA770" i="34"/>
  <c r="AB770" i="34"/>
  <c r="AD770" i="34"/>
  <c r="AE770" i="34"/>
  <c r="AF770" i="34"/>
  <c r="AG770" i="34"/>
  <c r="P771" i="34"/>
  <c r="Q771" i="34"/>
  <c r="R771" i="34"/>
  <c r="S771" i="34"/>
  <c r="T771" i="34"/>
  <c r="U771" i="34"/>
  <c r="V771" i="34"/>
  <c r="W771" i="34"/>
  <c r="X771" i="34"/>
  <c r="Y771" i="34"/>
  <c r="Z771" i="34"/>
  <c r="AA771" i="34"/>
  <c r="AB771" i="34"/>
  <c r="AD771" i="34"/>
  <c r="AE771" i="34"/>
  <c r="AF771" i="34"/>
  <c r="AG771" i="34"/>
  <c r="P772" i="34"/>
  <c r="Q772" i="34"/>
  <c r="R772" i="34"/>
  <c r="S772" i="34"/>
  <c r="T772" i="34"/>
  <c r="U772" i="34"/>
  <c r="V772" i="34"/>
  <c r="W772" i="34"/>
  <c r="X772" i="34"/>
  <c r="Y772" i="34"/>
  <c r="Z772" i="34"/>
  <c r="AA772" i="34"/>
  <c r="AB772" i="34"/>
  <c r="AD772" i="34"/>
  <c r="AE772" i="34"/>
  <c r="AF772" i="34"/>
  <c r="AG772" i="34"/>
  <c r="P773" i="34"/>
  <c r="Q773" i="34"/>
  <c r="R773" i="34"/>
  <c r="S773" i="34"/>
  <c r="T773" i="34"/>
  <c r="U773" i="34"/>
  <c r="V773" i="34"/>
  <c r="W773" i="34"/>
  <c r="X773" i="34"/>
  <c r="Y773" i="34"/>
  <c r="Z773" i="34"/>
  <c r="AA773" i="34"/>
  <c r="AB773" i="34"/>
  <c r="AD773" i="34"/>
  <c r="AE773" i="34"/>
  <c r="AF773" i="34"/>
  <c r="AG773" i="34"/>
  <c r="P774" i="34"/>
  <c r="Q774" i="34"/>
  <c r="R774" i="34"/>
  <c r="S774" i="34"/>
  <c r="T774" i="34"/>
  <c r="U774" i="34"/>
  <c r="V774" i="34"/>
  <c r="W774" i="34"/>
  <c r="X774" i="34"/>
  <c r="Y774" i="34"/>
  <c r="Z774" i="34"/>
  <c r="AA774" i="34"/>
  <c r="AB774" i="34"/>
  <c r="AD774" i="34"/>
  <c r="AE774" i="34"/>
  <c r="AF774" i="34"/>
  <c r="AG774" i="34"/>
  <c r="P775" i="34"/>
  <c r="Q775" i="34"/>
  <c r="R775" i="34"/>
  <c r="S775" i="34"/>
  <c r="T775" i="34"/>
  <c r="U775" i="34"/>
  <c r="V775" i="34"/>
  <c r="W775" i="34"/>
  <c r="X775" i="34"/>
  <c r="Y775" i="34"/>
  <c r="Z775" i="34"/>
  <c r="AA775" i="34"/>
  <c r="AB775" i="34"/>
  <c r="AD775" i="34"/>
  <c r="AE775" i="34"/>
  <c r="AF775" i="34"/>
  <c r="AG775" i="34"/>
  <c r="P776" i="34"/>
  <c r="Q776" i="34"/>
  <c r="R776" i="34"/>
  <c r="S776" i="34"/>
  <c r="T776" i="34"/>
  <c r="U776" i="34"/>
  <c r="V776" i="34"/>
  <c r="W776" i="34"/>
  <c r="X776" i="34"/>
  <c r="Y776" i="34"/>
  <c r="Z776" i="34"/>
  <c r="AA776" i="34"/>
  <c r="AB776" i="34"/>
  <c r="AD776" i="34"/>
  <c r="AE776" i="34"/>
  <c r="AF776" i="34"/>
  <c r="AG776" i="34"/>
  <c r="P777" i="34"/>
  <c r="Q777" i="34"/>
  <c r="R777" i="34"/>
  <c r="S777" i="34"/>
  <c r="T777" i="34"/>
  <c r="U777" i="34"/>
  <c r="V777" i="34"/>
  <c r="W777" i="34"/>
  <c r="X777" i="34"/>
  <c r="Y777" i="34"/>
  <c r="Z777" i="34"/>
  <c r="AA777" i="34"/>
  <c r="AB777" i="34"/>
  <c r="AD777" i="34"/>
  <c r="AE777" i="34"/>
  <c r="AF777" i="34"/>
  <c r="AG777" i="34"/>
  <c r="P778" i="34"/>
  <c r="Q778" i="34"/>
  <c r="R778" i="34"/>
  <c r="S778" i="34"/>
  <c r="T778" i="34"/>
  <c r="U778" i="34"/>
  <c r="V778" i="34"/>
  <c r="W778" i="34"/>
  <c r="X778" i="34"/>
  <c r="Y778" i="34"/>
  <c r="Z778" i="34"/>
  <c r="AA778" i="34"/>
  <c r="AB778" i="34"/>
  <c r="AD778" i="34"/>
  <c r="AE778" i="34"/>
  <c r="AF778" i="34"/>
  <c r="AG778" i="34"/>
  <c r="P779" i="34"/>
  <c r="Q779" i="34"/>
  <c r="R779" i="34"/>
  <c r="S779" i="34"/>
  <c r="T779" i="34"/>
  <c r="U779" i="34"/>
  <c r="V779" i="34"/>
  <c r="W779" i="34"/>
  <c r="X779" i="34"/>
  <c r="Y779" i="34"/>
  <c r="Z779" i="34"/>
  <c r="AA779" i="34"/>
  <c r="AB779" i="34"/>
  <c r="AD779" i="34"/>
  <c r="AE779" i="34"/>
  <c r="AF779" i="34"/>
  <c r="AG779" i="34"/>
  <c r="P780" i="34"/>
  <c r="Q780" i="34"/>
  <c r="R780" i="34"/>
  <c r="S780" i="34"/>
  <c r="T780" i="34"/>
  <c r="U780" i="34"/>
  <c r="V780" i="34"/>
  <c r="W780" i="34"/>
  <c r="X780" i="34"/>
  <c r="Y780" i="34"/>
  <c r="Z780" i="34"/>
  <c r="AA780" i="34"/>
  <c r="AB780" i="34"/>
  <c r="AD780" i="34"/>
  <c r="AE780" i="34"/>
  <c r="AF780" i="34"/>
  <c r="AG780" i="34"/>
  <c r="P781" i="34"/>
  <c r="Q781" i="34"/>
  <c r="R781" i="34"/>
  <c r="S781" i="34"/>
  <c r="T781" i="34"/>
  <c r="U781" i="34"/>
  <c r="V781" i="34"/>
  <c r="W781" i="34"/>
  <c r="X781" i="34"/>
  <c r="Y781" i="34"/>
  <c r="Z781" i="34"/>
  <c r="AA781" i="34"/>
  <c r="AB781" i="34"/>
  <c r="AD781" i="34"/>
  <c r="AE781" i="34"/>
  <c r="AF781" i="34"/>
  <c r="AG781" i="34"/>
  <c r="P782" i="34"/>
  <c r="Q782" i="34"/>
  <c r="R782" i="34"/>
  <c r="S782" i="34"/>
  <c r="T782" i="34"/>
  <c r="U782" i="34"/>
  <c r="V782" i="34"/>
  <c r="W782" i="34"/>
  <c r="X782" i="34"/>
  <c r="Y782" i="34"/>
  <c r="Z782" i="34"/>
  <c r="AA782" i="34"/>
  <c r="AB782" i="34"/>
  <c r="AD782" i="34"/>
  <c r="AE782" i="34"/>
  <c r="AF782" i="34"/>
  <c r="AG782" i="34"/>
  <c r="J21" i="62"/>
  <c r="H21" i="62"/>
  <c r="J19" i="62"/>
  <c r="H19" i="62"/>
  <c r="D35" i="12"/>
  <c r="C35" i="12"/>
  <c r="E6" i="43" l="1"/>
  <c r="T11" i="34"/>
  <c r="U11" i="34"/>
  <c r="V11" i="34"/>
  <c r="V10" i="34"/>
  <c r="T10" i="34"/>
  <c r="U10" i="34"/>
  <c r="I107" i="42"/>
  <c r="G61" i="43"/>
  <c r="S9" i="43" l="1"/>
  <c r="S8" i="43"/>
  <c r="B218" i="34" l="1"/>
  <c r="B217" i="34"/>
  <c r="D73" i="15"/>
  <c r="C73" i="15"/>
  <c r="D71" i="15"/>
  <c r="D74" i="15" s="1"/>
  <c r="C71" i="15"/>
  <c r="C74" i="15" s="1"/>
  <c r="C23" i="15"/>
  <c r="D23" i="15"/>
  <c r="C35" i="15"/>
  <c r="D35" i="15"/>
  <c r="D32" i="15"/>
  <c r="C32" i="15"/>
  <c r="C50" i="15"/>
  <c r="D50" i="15"/>
  <c r="B175" i="34"/>
  <c r="C43" i="15"/>
  <c r="D43" i="15"/>
  <c r="D55" i="15" l="1"/>
  <c r="L244"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4" i="60"/>
  <c r="V283" i="60"/>
  <c r="V282" i="60"/>
  <c r="V281" i="60"/>
  <c r="V280" i="60"/>
  <c r="V279" i="60"/>
  <c r="V278" i="60"/>
  <c r="V277" i="60"/>
  <c r="W276" i="60"/>
  <c r="V276" i="60"/>
  <c r="V274" i="60"/>
  <c r="L274" i="60"/>
  <c r="V273" i="60"/>
  <c r="V272" i="60"/>
  <c r="O272" i="60"/>
  <c r="N272" i="60"/>
  <c r="M272" i="60"/>
  <c r="L272" i="60"/>
  <c r="I272" i="60"/>
  <c r="G272" i="60"/>
  <c r="E272" i="60"/>
  <c r="D272" i="60"/>
  <c r="V271" i="60"/>
  <c r="A271" i="60"/>
  <c r="V270" i="60"/>
  <c r="P270" i="60"/>
  <c r="N270" i="60"/>
  <c r="M270" i="60"/>
  <c r="K270" i="60"/>
  <c r="J270" i="60"/>
  <c r="I270" i="60"/>
  <c r="H270" i="60"/>
  <c r="G270" i="60"/>
  <c r="D270" i="60"/>
  <c r="C270" i="60"/>
  <c r="A270" i="60"/>
  <c r="V269" i="60"/>
  <c r="P269" i="60"/>
  <c r="N269" i="60"/>
  <c r="K269" i="60"/>
  <c r="J269" i="60"/>
  <c r="I269" i="60"/>
  <c r="H269" i="60"/>
  <c r="G269" i="60"/>
  <c r="D269" i="60"/>
  <c r="C269" i="60"/>
  <c r="A269" i="60"/>
  <c r="V268" i="60"/>
  <c r="P268" i="60"/>
  <c r="N268" i="60"/>
  <c r="M268" i="60"/>
  <c r="K268" i="60"/>
  <c r="J268" i="60"/>
  <c r="I268" i="60"/>
  <c r="H268" i="60"/>
  <c r="G268" i="60"/>
  <c r="D268" i="60"/>
  <c r="C268" i="60"/>
  <c r="A268" i="60"/>
  <c r="V267" i="60"/>
  <c r="P267" i="60"/>
  <c r="N267" i="60"/>
  <c r="K267" i="60"/>
  <c r="J267" i="60"/>
  <c r="I267" i="60"/>
  <c r="H267" i="60"/>
  <c r="G267" i="60"/>
  <c r="D267" i="60"/>
  <c r="C267" i="60"/>
  <c r="A267" i="60"/>
  <c r="V266" i="60"/>
  <c r="P266" i="60"/>
  <c r="N266" i="60"/>
  <c r="K266" i="60"/>
  <c r="J266" i="60"/>
  <c r="I266" i="60"/>
  <c r="H266" i="60"/>
  <c r="G266" i="60"/>
  <c r="D266" i="60"/>
  <c r="C266" i="60"/>
  <c r="A266" i="60"/>
  <c r="V265" i="60"/>
  <c r="P265" i="60"/>
  <c r="N265" i="60"/>
  <c r="M265" i="60"/>
  <c r="K265" i="60"/>
  <c r="J265" i="60"/>
  <c r="I265" i="60"/>
  <c r="H265" i="60"/>
  <c r="G265" i="60"/>
  <c r="D265" i="60"/>
  <c r="C265" i="60"/>
  <c r="A265" i="60"/>
  <c r="V258" i="60"/>
  <c r="V257" i="60"/>
  <c r="V256" i="60"/>
  <c r="V255" i="60"/>
  <c r="V254" i="60"/>
  <c r="V253" i="60"/>
  <c r="V252" i="60"/>
  <c r="W251" i="60"/>
  <c r="V251" i="60"/>
  <c r="V249" i="60"/>
  <c r="V248" i="60"/>
  <c r="V247" i="60"/>
  <c r="O247" i="60"/>
  <c r="N247" i="60"/>
  <c r="M247" i="60"/>
  <c r="L247" i="60"/>
  <c r="I247" i="60"/>
  <c r="G247" i="60"/>
  <c r="E247" i="60"/>
  <c r="D247" i="60"/>
  <c r="V246" i="60"/>
  <c r="A246" i="60"/>
  <c r="V245" i="60"/>
  <c r="P245" i="60"/>
  <c r="M245" i="60"/>
  <c r="L245" i="60"/>
  <c r="K245" i="60"/>
  <c r="J245" i="60"/>
  <c r="I245" i="60"/>
  <c r="H245" i="60"/>
  <c r="G245" i="60"/>
  <c r="D245" i="60"/>
  <c r="A245" i="60"/>
  <c r="V244" i="60"/>
  <c r="P244" i="60"/>
  <c r="L244" i="60"/>
  <c r="K244" i="60"/>
  <c r="J244" i="60"/>
  <c r="I244" i="60"/>
  <c r="H244" i="60"/>
  <c r="G244" i="60"/>
  <c r="D244" i="60"/>
  <c r="C244" i="60"/>
  <c r="A244" i="60"/>
  <c r="V243" i="60"/>
  <c r="P243" i="60"/>
  <c r="M243" i="60"/>
  <c r="L243" i="60"/>
  <c r="K243" i="60"/>
  <c r="J243" i="60"/>
  <c r="I243" i="60"/>
  <c r="H243" i="60"/>
  <c r="G243" i="60"/>
  <c r="D243" i="60"/>
  <c r="C243" i="60"/>
  <c r="A243" i="60"/>
  <c r="V242" i="60"/>
  <c r="P242" i="60"/>
  <c r="L242" i="60"/>
  <c r="K242" i="60"/>
  <c r="J242" i="60"/>
  <c r="I242" i="60"/>
  <c r="H242" i="60"/>
  <c r="G242" i="60"/>
  <c r="D242" i="60"/>
  <c r="C242" i="60"/>
  <c r="A242" i="60"/>
  <c r="V241" i="60"/>
  <c r="P241" i="60"/>
  <c r="L241" i="60"/>
  <c r="K241" i="60"/>
  <c r="J241" i="60"/>
  <c r="I241" i="60"/>
  <c r="H241" i="60"/>
  <c r="G241" i="60"/>
  <c r="D241" i="60"/>
  <c r="C241" i="60"/>
  <c r="A241" i="60"/>
  <c r="V240" i="60"/>
  <c r="P240" i="60"/>
  <c r="M240" i="60"/>
  <c r="L240" i="60"/>
  <c r="K240" i="60"/>
  <c r="J240" i="60"/>
  <c r="I240" i="60"/>
  <c r="H240" i="60"/>
  <c r="G240" i="60"/>
  <c r="D240" i="60"/>
  <c r="C240" i="60"/>
  <c r="A240" i="60"/>
  <c r="V233" i="60"/>
  <c r="V232" i="60"/>
  <c r="V231" i="60"/>
  <c r="V230" i="60"/>
  <c r="V229" i="60"/>
  <c r="V228" i="60"/>
  <c r="V227" i="60"/>
  <c r="V226" i="60"/>
  <c r="W225" i="60"/>
  <c r="V225" i="60"/>
  <c r="V223" i="60"/>
  <c r="V222" i="60"/>
  <c r="V221" i="60"/>
  <c r="O221" i="60"/>
  <c r="N221" i="60"/>
  <c r="M221" i="60"/>
  <c r="L221" i="60"/>
  <c r="I221" i="60"/>
  <c r="G221" i="60"/>
  <c r="E221" i="60"/>
  <c r="D221" i="60"/>
  <c r="V220" i="60"/>
  <c r="A220" i="60"/>
  <c r="V219" i="60"/>
  <c r="P219" i="60"/>
  <c r="N219" i="60"/>
  <c r="K219" i="60"/>
  <c r="J219" i="60"/>
  <c r="I219" i="60"/>
  <c r="H219" i="60"/>
  <c r="G219" i="60"/>
  <c r="D219" i="60"/>
  <c r="C219" i="60"/>
  <c r="A219" i="60"/>
  <c r="V218" i="60"/>
  <c r="P218" i="60"/>
  <c r="N218" i="60"/>
  <c r="K218" i="60"/>
  <c r="J218" i="60"/>
  <c r="I218" i="60"/>
  <c r="H218" i="60"/>
  <c r="G218" i="60"/>
  <c r="D218" i="60"/>
  <c r="C218" i="60"/>
  <c r="A218" i="60"/>
  <c r="V217" i="60"/>
  <c r="P217" i="60"/>
  <c r="N217" i="60"/>
  <c r="K217" i="60"/>
  <c r="J217" i="60"/>
  <c r="I217" i="60"/>
  <c r="H217" i="60"/>
  <c r="G217" i="60"/>
  <c r="D217" i="60"/>
  <c r="C217" i="60"/>
  <c r="A217" i="60"/>
  <c r="V216" i="60"/>
  <c r="P216" i="60"/>
  <c r="N216" i="60"/>
  <c r="K216" i="60"/>
  <c r="J216" i="60"/>
  <c r="I216" i="60"/>
  <c r="H216" i="60"/>
  <c r="G216" i="60"/>
  <c r="D216" i="60"/>
  <c r="C216" i="60"/>
  <c r="A216" i="60"/>
  <c r="V215" i="60"/>
  <c r="P215" i="60"/>
  <c r="N215" i="60"/>
  <c r="M215" i="60"/>
  <c r="K215" i="60"/>
  <c r="J215" i="60"/>
  <c r="I215" i="60"/>
  <c r="H215" i="60"/>
  <c r="G215" i="60"/>
  <c r="D215" i="60"/>
  <c r="C215" i="60"/>
  <c r="A215" i="60"/>
  <c r="V214" i="60"/>
  <c r="P214" i="60"/>
  <c r="N214" i="60"/>
  <c r="K214" i="60"/>
  <c r="J214" i="60"/>
  <c r="I214" i="60"/>
  <c r="H214" i="60"/>
  <c r="G214" i="60"/>
  <c r="D214" i="60"/>
  <c r="C214" i="60"/>
  <c r="A214" i="60"/>
  <c r="V206" i="60"/>
  <c r="V205" i="60"/>
  <c r="V204" i="60"/>
  <c r="V203" i="60"/>
  <c r="V202" i="60"/>
  <c r="V201" i="60"/>
  <c r="V200" i="60"/>
  <c r="V199" i="60"/>
  <c r="W198" i="60"/>
  <c r="V198" i="60"/>
  <c r="V196" i="60"/>
  <c r="V195" i="60"/>
  <c r="V194" i="60"/>
  <c r="V193" i="60"/>
  <c r="O193" i="60"/>
  <c r="N193" i="60"/>
  <c r="M193" i="60"/>
  <c r="L193" i="60"/>
  <c r="I193" i="60"/>
  <c r="G193" i="60"/>
  <c r="E193" i="60"/>
  <c r="D193" i="60"/>
  <c r="V192" i="60"/>
  <c r="A192" i="60"/>
  <c r="V191" i="60"/>
  <c r="P191" i="60"/>
  <c r="N191" i="60"/>
  <c r="K191" i="60"/>
  <c r="J191" i="60"/>
  <c r="I191" i="60"/>
  <c r="H191" i="60"/>
  <c r="G191" i="60"/>
  <c r="D191" i="60"/>
  <c r="C191" i="60"/>
  <c r="A191" i="60"/>
  <c r="V190" i="60"/>
  <c r="P190" i="60"/>
  <c r="N190" i="60"/>
  <c r="K190" i="60"/>
  <c r="J190" i="60"/>
  <c r="I190" i="60"/>
  <c r="H190" i="60"/>
  <c r="G190" i="60"/>
  <c r="D190" i="60"/>
  <c r="C190" i="60"/>
  <c r="A190" i="60"/>
  <c r="V189" i="60"/>
  <c r="P189" i="60"/>
  <c r="N189" i="60"/>
  <c r="K189" i="60"/>
  <c r="J189" i="60"/>
  <c r="I189" i="60"/>
  <c r="H189" i="60"/>
  <c r="G189" i="60"/>
  <c r="D189" i="60"/>
  <c r="C189" i="60"/>
  <c r="A189" i="60"/>
  <c r="V188" i="60"/>
  <c r="P188" i="60"/>
  <c r="N188" i="60"/>
  <c r="K188" i="60"/>
  <c r="J188" i="60"/>
  <c r="I188" i="60"/>
  <c r="H188" i="60"/>
  <c r="G188" i="60"/>
  <c r="D188" i="60"/>
  <c r="C188" i="60"/>
  <c r="A188" i="60"/>
  <c r="V187" i="60"/>
  <c r="P187" i="60"/>
  <c r="N187" i="60"/>
  <c r="M187" i="60"/>
  <c r="K187" i="60"/>
  <c r="J187" i="60"/>
  <c r="I187" i="60"/>
  <c r="H187" i="60"/>
  <c r="G187" i="60"/>
  <c r="D187" i="60"/>
  <c r="C187" i="60"/>
  <c r="A187" i="60"/>
  <c r="V180" i="60"/>
  <c r="V179" i="60"/>
  <c r="V178" i="60"/>
  <c r="V177" i="60"/>
  <c r="V176" i="60"/>
  <c r="V175" i="60"/>
  <c r="V174" i="60"/>
  <c r="V173" i="60"/>
  <c r="W172" i="60"/>
  <c r="V172" i="60"/>
  <c r="V170" i="60"/>
  <c r="V169" i="60"/>
  <c r="V168" i="60"/>
  <c r="V167" i="60"/>
  <c r="V166" i="60"/>
  <c r="V165" i="60"/>
  <c r="O165" i="60"/>
  <c r="N165" i="60"/>
  <c r="M165" i="60"/>
  <c r="L165" i="60"/>
  <c r="I165" i="60"/>
  <c r="G165" i="60"/>
  <c r="E165" i="60"/>
  <c r="D165" i="60"/>
  <c r="V164" i="60"/>
  <c r="C164" i="60"/>
  <c r="A164" i="60"/>
  <c r="V163" i="60"/>
  <c r="P163" i="60"/>
  <c r="N163" i="60"/>
  <c r="M163" i="60"/>
  <c r="K163" i="60"/>
  <c r="J163" i="60"/>
  <c r="I163" i="60"/>
  <c r="H163" i="60"/>
  <c r="G163" i="60"/>
  <c r="D163" i="60"/>
  <c r="C163" i="60"/>
  <c r="A163" i="60"/>
  <c r="V162" i="60"/>
  <c r="P162" i="60"/>
  <c r="N162" i="60"/>
  <c r="M162" i="60"/>
  <c r="K162" i="60"/>
  <c r="J162" i="60"/>
  <c r="I162" i="60"/>
  <c r="H162" i="60"/>
  <c r="G162" i="60"/>
  <c r="D162" i="60"/>
  <c r="C162" i="60"/>
  <c r="A162" i="60"/>
  <c r="V161" i="60"/>
  <c r="P161" i="60"/>
  <c r="N161" i="60"/>
  <c r="K161" i="60"/>
  <c r="J161" i="60"/>
  <c r="I161" i="60"/>
  <c r="H161" i="60"/>
  <c r="G161" i="60"/>
  <c r="D161" i="60"/>
  <c r="C161" i="60"/>
  <c r="A161" i="60"/>
  <c r="V160" i="60"/>
  <c r="P160" i="60"/>
  <c r="N160" i="60"/>
  <c r="M160" i="60"/>
  <c r="K160" i="60"/>
  <c r="J160" i="60"/>
  <c r="I160" i="60"/>
  <c r="H160" i="60"/>
  <c r="G160" i="60"/>
  <c r="D160" i="60"/>
  <c r="C160" i="60"/>
  <c r="A160" i="60"/>
  <c r="V154" i="60"/>
  <c r="V153" i="60"/>
  <c r="V152" i="60"/>
  <c r="V151" i="60"/>
  <c r="V150" i="60"/>
  <c r="V149" i="60"/>
  <c r="W148" i="60"/>
  <c r="V148" i="60"/>
  <c r="V146" i="60"/>
  <c r="V145" i="60"/>
  <c r="V144" i="60"/>
  <c r="V143" i="60"/>
  <c r="V142" i="60"/>
  <c r="V141" i="60"/>
  <c r="O141" i="60"/>
  <c r="N141" i="60"/>
  <c r="M141" i="60"/>
  <c r="L141" i="60"/>
  <c r="I141" i="60"/>
  <c r="G141" i="60"/>
  <c r="D141" i="60"/>
  <c r="V140" i="60"/>
  <c r="P140" i="60"/>
  <c r="N140" i="60"/>
  <c r="M140" i="60"/>
  <c r="K140" i="60"/>
  <c r="J140" i="60"/>
  <c r="I140" i="60"/>
  <c r="H140" i="60"/>
  <c r="G140" i="60"/>
  <c r="D140" i="60"/>
  <c r="A140" i="60"/>
  <c r="V139" i="60"/>
  <c r="P139" i="60"/>
  <c r="N139" i="60"/>
  <c r="K139" i="60"/>
  <c r="J139" i="60"/>
  <c r="I139" i="60"/>
  <c r="H139" i="60"/>
  <c r="G139" i="60"/>
  <c r="D139" i="60"/>
  <c r="C139" i="60"/>
  <c r="A139" i="60"/>
  <c r="V138" i="60"/>
  <c r="P138" i="60"/>
  <c r="N138" i="60"/>
  <c r="K138" i="60"/>
  <c r="J138" i="60"/>
  <c r="I138" i="60"/>
  <c r="H138" i="60"/>
  <c r="G138" i="60"/>
  <c r="D138" i="60"/>
  <c r="C138" i="60"/>
  <c r="A138" i="60"/>
  <c r="V137" i="60"/>
  <c r="P137" i="60"/>
  <c r="N137" i="60"/>
  <c r="M137" i="60"/>
  <c r="K137" i="60"/>
  <c r="J137" i="60"/>
  <c r="I137" i="60"/>
  <c r="H137" i="60"/>
  <c r="G137" i="60"/>
  <c r="D137" i="60"/>
  <c r="C137" i="60"/>
  <c r="A137" i="60"/>
  <c r="V130" i="60"/>
  <c r="V129" i="60"/>
  <c r="V128" i="60"/>
  <c r="V127" i="60"/>
  <c r="V126" i="60"/>
  <c r="V125" i="60"/>
  <c r="V124" i="60"/>
  <c r="W123" i="60"/>
  <c r="V123" i="60"/>
  <c r="V121" i="60"/>
  <c r="V120" i="60"/>
  <c r="V119" i="60"/>
  <c r="V118" i="60"/>
  <c r="V117" i="60"/>
  <c r="V116" i="60"/>
  <c r="V115" i="60"/>
  <c r="V114" i="60"/>
  <c r="O114" i="60"/>
  <c r="N114" i="60"/>
  <c r="M114" i="60"/>
  <c r="L114" i="60"/>
  <c r="I114" i="60"/>
  <c r="G114" i="60"/>
  <c r="D114" i="60"/>
  <c r="V113" i="60"/>
  <c r="A113" i="60"/>
  <c r="V112" i="60"/>
  <c r="P112" i="60"/>
  <c r="N112" i="60"/>
  <c r="M112" i="60"/>
  <c r="K112" i="60"/>
  <c r="J112" i="60"/>
  <c r="I112" i="60"/>
  <c r="H112" i="60"/>
  <c r="G112" i="60"/>
  <c r="D112" i="60"/>
  <c r="C112" i="60"/>
  <c r="A112" i="60"/>
  <c r="V111" i="60"/>
  <c r="P111" i="60"/>
  <c r="N111" i="60"/>
  <c r="K111" i="60"/>
  <c r="J111" i="60"/>
  <c r="I111" i="60"/>
  <c r="H111" i="60"/>
  <c r="G111" i="60"/>
  <c r="D111" i="60"/>
  <c r="C111" i="60"/>
  <c r="A111" i="60"/>
  <c r="V110" i="60"/>
  <c r="P110" i="60"/>
  <c r="N110" i="60"/>
  <c r="K110" i="60"/>
  <c r="J110" i="60"/>
  <c r="I110" i="60"/>
  <c r="H110" i="60"/>
  <c r="G110" i="60"/>
  <c r="D110" i="60"/>
  <c r="C110" i="60"/>
  <c r="A110" i="60"/>
  <c r="V109" i="60"/>
  <c r="P109" i="60"/>
  <c r="N109" i="60"/>
  <c r="M109" i="60"/>
  <c r="K109" i="60"/>
  <c r="J109" i="60"/>
  <c r="I109" i="60"/>
  <c r="H109" i="60"/>
  <c r="G109" i="60"/>
  <c r="D109" i="60"/>
  <c r="C109" i="60"/>
  <c r="A109" i="60"/>
  <c r="V102" i="60"/>
  <c r="V101" i="60"/>
  <c r="V100" i="60"/>
  <c r="V99" i="60"/>
  <c r="V98" i="60"/>
  <c r="W97" i="60"/>
  <c r="V97" i="60"/>
  <c r="V95" i="60"/>
  <c r="V94" i="60"/>
  <c r="V93" i="60"/>
  <c r="V92" i="60"/>
  <c r="O92" i="60"/>
  <c r="N92" i="60"/>
  <c r="M92" i="60"/>
  <c r="L92" i="60"/>
  <c r="I92" i="60"/>
  <c r="G92" i="60"/>
  <c r="E92" i="60"/>
  <c r="D92" i="60"/>
  <c r="V91" i="60"/>
  <c r="A91" i="60"/>
  <c r="V90" i="60"/>
  <c r="P90" i="60"/>
  <c r="N90" i="60"/>
  <c r="K90" i="60"/>
  <c r="J90" i="60"/>
  <c r="I90" i="60"/>
  <c r="H90" i="60"/>
  <c r="G90" i="60"/>
  <c r="D90" i="60"/>
  <c r="C90" i="60"/>
  <c r="A90" i="60"/>
  <c r="V89" i="60"/>
  <c r="P89" i="60"/>
  <c r="N89" i="60"/>
  <c r="M89" i="60"/>
  <c r="K89" i="60"/>
  <c r="J89" i="60"/>
  <c r="I89" i="60"/>
  <c r="H89" i="60"/>
  <c r="G89" i="60"/>
  <c r="D89" i="60"/>
  <c r="C89" i="60"/>
  <c r="A89" i="60"/>
  <c r="V83" i="60"/>
  <c r="V82" i="60"/>
  <c r="V81" i="60"/>
  <c r="V80" i="60"/>
  <c r="W79" i="60"/>
  <c r="V79" i="60"/>
  <c r="V77" i="60"/>
  <c r="V76" i="60"/>
  <c r="V75" i="60"/>
  <c r="V74" i="60"/>
  <c r="V73" i="60"/>
  <c r="V72" i="60"/>
  <c r="V71" i="60"/>
  <c r="V70" i="60"/>
  <c r="O70" i="60"/>
  <c r="N70" i="60"/>
  <c r="M70" i="60"/>
  <c r="L70" i="60"/>
  <c r="I70" i="60"/>
  <c r="G70" i="60"/>
  <c r="D70" i="60"/>
  <c r="V69" i="60"/>
  <c r="A69" i="60"/>
  <c r="V68" i="60"/>
  <c r="P68" i="60"/>
  <c r="N68" i="60"/>
  <c r="K68" i="60"/>
  <c r="J68" i="60"/>
  <c r="I68" i="60"/>
  <c r="H68" i="60"/>
  <c r="G68" i="60"/>
  <c r="D68" i="60"/>
  <c r="C68" i="60"/>
  <c r="A68" i="60"/>
  <c r="V67" i="60"/>
  <c r="P67" i="60"/>
  <c r="N67" i="60"/>
  <c r="M67" i="60"/>
  <c r="K67" i="60"/>
  <c r="J67" i="60"/>
  <c r="I67" i="60"/>
  <c r="H67" i="60"/>
  <c r="G67" i="60"/>
  <c r="D67" i="60"/>
  <c r="C67" i="60"/>
  <c r="A67" i="60"/>
  <c r="V61" i="60"/>
  <c r="V60" i="60"/>
  <c r="V59" i="60"/>
  <c r="V58" i="60"/>
  <c r="V57" i="60"/>
  <c r="V56" i="60"/>
  <c r="W55" i="60"/>
  <c r="V55" i="60"/>
  <c r="V53" i="60"/>
  <c r="V52" i="60"/>
  <c r="V51" i="60"/>
  <c r="V50" i="60"/>
  <c r="O50" i="60"/>
  <c r="N50" i="60"/>
  <c r="M50" i="60"/>
  <c r="L50" i="60"/>
  <c r="I50" i="60"/>
  <c r="G50" i="60"/>
  <c r="E50" i="60"/>
  <c r="D50" i="60"/>
  <c r="V49" i="60"/>
  <c r="A49" i="60"/>
  <c r="V48" i="60"/>
  <c r="P48" i="60"/>
  <c r="N48" i="60"/>
  <c r="K48" i="60"/>
  <c r="J48" i="60"/>
  <c r="I48" i="60"/>
  <c r="H48" i="60"/>
  <c r="G48" i="60"/>
  <c r="D48" i="60"/>
  <c r="C48" i="60"/>
  <c r="A48" i="60"/>
  <c r="V47" i="60"/>
  <c r="P47" i="60"/>
  <c r="N47" i="60"/>
  <c r="K47" i="60"/>
  <c r="J47" i="60"/>
  <c r="I47" i="60"/>
  <c r="H47" i="60"/>
  <c r="G47" i="60"/>
  <c r="D47" i="60"/>
  <c r="C47" i="60"/>
  <c r="A47" i="60"/>
  <c r="V46" i="60"/>
  <c r="P46" i="60"/>
  <c r="N46" i="60"/>
  <c r="K46" i="60"/>
  <c r="J46" i="60"/>
  <c r="I46" i="60"/>
  <c r="H46" i="60"/>
  <c r="G46" i="60"/>
  <c r="D46" i="60"/>
  <c r="A46" i="60"/>
  <c r="V40" i="60"/>
  <c r="V39" i="60"/>
  <c r="V38" i="60"/>
  <c r="W37" i="60"/>
  <c r="V37" i="60"/>
  <c r="V35" i="60"/>
  <c r="V34" i="60"/>
  <c r="V33" i="60"/>
  <c r="V32" i="60"/>
  <c r="V31" i="60"/>
  <c r="O31" i="60"/>
  <c r="N31" i="60"/>
  <c r="M31" i="60"/>
  <c r="L31" i="60"/>
  <c r="I31" i="60"/>
  <c r="G31" i="60"/>
  <c r="E31" i="60"/>
  <c r="D31" i="60"/>
  <c r="V30" i="60"/>
  <c r="A30" i="60"/>
  <c r="V29" i="60"/>
  <c r="P29" i="60"/>
  <c r="N29" i="60"/>
  <c r="K29" i="60"/>
  <c r="J29" i="60"/>
  <c r="I29" i="60"/>
  <c r="H29" i="60"/>
  <c r="G29" i="60"/>
  <c r="D29" i="60"/>
  <c r="C29" i="60"/>
  <c r="A29" i="60"/>
  <c r="V28" i="60"/>
  <c r="P28" i="60"/>
  <c r="N28" i="60"/>
  <c r="L28" i="60"/>
  <c r="K28" i="60"/>
  <c r="J28" i="60"/>
  <c r="I28" i="60"/>
  <c r="H28" i="60"/>
  <c r="G28" i="60"/>
  <c r="D28" i="60"/>
  <c r="A28" i="60"/>
  <c r="V22" i="60"/>
  <c r="V21" i="60"/>
  <c r="V20" i="60"/>
  <c r="V19" i="60"/>
  <c r="V18" i="60"/>
  <c r="W17" i="60"/>
  <c r="V17" i="60"/>
  <c r="V15" i="60"/>
  <c r="V14" i="60"/>
  <c r="V13" i="60"/>
  <c r="V12" i="60"/>
  <c r="V11" i="60"/>
  <c r="O11" i="60"/>
  <c r="N11" i="60"/>
  <c r="M11" i="60"/>
  <c r="L11" i="60"/>
  <c r="I11" i="60"/>
  <c r="G11" i="60"/>
  <c r="D11" i="60"/>
  <c r="V10" i="60"/>
  <c r="P10" i="60"/>
  <c r="A10" i="60"/>
  <c r="V9" i="60"/>
  <c r="P9" i="60"/>
  <c r="N9" i="60"/>
  <c r="L9" i="60"/>
  <c r="K9" i="60"/>
  <c r="J9" i="60"/>
  <c r="I9" i="60"/>
  <c r="H9" i="60"/>
  <c r="G9" i="60"/>
  <c r="D9" i="60"/>
  <c r="A9" i="60"/>
  <c r="V8" i="60"/>
  <c r="P8" i="60"/>
  <c r="N8" i="60"/>
  <c r="L8" i="60"/>
  <c r="K8" i="60"/>
  <c r="J8" i="60"/>
  <c r="I8" i="60"/>
  <c r="H8" i="60"/>
  <c r="G8" i="60"/>
  <c r="D8" i="60"/>
  <c r="A8" i="60"/>
  <c r="V7" i="60"/>
  <c r="P7" i="60"/>
  <c r="N7" i="60"/>
  <c r="L7" i="60"/>
  <c r="K7" i="60"/>
  <c r="J7" i="60"/>
  <c r="I7" i="60"/>
  <c r="H7" i="60"/>
  <c r="G7" i="60"/>
  <c r="D7" i="60"/>
  <c r="A7" i="60"/>
  <c r="J42" i="59"/>
  <c r="A4" i="59"/>
  <c r="A31" i="58"/>
  <c r="I13" i="58"/>
  <c r="C8" i="58"/>
  <c r="A31" i="57"/>
  <c r="L13" i="57"/>
  <c r="K13" i="57"/>
  <c r="I7" i="57"/>
  <c r="F36" i="56"/>
  <c r="H30" i="56"/>
  <c r="F30" i="56"/>
  <c r="F29" i="56"/>
  <c r="A27" i="56"/>
  <c r="F15" i="56"/>
  <c r="A12" i="56"/>
  <c r="A11" i="56"/>
  <c r="A10" i="56"/>
  <c r="D7" i="56"/>
  <c r="C7" i="56"/>
  <c r="D5" i="56"/>
  <c r="G2" i="56"/>
  <c r="A53" i="55"/>
  <c r="F52" i="55"/>
  <c r="E52" i="55"/>
  <c r="A52" i="55"/>
  <c r="B51" i="55"/>
  <c r="A51" i="55"/>
  <c r="I50" i="55" a="1"/>
  <c r="I50" i="55" s="1"/>
  <c r="G50" i="55" a="1"/>
  <c r="G50" i="55" s="1"/>
  <c r="B50" i="55"/>
  <c r="A50" i="55"/>
  <c r="I49" i="55" a="1"/>
  <c r="I49" i="55" s="1"/>
  <c r="G49" i="55" a="1"/>
  <c r="G49" i="55" s="1"/>
  <c r="B49" i="55"/>
  <c r="A49" i="55"/>
  <c r="I48" i="55" a="1"/>
  <c r="I48" i="55" s="1"/>
  <c r="G48" i="55" a="1"/>
  <c r="G48" i="55" s="1"/>
  <c r="B48" i="55"/>
  <c r="A48" i="55"/>
  <c r="I47" i="55" a="1"/>
  <c r="I47" i="55" s="1"/>
  <c r="G47" i="55" a="1"/>
  <c r="G47" i="55" s="1"/>
  <c r="B47" i="55"/>
  <c r="A47" i="55"/>
  <c r="I46" i="55" a="1"/>
  <c r="I46" i="55" s="1"/>
  <c r="G46" i="55" a="1"/>
  <c r="G46" i="55" s="1"/>
  <c r="B46" i="55"/>
  <c r="A46" i="55"/>
  <c r="I45" i="55" a="1"/>
  <c r="I45" i="55" s="1"/>
  <c r="G45" i="55" a="1"/>
  <c r="G45" i="55" s="1"/>
  <c r="B45" i="55"/>
  <c r="A45" i="55"/>
  <c r="I44" i="55" a="1"/>
  <c r="I44" i="55" s="1"/>
  <c r="G44" i="55" a="1"/>
  <c r="G44" i="55" s="1"/>
  <c r="B44" i="55"/>
  <c r="A44" i="55"/>
  <c r="I43" i="55" a="1"/>
  <c r="I43" i="55" s="1"/>
  <c r="G43" i="55" a="1"/>
  <c r="G43" i="55" s="1"/>
  <c r="B43" i="55"/>
  <c r="A43" i="55"/>
  <c r="F42" i="55"/>
  <c r="E42" i="55"/>
  <c r="A42" i="55"/>
  <c r="B41" i="55"/>
  <c r="A41" i="55"/>
  <c r="I40" i="55" a="1"/>
  <c r="I40" i="55" s="1"/>
  <c r="G40" i="55" a="1"/>
  <c r="G40" i="55" s="1"/>
  <c r="B40" i="55"/>
  <c r="A40" i="55"/>
  <c r="I39" i="55" a="1"/>
  <c r="I39" i="55" s="1"/>
  <c r="G39" i="55" a="1"/>
  <c r="G39" i="55" s="1"/>
  <c r="B39" i="55"/>
  <c r="A39" i="55"/>
  <c r="I38" i="55" a="1"/>
  <c r="I38" i="55" s="1"/>
  <c r="G38" i="55" a="1"/>
  <c r="G38" i="55" s="1"/>
  <c r="B38" i="55"/>
  <c r="A38" i="55"/>
  <c r="I37" i="55" a="1"/>
  <c r="I37" i="55" s="1"/>
  <c r="G37" i="55" a="1"/>
  <c r="G37" i="55" s="1"/>
  <c r="B37" i="55"/>
  <c r="A37" i="55"/>
  <c r="I36" i="55" a="1"/>
  <c r="I36" i="55" s="1"/>
  <c r="G36" i="55" a="1"/>
  <c r="G36" i="55" s="1"/>
  <c r="B36" i="55"/>
  <c r="A36" i="55"/>
  <c r="F35" i="55"/>
  <c r="E35" i="55"/>
  <c r="B34" i="55"/>
  <c r="A34" i="55"/>
  <c r="I33" i="55" a="1"/>
  <c r="I33" i="55" s="1"/>
  <c r="G33" i="55" a="1"/>
  <c r="G33" i="55" s="1"/>
  <c r="B33" i="55"/>
  <c r="A33" i="55"/>
  <c r="I32" i="55" a="1"/>
  <c r="I32" i="55" s="1"/>
  <c r="G32" i="55" a="1"/>
  <c r="G32" i="55" s="1"/>
  <c r="B32" i="55"/>
  <c r="A32" i="55"/>
  <c r="I31" i="55" a="1"/>
  <c r="I31" i="55" s="1"/>
  <c r="G31" i="55" a="1"/>
  <c r="G31" i="55" s="1"/>
  <c r="B31" i="55"/>
  <c r="A31" i="55"/>
  <c r="I30" i="55" a="1"/>
  <c r="I30" i="55" s="1"/>
  <c r="G30" i="55" a="1"/>
  <c r="G30" i="55" s="1"/>
  <c r="B30" i="55"/>
  <c r="A30" i="55"/>
  <c r="I29" i="55" a="1"/>
  <c r="I29" i="55" s="1"/>
  <c r="G29" i="55" a="1"/>
  <c r="G29" i="55" s="1"/>
  <c r="B29" i="55"/>
  <c r="A29" i="55"/>
  <c r="I28" i="55" a="1"/>
  <c r="I28" i="55" s="1"/>
  <c r="G28" i="55" a="1"/>
  <c r="G28" i="55" s="1"/>
  <c r="B28" i="55"/>
  <c r="A28" i="55"/>
  <c r="I27" i="55" a="1"/>
  <c r="I27" i="55" s="1"/>
  <c r="G27" i="55" a="1"/>
  <c r="G27" i="55" s="1"/>
  <c r="B27" i="55"/>
  <c r="A27" i="55"/>
  <c r="I26" i="55" a="1"/>
  <c r="I26" i="55" s="1"/>
  <c r="G26" i="55" a="1"/>
  <c r="G26" i="55" s="1"/>
  <c r="B26" i="55"/>
  <c r="A26" i="55"/>
  <c r="I25" i="55" a="1"/>
  <c r="I25" i="55" s="1"/>
  <c r="G25" i="55"/>
  <c r="G25" i="55" a="1"/>
  <c r="B25" i="55"/>
  <c r="A25" i="55"/>
  <c r="I24" i="55" a="1"/>
  <c r="I24" i="55" s="1"/>
  <c r="G24" i="55" a="1"/>
  <c r="G24" i="55" s="1"/>
  <c r="B24" i="55"/>
  <c r="A24" i="55"/>
  <c r="I23" i="55" a="1"/>
  <c r="I23" i="55" s="1"/>
  <c r="G23" i="55" a="1"/>
  <c r="G23" i="55" s="1"/>
  <c r="B23" i="55"/>
  <c r="A23" i="55"/>
  <c r="I22" i="55" a="1"/>
  <c r="I22" i="55" s="1"/>
  <c r="G22" i="55" a="1"/>
  <c r="G22" i="55" s="1"/>
  <c r="B22" i="55"/>
  <c r="A22" i="55"/>
  <c r="I21" i="55" a="1"/>
  <c r="I21" i="55" s="1"/>
  <c r="G21" i="55" a="1"/>
  <c r="G21" i="55" s="1"/>
  <c r="B21" i="55"/>
  <c r="A21" i="55"/>
  <c r="I20" i="55" a="1"/>
  <c r="I20" i="55" s="1"/>
  <c r="G20" i="55" a="1"/>
  <c r="G20" i="55" s="1"/>
  <c r="B20" i="55"/>
  <c r="A20" i="55"/>
  <c r="I19" i="55" a="1"/>
  <c r="I19" i="55" s="1"/>
  <c r="G19" i="55" a="1"/>
  <c r="G19" i="55" s="1"/>
  <c r="B19" i="55"/>
  <c r="A19" i="55"/>
  <c r="I18" i="55" a="1"/>
  <c r="I18" i="55" s="1"/>
  <c r="G18" i="55" a="1"/>
  <c r="G18" i="55" s="1"/>
  <c r="B18" i="55"/>
  <c r="A18" i="55"/>
  <c r="I17" i="55" a="1"/>
  <c r="I17" i="55" s="1"/>
  <c r="G17" i="55" a="1"/>
  <c r="G17" i="55" s="1"/>
  <c r="B17" i="55"/>
  <c r="A17" i="55"/>
  <c r="I16" i="55" a="1"/>
  <c r="I16" i="55" s="1"/>
  <c r="G16" i="55" a="1"/>
  <c r="G16" i="55" s="1"/>
  <c r="B16" i="55"/>
  <c r="A16" i="55"/>
  <c r="I15" i="55" a="1"/>
  <c r="I15" i="55" s="1"/>
  <c r="G15" i="55" a="1"/>
  <c r="G15" i="55" s="1"/>
  <c r="B15" i="55"/>
  <c r="A15" i="55"/>
  <c r="I14" i="55" a="1"/>
  <c r="I14" i="55" s="1"/>
  <c r="G14" i="55" a="1"/>
  <c r="G14" i="55" s="1"/>
  <c r="B14" i="55"/>
  <c r="A14" i="55"/>
  <c r="I13" i="55" a="1"/>
  <c r="I13" i="55" s="1"/>
  <c r="G13" i="55" a="1"/>
  <c r="G13" i="55" s="1"/>
  <c r="B13" i="55"/>
  <c r="A13" i="55"/>
  <c r="I12" i="55" a="1"/>
  <c r="I12" i="55" s="1"/>
  <c r="G12" i="55" a="1"/>
  <c r="G12" i="55" s="1"/>
  <c r="B12" i="55"/>
  <c r="A12" i="55"/>
  <c r="L13" i="54"/>
  <c r="L23" i="54" s="1"/>
  <c r="A25" i="52"/>
  <c r="N16" i="52"/>
  <c r="M16" i="52"/>
  <c r="L16" i="52"/>
  <c r="K16" i="52"/>
  <c r="J9" i="52"/>
  <c r="A8" i="52"/>
  <c r="H28" i="45"/>
  <c r="F28"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51" i="63"/>
  <c r="O16" i="63"/>
  <c r="N16" i="63"/>
  <c r="M16" i="63"/>
  <c r="L16" i="63"/>
  <c r="F17" i="62"/>
  <c r="E17" i="62"/>
  <c r="D17" i="62"/>
  <c r="C17" i="62"/>
  <c r="I15" i="62" a="1"/>
  <c r="I15" i="62" s="1"/>
  <c r="G15" i="62" a="1"/>
  <c r="G15" i="62" s="1"/>
  <c r="A15" i="62"/>
  <c r="I14" i="62" a="1"/>
  <c r="I14" i="62" s="1"/>
  <c r="G14" i="62" a="1"/>
  <c r="G14" i="62" s="1"/>
  <c r="A14" i="62"/>
  <c r="I13" i="62" a="1"/>
  <c r="I13" i="62" s="1"/>
  <c r="G13" i="62" a="1"/>
  <c r="G13" i="62" s="1"/>
  <c r="A13" i="62"/>
  <c r="I12" i="62" a="1"/>
  <c r="I12" i="62" s="1"/>
  <c r="G12" i="62" a="1"/>
  <c r="G12" i="62" s="1"/>
  <c r="A12" i="62"/>
  <c r="I11" i="62" a="1"/>
  <c r="I11" i="62" s="1"/>
  <c r="G11" i="62" a="1"/>
  <c r="G11" i="62" s="1"/>
  <c r="A11" i="62"/>
  <c r="I10" i="62" a="1"/>
  <c r="I10" i="62" s="1"/>
  <c r="G10" i="62" a="1"/>
  <c r="G10" i="62" s="1"/>
  <c r="A10" i="62"/>
  <c r="I9" i="62" a="1"/>
  <c r="I9" i="62" s="1"/>
  <c r="G9" i="62" a="1"/>
  <c r="G9" i="62" s="1"/>
  <c r="A9" i="62"/>
  <c r="I8" i="62" a="1"/>
  <c r="I8" i="62" s="1"/>
  <c r="G8" i="62" a="1"/>
  <c r="G8" i="62" s="1"/>
  <c r="A8" i="62"/>
  <c r="I7" i="62" a="1"/>
  <c r="I7" i="62" s="1"/>
  <c r="G7" i="62" a="1"/>
  <c r="G7" i="62" s="1"/>
  <c r="A7" i="62"/>
  <c r="I6" i="62" a="1"/>
  <c r="I6" i="62" s="1"/>
  <c r="G6" i="62" a="1"/>
  <c r="G6" i="62" s="1"/>
  <c r="A6" i="62"/>
  <c r="I5" i="62" a="1"/>
  <c r="I5" i="62" s="1"/>
  <c r="G5" i="62" a="1"/>
  <c r="G5" i="62" s="1"/>
  <c r="A5" i="62"/>
  <c r="D72" i="44"/>
  <c r="E67" i="44"/>
  <c r="J9" i="44"/>
  <c r="I9" i="44"/>
  <c r="A6" i="44"/>
  <c r="I6" i="43"/>
  <c r="A6" i="42"/>
  <c r="M24" i="39"/>
  <c r="H24" i="39"/>
  <c r="M17" i="39"/>
  <c r="H17" i="39"/>
  <c r="C11" i="39"/>
  <c r="M9"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B782" i="34"/>
  <c r="B781" i="34"/>
  <c r="B780" i="34"/>
  <c r="B779" i="34"/>
  <c r="B778" i="34"/>
  <c r="B777" i="34"/>
  <c r="B776" i="34"/>
  <c r="B775" i="34"/>
  <c r="B774" i="34"/>
  <c r="B773" i="34"/>
  <c r="B772" i="34"/>
  <c r="B771" i="34"/>
  <c r="B770" i="34"/>
  <c r="B769" i="34"/>
  <c r="B768" i="34"/>
  <c r="B767" i="34"/>
  <c r="B766" i="34"/>
  <c r="B765" i="34"/>
  <c r="B764" i="34"/>
  <c r="B763" i="34"/>
  <c r="B762" i="34"/>
  <c r="B761" i="34"/>
  <c r="B760" i="34"/>
  <c r="B759" i="34"/>
  <c r="B758" i="34"/>
  <c r="B757" i="34"/>
  <c r="B756" i="34"/>
  <c r="B755" i="34"/>
  <c r="B754" i="34"/>
  <c r="B753" i="34"/>
  <c r="B752" i="34"/>
  <c r="B751" i="34"/>
  <c r="B750" i="34"/>
  <c r="B749" i="34"/>
  <c r="B748" i="34"/>
  <c r="B747" i="34"/>
  <c r="B746" i="34"/>
  <c r="B745" i="34"/>
  <c r="B744" i="34"/>
  <c r="B743" i="34"/>
  <c r="B742" i="34"/>
  <c r="B741" i="34"/>
  <c r="B740" i="34"/>
  <c r="B739" i="34"/>
  <c r="B738" i="34"/>
  <c r="B737" i="34"/>
  <c r="B736" i="34"/>
  <c r="B735" i="34"/>
  <c r="B734" i="34"/>
  <c r="B733" i="34"/>
  <c r="B732" i="34"/>
  <c r="B731" i="34"/>
  <c r="B730" i="34"/>
  <c r="B729" i="34"/>
  <c r="B728" i="34"/>
  <c r="B727" i="34"/>
  <c r="B726" i="34"/>
  <c r="B725" i="34"/>
  <c r="B724" i="34"/>
  <c r="B723" i="34"/>
  <c r="B722" i="34"/>
  <c r="B721" i="34"/>
  <c r="B720" i="34"/>
  <c r="B719" i="34"/>
  <c r="B718" i="34"/>
  <c r="B717" i="34"/>
  <c r="B716" i="34"/>
  <c r="B715" i="34"/>
  <c r="B714" i="34"/>
  <c r="B713" i="34"/>
  <c r="B712" i="34"/>
  <c r="B711" i="34"/>
  <c r="B710" i="34"/>
  <c r="B709" i="34"/>
  <c r="B708" i="34"/>
  <c r="B707" i="34"/>
  <c r="B706" i="34"/>
  <c r="B705" i="34"/>
  <c r="B704" i="34"/>
  <c r="B703" i="34"/>
  <c r="B702" i="34"/>
  <c r="B701" i="34"/>
  <c r="B700" i="34"/>
  <c r="B699" i="34"/>
  <c r="B698" i="34"/>
  <c r="B697" i="34"/>
  <c r="B696" i="34"/>
  <c r="B695" i="34"/>
  <c r="B694" i="34"/>
  <c r="B693" i="34"/>
  <c r="B692" i="34"/>
  <c r="B691" i="34"/>
  <c r="B690" i="34"/>
  <c r="B689" i="34"/>
  <c r="B688" i="34"/>
  <c r="B687" i="34"/>
  <c r="B686" i="34"/>
  <c r="B685" i="34"/>
  <c r="B684" i="34"/>
  <c r="B683" i="34"/>
  <c r="B682" i="34"/>
  <c r="B681" i="34"/>
  <c r="B680" i="34"/>
  <c r="B679" i="34"/>
  <c r="B678" i="34"/>
  <c r="B677" i="34"/>
  <c r="B676" i="34"/>
  <c r="B675" i="34"/>
  <c r="B674" i="34"/>
  <c r="B673" i="34"/>
  <c r="B672" i="34"/>
  <c r="B671" i="34"/>
  <c r="B670" i="34"/>
  <c r="B669" i="34"/>
  <c r="B668" i="34"/>
  <c r="B667" i="34"/>
  <c r="B666" i="34"/>
  <c r="B665" i="34"/>
  <c r="B664" i="34"/>
  <c r="B663" i="34"/>
  <c r="B662" i="34"/>
  <c r="B661" i="34"/>
  <c r="B660" i="34"/>
  <c r="B659" i="34"/>
  <c r="B658" i="34"/>
  <c r="B657" i="34"/>
  <c r="B656" i="34"/>
  <c r="B655" i="34"/>
  <c r="B654" i="34"/>
  <c r="B653" i="34"/>
  <c r="B652" i="34"/>
  <c r="B651" i="34"/>
  <c r="B650" i="34"/>
  <c r="B649" i="34"/>
  <c r="B648" i="34"/>
  <c r="B647" i="34"/>
  <c r="B646" i="34"/>
  <c r="B645" i="34"/>
  <c r="B644" i="34"/>
  <c r="B643" i="34"/>
  <c r="B642" i="34"/>
  <c r="B641" i="34"/>
  <c r="B640" i="34"/>
  <c r="B639" i="34"/>
  <c r="B638" i="34"/>
  <c r="B637" i="34"/>
  <c r="B636" i="34"/>
  <c r="B635" i="34"/>
  <c r="B634" i="34"/>
  <c r="B633" i="34"/>
  <c r="B632" i="34"/>
  <c r="B631" i="34"/>
  <c r="B630" i="34"/>
  <c r="B629" i="34"/>
  <c r="B628" i="34"/>
  <c r="B627" i="34"/>
  <c r="B626" i="34"/>
  <c r="B625" i="34"/>
  <c r="B624" i="34"/>
  <c r="B623" i="34"/>
  <c r="B622" i="34"/>
  <c r="B621" i="34"/>
  <c r="B620" i="34"/>
  <c r="B619" i="34"/>
  <c r="B618" i="34"/>
  <c r="B617" i="34"/>
  <c r="B616" i="34"/>
  <c r="B615" i="34"/>
  <c r="B614" i="34"/>
  <c r="B613" i="34"/>
  <c r="B612" i="34"/>
  <c r="B611" i="34"/>
  <c r="B610" i="34"/>
  <c r="B609" i="34"/>
  <c r="B608" i="34"/>
  <c r="B607" i="34"/>
  <c r="B606" i="34"/>
  <c r="B605" i="34"/>
  <c r="B604" i="34"/>
  <c r="B603" i="34"/>
  <c r="B602" i="34"/>
  <c r="B601" i="34"/>
  <c r="B600" i="34"/>
  <c r="B599" i="34"/>
  <c r="B598" i="34"/>
  <c r="B597" i="34"/>
  <c r="B596" i="34"/>
  <c r="B595" i="34"/>
  <c r="B594" i="34"/>
  <c r="B593" i="34"/>
  <c r="B592" i="34"/>
  <c r="B591" i="34"/>
  <c r="B590" i="34"/>
  <c r="B589" i="34"/>
  <c r="B588" i="34"/>
  <c r="B587" i="34"/>
  <c r="B586" i="34"/>
  <c r="B585" i="34"/>
  <c r="B584" i="34"/>
  <c r="B583" i="34"/>
  <c r="B582" i="34"/>
  <c r="B581" i="34"/>
  <c r="B580" i="34"/>
  <c r="B579" i="34"/>
  <c r="B578" i="34"/>
  <c r="B577" i="34"/>
  <c r="B576" i="34"/>
  <c r="B575" i="34"/>
  <c r="B574" i="34"/>
  <c r="B573" i="34"/>
  <c r="B572" i="34"/>
  <c r="B571" i="34"/>
  <c r="B570" i="34"/>
  <c r="B569" i="34"/>
  <c r="B568" i="34"/>
  <c r="B567" i="34"/>
  <c r="B566" i="34"/>
  <c r="B565" i="34"/>
  <c r="B564" i="34"/>
  <c r="B563" i="34"/>
  <c r="B562" i="34"/>
  <c r="B561" i="34"/>
  <c r="B560" i="34"/>
  <c r="B559" i="34"/>
  <c r="B558" i="34"/>
  <c r="B557" i="34"/>
  <c r="B556" i="34"/>
  <c r="B555" i="34"/>
  <c r="B554" i="34"/>
  <c r="B553" i="34"/>
  <c r="B552" i="34"/>
  <c r="B551" i="34"/>
  <c r="B550" i="34"/>
  <c r="B549" i="34"/>
  <c r="B548" i="34"/>
  <c r="B547" i="34"/>
  <c r="B546" i="34"/>
  <c r="B545" i="34"/>
  <c r="B544" i="34"/>
  <c r="B543" i="34"/>
  <c r="B542" i="34"/>
  <c r="B541" i="34"/>
  <c r="B540" i="34"/>
  <c r="B539" i="34"/>
  <c r="B538" i="34"/>
  <c r="B537" i="34"/>
  <c r="B536" i="34"/>
  <c r="B535" i="34"/>
  <c r="B534" i="34"/>
  <c r="B533" i="34"/>
  <c r="B532" i="34"/>
  <c r="B531" i="34"/>
  <c r="B530" i="34"/>
  <c r="B529" i="34"/>
  <c r="B528" i="34"/>
  <c r="B527" i="34"/>
  <c r="B526" i="34"/>
  <c r="B525" i="34"/>
  <c r="B524" i="34"/>
  <c r="B523" i="34"/>
  <c r="B522" i="34"/>
  <c r="B521" i="34"/>
  <c r="B520" i="34"/>
  <c r="B519" i="34"/>
  <c r="B518" i="34"/>
  <c r="B517" i="34"/>
  <c r="B516" i="34"/>
  <c r="B515" i="34"/>
  <c r="B514" i="34"/>
  <c r="B513" i="34"/>
  <c r="B512" i="34"/>
  <c r="B511" i="34"/>
  <c r="B510" i="34"/>
  <c r="B509" i="34"/>
  <c r="B508" i="34"/>
  <c r="B507" i="34"/>
  <c r="B506" i="34"/>
  <c r="B505" i="34"/>
  <c r="B504" i="34"/>
  <c r="B503" i="34"/>
  <c r="B502" i="34"/>
  <c r="B501" i="34"/>
  <c r="B500" i="34"/>
  <c r="B499" i="34"/>
  <c r="B498" i="34"/>
  <c r="B497" i="34"/>
  <c r="B496" i="34"/>
  <c r="B495" i="34"/>
  <c r="B494" i="34"/>
  <c r="B493" i="34"/>
  <c r="B492" i="34"/>
  <c r="B491" i="34"/>
  <c r="B490" i="34"/>
  <c r="B489" i="34"/>
  <c r="B488" i="34"/>
  <c r="B487" i="34"/>
  <c r="B486" i="34"/>
  <c r="B485" i="34"/>
  <c r="B484" i="34"/>
  <c r="B483" i="34"/>
  <c r="B482" i="34"/>
  <c r="B481" i="34"/>
  <c r="B480" i="34"/>
  <c r="B479" i="34"/>
  <c r="B478" i="34"/>
  <c r="B477" i="34"/>
  <c r="B476" i="34"/>
  <c r="B475" i="34"/>
  <c r="B474" i="34"/>
  <c r="B473" i="34"/>
  <c r="B472" i="34"/>
  <c r="B471" i="34"/>
  <c r="B470" i="34"/>
  <c r="B469" i="34"/>
  <c r="B468" i="34"/>
  <c r="B467" i="34"/>
  <c r="B466" i="34"/>
  <c r="B465" i="34"/>
  <c r="B464" i="34"/>
  <c r="B463" i="34"/>
  <c r="B462" i="34"/>
  <c r="B461" i="34"/>
  <c r="B460" i="34"/>
  <c r="B459" i="34"/>
  <c r="B458" i="34"/>
  <c r="B457" i="34"/>
  <c r="B456" i="34"/>
  <c r="B455" i="34"/>
  <c r="B454" i="34"/>
  <c r="B453" i="34"/>
  <c r="B452" i="34"/>
  <c r="B451" i="34"/>
  <c r="B450" i="34"/>
  <c r="B449" i="34"/>
  <c r="B448" i="34"/>
  <c r="B447" i="34"/>
  <c r="B446" i="34"/>
  <c r="B445" i="34"/>
  <c r="B444" i="34"/>
  <c r="B443" i="34"/>
  <c r="B442" i="34"/>
  <c r="B441" i="34"/>
  <c r="B440" i="34"/>
  <c r="B439" i="34"/>
  <c r="B438" i="34"/>
  <c r="B437" i="34"/>
  <c r="B436" i="34"/>
  <c r="B435" i="34"/>
  <c r="B434" i="34"/>
  <c r="B433" i="34"/>
  <c r="B432" i="34"/>
  <c r="B431" i="34"/>
  <c r="B430" i="34"/>
  <c r="B429" i="34"/>
  <c r="B428" i="34"/>
  <c r="B427" i="34"/>
  <c r="B426" i="34"/>
  <c r="B425" i="34"/>
  <c r="B424" i="34"/>
  <c r="B423" i="34"/>
  <c r="B422" i="34"/>
  <c r="B421" i="34"/>
  <c r="B420" i="34"/>
  <c r="B419" i="34"/>
  <c r="B418" i="34"/>
  <c r="B417" i="34"/>
  <c r="B416" i="34"/>
  <c r="B415" i="34"/>
  <c r="B414" i="34"/>
  <c r="B413" i="34"/>
  <c r="B412" i="34"/>
  <c r="B411" i="34"/>
  <c r="B410" i="34"/>
  <c r="B409" i="34"/>
  <c r="B408" i="34"/>
  <c r="B407" i="34"/>
  <c r="B406" i="34"/>
  <c r="B405" i="34"/>
  <c r="B404" i="34"/>
  <c r="B403" i="34"/>
  <c r="B402" i="34"/>
  <c r="B401" i="34"/>
  <c r="B400" i="34"/>
  <c r="B399" i="34"/>
  <c r="B398" i="34"/>
  <c r="B397" i="34"/>
  <c r="B396" i="34"/>
  <c r="B395" i="34"/>
  <c r="B394" i="34"/>
  <c r="B393" i="34"/>
  <c r="B392" i="34"/>
  <c r="B391" i="34"/>
  <c r="B390" i="34"/>
  <c r="B389" i="34"/>
  <c r="B388" i="34"/>
  <c r="B387" i="34"/>
  <c r="B386" i="34"/>
  <c r="B385" i="34"/>
  <c r="B384" i="34"/>
  <c r="B383" i="34"/>
  <c r="B382" i="34"/>
  <c r="B381" i="34"/>
  <c r="B380" i="34"/>
  <c r="B379" i="34"/>
  <c r="B378" i="34"/>
  <c r="B377" i="34"/>
  <c r="B376" i="34"/>
  <c r="B375" i="34"/>
  <c r="B374" i="34"/>
  <c r="B373" i="34"/>
  <c r="B372" i="34"/>
  <c r="B371" i="34"/>
  <c r="B370" i="34"/>
  <c r="B369" i="34"/>
  <c r="B368" i="34"/>
  <c r="B367" i="34"/>
  <c r="B366" i="34"/>
  <c r="B365" i="34"/>
  <c r="B364" i="34"/>
  <c r="B363" i="34"/>
  <c r="B362" i="34"/>
  <c r="B361" i="34"/>
  <c r="B360" i="34"/>
  <c r="B359" i="34"/>
  <c r="B358" i="34"/>
  <c r="B357" i="34"/>
  <c r="B356" i="34"/>
  <c r="B355" i="34"/>
  <c r="B354" i="34"/>
  <c r="B353" i="34"/>
  <c r="B352" i="34"/>
  <c r="B351" i="34"/>
  <c r="B350" i="34"/>
  <c r="B349" i="34"/>
  <c r="B348" i="34"/>
  <c r="B347" i="34"/>
  <c r="B346" i="34"/>
  <c r="B345" i="34"/>
  <c r="B344" i="34"/>
  <c r="B343" i="34"/>
  <c r="B342" i="34"/>
  <c r="B341" i="34"/>
  <c r="B340" i="34"/>
  <c r="B339" i="34"/>
  <c r="B338" i="34"/>
  <c r="B337" i="34"/>
  <c r="B336" i="34"/>
  <c r="B335" i="34"/>
  <c r="B334" i="34"/>
  <c r="B333" i="34"/>
  <c r="B332" i="34"/>
  <c r="B331" i="34"/>
  <c r="B330" i="34"/>
  <c r="B329" i="34"/>
  <c r="B328" i="34"/>
  <c r="B327" i="34"/>
  <c r="B326" i="34"/>
  <c r="B325" i="34"/>
  <c r="B324" i="34"/>
  <c r="B323" i="34"/>
  <c r="B322" i="34"/>
  <c r="B321" i="34"/>
  <c r="B320" i="34"/>
  <c r="B319" i="34"/>
  <c r="B318" i="34"/>
  <c r="B317" i="34"/>
  <c r="B316" i="34"/>
  <c r="B315" i="34"/>
  <c r="B314" i="34"/>
  <c r="B313" i="34"/>
  <c r="B312" i="34"/>
  <c r="B311" i="34"/>
  <c r="B310" i="34"/>
  <c r="B309" i="34"/>
  <c r="B308" i="34"/>
  <c r="B307" i="34"/>
  <c r="B306" i="34"/>
  <c r="B305" i="34"/>
  <c r="B304" i="34"/>
  <c r="B303" i="34"/>
  <c r="B302" i="34"/>
  <c r="B301" i="34"/>
  <c r="B300" i="34"/>
  <c r="B299" i="34"/>
  <c r="B298" i="34"/>
  <c r="B297" i="34"/>
  <c r="B296" i="34"/>
  <c r="B295" i="34"/>
  <c r="B294" i="34"/>
  <c r="B293" i="34"/>
  <c r="B292" i="34"/>
  <c r="B291" i="34"/>
  <c r="B290" i="34"/>
  <c r="B289" i="34"/>
  <c r="B288" i="34"/>
  <c r="B287" i="34"/>
  <c r="B286" i="34"/>
  <c r="B285" i="34"/>
  <c r="B284" i="34"/>
  <c r="B283" i="34"/>
  <c r="B282" i="34"/>
  <c r="B281" i="34"/>
  <c r="B280" i="34"/>
  <c r="B279" i="34"/>
  <c r="B278" i="34"/>
  <c r="B277" i="34"/>
  <c r="B276" i="34"/>
  <c r="B275" i="34"/>
  <c r="B274" i="34"/>
  <c r="B273" i="34"/>
  <c r="B272" i="34"/>
  <c r="B271" i="34"/>
  <c r="B270" i="34"/>
  <c r="B269" i="34"/>
  <c r="B268" i="34"/>
  <c r="B267" i="34"/>
  <c r="B266" i="34"/>
  <c r="B265" i="34"/>
  <c r="B264" i="34"/>
  <c r="B263" i="34"/>
  <c r="B262" i="34"/>
  <c r="B261" i="34"/>
  <c r="B251" i="34"/>
  <c r="B250" i="34"/>
  <c r="B224" i="34"/>
  <c r="B223" i="34"/>
  <c r="B212" i="34"/>
  <c r="B211" i="34"/>
  <c r="B203" i="34"/>
  <c r="B202" i="34"/>
  <c r="B201" i="34"/>
  <c r="B200" i="34"/>
  <c r="B199" i="34"/>
  <c r="B198" i="34"/>
  <c r="B197" i="34"/>
  <c r="B196" i="34"/>
  <c r="B195" i="34"/>
  <c r="B191" i="34"/>
  <c r="B190" i="34"/>
  <c r="B189" i="34"/>
  <c r="B188" i="34"/>
  <c r="B187" i="34"/>
  <c r="B186" i="34"/>
  <c r="B185" i="34"/>
  <c r="B184" i="34"/>
  <c r="B182" i="34"/>
  <c r="B181" i="34"/>
  <c r="B173" i="34"/>
  <c r="B172" i="34"/>
  <c r="B171" i="34"/>
  <c r="B170" i="34"/>
  <c r="B169" i="34"/>
  <c r="B168" i="34"/>
  <c r="B165" i="34"/>
  <c r="B164" i="34"/>
  <c r="B163" i="34"/>
  <c r="B162" i="34"/>
  <c r="B159" i="34"/>
  <c r="B158" i="34"/>
  <c r="B150" i="34"/>
  <c r="B149" i="34"/>
  <c r="B148" i="34"/>
  <c r="B147" i="34"/>
  <c r="B146" i="34"/>
  <c r="B145" i="34"/>
  <c r="B144" i="34"/>
  <c r="B143" i="34"/>
  <c r="B142" i="34"/>
  <c r="B141" i="34"/>
  <c r="B140" i="34"/>
  <c r="B139" i="34"/>
  <c r="B138" i="34"/>
  <c r="B137" i="34"/>
  <c r="B136" i="34"/>
  <c r="B133" i="34"/>
  <c r="B132" i="34"/>
  <c r="B131" i="34"/>
  <c r="B130" i="34"/>
  <c r="B129" i="34"/>
  <c r="B128" i="34"/>
  <c r="B127" i="34"/>
  <c r="B126" i="34"/>
  <c r="B125" i="34"/>
  <c r="B124" i="34"/>
  <c r="B123" i="34"/>
  <c r="B242" i="34"/>
  <c r="B249" i="34"/>
  <c r="B248" i="34"/>
  <c r="B247" i="34"/>
  <c r="B208" i="34"/>
  <c r="B207" i="34"/>
  <c r="B206" i="34"/>
  <c r="B205" i="34"/>
  <c r="B135" i="34"/>
  <c r="B260" i="34"/>
  <c r="B259" i="34"/>
  <c r="B258" i="34"/>
  <c r="B257" i="34"/>
  <c r="B256" i="34"/>
  <c r="B255" i="34"/>
  <c r="B254" i="34"/>
  <c r="B253" i="34"/>
  <c r="B252" i="34"/>
  <c r="B246" i="34"/>
  <c r="B236" i="34"/>
  <c r="B235" i="34"/>
  <c r="B234" i="34"/>
  <c r="B233" i="34"/>
  <c r="B230" i="34"/>
  <c r="B229" i="34"/>
  <c r="B228" i="34"/>
  <c r="B227" i="34"/>
  <c r="B226" i="34"/>
  <c r="B222" i="34"/>
  <c r="B194" i="34"/>
  <c r="B193" i="34"/>
  <c r="B192" i="34"/>
  <c r="B183" i="34"/>
  <c r="B180" i="34"/>
  <c r="B179" i="34"/>
  <c r="B178" i="34"/>
  <c r="B174" i="34"/>
  <c r="B157" i="34"/>
  <c r="B156" i="34"/>
  <c r="B245" i="34"/>
  <c r="B244" i="34"/>
  <c r="B210" i="34"/>
  <c r="B204" i="34"/>
  <c r="B225" i="34"/>
  <c r="B209" i="34"/>
  <c r="B155" i="34"/>
  <c r="B243" i="34"/>
  <c r="B220" i="34"/>
  <c r="M241" i="34"/>
  <c r="B241" i="34"/>
  <c r="M240" i="34"/>
  <c r="B240" i="34"/>
  <c r="M161" i="34"/>
  <c r="B161" i="34"/>
  <c r="M134" i="34"/>
  <c r="B134" i="34"/>
  <c r="M239" i="34"/>
  <c r="B239" i="34"/>
  <c r="M238" i="34"/>
  <c r="B238" i="34"/>
  <c r="M232" i="34"/>
  <c r="B232" i="34"/>
  <c r="M221" i="34"/>
  <c r="B221" i="34"/>
  <c r="M219" i="34"/>
  <c r="B219" i="34"/>
  <c r="M216" i="34"/>
  <c r="B216" i="34"/>
  <c r="M215" i="34"/>
  <c r="B215" i="34"/>
  <c r="M177" i="34"/>
  <c r="B177" i="34"/>
  <c r="M167" i="34"/>
  <c r="B167" i="34"/>
  <c r="M166" i="34"/>
  <c r="B166" i="34"/>
  <c r="M154" i="34"/>
  <c r="B154" i="34"/>
  <c r="M153" i="34"/>
  <c r="B153" i="34"/>
  <c r="M152" i="34"/>
  <c r="B152" i="34"/>
  <c r="M151" i="34"/>
  <c r="B151" i="34"/>
  <c r="M160" i="34"/>
  <c r="B160" i="34"/>
  <c r="M237" i="34"/>
  <c r="B237" i="34"/>
  <c r="M231" i="34"/>
  <c r="B231" i="34"/>
  <c r="M214" i="34"/>
  <c r="B214" i="34"/>
  <c r="M213" i="34"/>
  <c r="B213" i="34"/>
  <c r="M176" i="34"/>
  <c r="B176" i="34"/>
  <c r="M122" i="34"/>
  <c r="C122" i="34"/>
  <c r="M121" i="34"/>
  <c r="C121" i="34"/>
  <c r="M120" i="34"/>
  <c r="C120" i="34"/>
  <c r="M119" i="34"/>
  <c r="C119" i="34"/>
  <c r="M118" i="34"/>
  <c r="C118" i="34"/>
  <c r="M117" i="34"/>
  <c r="C117" i="34"/>
  <c r="M116" i="34"/>
  <c r="C116" i="34"/>
  <c r="M115" i="34"/>
  <c r="C115" i="34"/>
  <c r="M114" i="34"/>
  <c r="C114" i="34"/>
  <c r="M113" i="34"/>
  <c r="C113" i="34"/>
  <c r="M112" i="34"/>
  <c r="C112" i="34"/>
  <c r="M111" i="34"/>
  <c r="C111" i="34"/>
  <c r="M110" i="34"/>
  <c r="C110" i="34"/>
  <c r="M109" i="34"/>
  <c r="C109" i="34"/>
  <c r="M108" i="34"/>
  <c r="C108" i="34"/>
  <c r="M107" i="34"/>
  <c r="C107" i="34"/>
  <c r="M106" i="34"/>
  <c r="C106" i="34"/>
  <c r="M105" i="34"/>
  <c r="C105" i="34"/>
  <c r="M104" i="34"/>
  <c r="C104" i="34"/>
  <c r="M103" i="34"/>
  <c r="C103" i="34"/>
  <c r="M102" i="34"/>
  <c r="C102" i="34"/>
  <c r="M101" i="34"/>
  <c r="C101" i="34"/>
  <c r="M100" i="34"/>
  <c r="C100" i="34"/>
  <c r="M99" i="34"/>
  <c r="C99" i="34"/>
  <c r="M98" i="34"/>
  <c r="C98" i="34"/>
  <c r="C97" i="34"/>
  <c r="C96" i="34"/>
  <c r="B96" i="34" s="1"/>
  <c r="C95" i="34"/>
  <c r="C94" i="34"/>
  <c r="C93" i="34"/>
  <c r="C92" i="34"/>
  <c r="B92" i="34" s="1"/>
  <c r="C91" i="34"/>
  <c r="C90" i="34"/>
  <c r="C89" i="34"/>
  <c r="C88" i="34"/>
  <c r="B88" i="34" s="1"/>
  <c r="C87" i="34"/>
  <c r="C86" i="34"/>
  <c r="C85" i="34"/>
  <c r="C84" i="34"/>
  <c r="B84" i="34" s="1"/>
  <c r="C83" i="34"/>
  <c r="B83" i="34" s="1"/>
  <c r="C82" i="34"/>
  <c r="B81" i="34"/>
  <c r="B80" i="34"/>
  <c r="B79" i="34"/>
  <c r="B78" i="34"/>
  <c r="B77" i="34"/>
  <c r="B76" i="34"/>
  <c r="B75" i="34"/>
  <c r="B74" i="34"/>
  <c r="B73" i="34"/>
  <c r="B72" i="34"/>
  <c r="B71" i="34"/>
  <c r="B70" i="34"/>
  <c r="B69" i="34"/>
  <c r="B68" i="34"/>
  <c r="B67" i="34"/>
  <c r="B66" i="34"/>
  <c r="B65" i="34"/>
  <c r="B64" i="34"/>
  <c r="B63" i="34"/>
  <c r="B62" i="34"/>
  <c r="B61" i="34"/>
  <c r="B60" i="34"/>
  <c r="B59" i="34"/>
  <c r="B58" i="34"/>
  <c r="B57" i="34"/>
  <c r="M56" i="34"/>
  <c r="C56" i="34"/>
  <c r="M55" i="34"/>
  <c r="C55" i="34"/>
  <c r="M54" i="34"/>
  <c r="C54" i="34"/>
  <c r="M53" i="34"/>
  <c r="C53" i="34"/>
  <c r="M52" i="34"/>
  <c r="C52" i="34"/>
  <c r="E51" i="34"/>
  <c r="B51" i="34"/>
  <c r="E50" i="34"/>
  <c r="B50" i="34"/>
  <c r="E49" i="34"/>
  <c r="B49" i="34"/>
  <c r="M48" i="34"/>
  <c r="M51" i="34" s="1"/>
  <c r="E48" i="34"/>
  <c r="B48" i="34"/>
  <c r="M47" i="34"/>
  <c r="M50" i="34" s="1"/>
  <c r="E47" i="34"/>
  <c r="B47" i="34"/>
  <c r="M46" i="34"/>
  <c r="M49" i="34" s="1"/>
  <c r="E46" i="34"/>
  <c r="B46" i="34"/>
  <c r="M45" i="34"/>
  <c r="E45" i="34"/>
  <c r="B45" i="34"/>
  <c r="M44" i="34"/>
  <c r="E44" i="34"/>
  <c r="B44" i="34"/>
  <c r="M43" i="34"/>
  <c r="E43" i="34"/>
  <c r="B43" i="34"/>
  <c r="M42" i="34"/>
  <c r="E42" i="34"/>
  <c r="B42" i="34"/>
  <c r="M41" i="34"/>
  <c r="E41" i="34"/>
  <c r="B41" i="34"/>
  <c r="M40" i="34"/>
  <c r="E40" i="34"/>
  <c r="B40" i="34"/>
  <c r="M39" i="34"/>
  <c r="E39" i="34"/>
  <c r="B39" i="34"/>
  <c r="M38" i="34"/>
  <c r="E38" i="34"/>
  <c r="B38" i="34"/>
  <c r="M37" i="34"/>
  <c r="E37" i="34"/>
  <c r="B37" i="34"/>
  <c r="M36" i="34"/>
  <c r="E36" i="34"/>
  <c r="B36" i="34"/>
  <c r="M35" i="34"/>
  <c r="E35" i="34"/>
  <c r="B35" i="34"/>
  <c r="M34" i="34"/>
  <c r="E34" i="34"/>
  <c r="B34" i="34"/>
  <c r="E33" i="34"/>
  <c r="B33" i="34"/>
  <c r="E32" i="34"/>
  <c r="B32" i="34"/>
  <c r="E31" i="34"/>
  <c r="B31" i="34"/>
  <c r="E30" i="34"/>
  <c r="B30" i="34"/>
  <c r="E29" i="34"/>
  <c r="B29" i="34"/>
  <c r="E28" i="34"/>
  <c r="B28" i="34"/>
  <c r="E27" i="34"/>
  <c r="B27" i="34"/>
  <c r="E26" i="34"/>
  <c r="B26" i="34"/>
  <c r="E25" i="34"/>
  <c r="B25" i="34"/>
  <c r="E24" i="34"/>
  <c r="B24" i="34"/>
  <c r="E23" i="34"/>
  <c r="B23" i="34"/>
  <c r="E22" i="34"/>
  <c r="B22" i="34"/>
  <c r="E21" i="34"/>
  <c r="B21" i="34"/>
  <c r="E20" i="34"/>
  <c r="B20" i="34"/>
  <c r="E19" i="34"/>
  <c r="B19" i="34"/>
  <c r="E18" i="34"/>
  <c r="B18" i="34"/>
  <c r="E17" i="34"/>
  <c r="B17" i="34"/>
  <c r="M16" i="34"/>
  <c r="B16" i="34"/>
  <c r="M15" i="34"/>
  <c r="B15" i="34"/>
  <c r="M14" i="34"/>
  <c r="B14" i="34"/>
  <c r="M13" i="34"/>
  <c r="B13" i="34"/>
  <c r="B12" i="34"/>
  <c r="AG11" i="34"/>
  <c r="AF11" i="34"/>
  <c r="AE11" i="34"/>
  <c r="AD11" i="34"/>
  <c r="AB11" i="34"/>
  <c r="Z11" i="34"/>
  <c r="P11" i="34"/>
  <c r="B11" i="34"/>
  <c r="AG10" i="34"/>
  <c r="AF10" i="34"/>
  <c r="AE10" i="34"/>
  <c r="AD10" i="34"/>
  <c r="AB10" i="34"/>
  <c r="Z10" i="34"/>
  <c r="P10" i="34"/>
  <c r="B10" i="34"/>
  <c r="AA7" i="34"/>
  <c r="D53" i="15"/>
  <c r="C53" i="15"/>
  <c r="F12" i="61"/>
  <c r="G12" i="61"/>
  <c r="D12" i="61"/>
  <c r="E12" i="61"/>
  <c r="B13" i="61"/>
  <c r="C12" i="61"/>
  <c r="H12" i="61"/>
  <c r="A26" i="56"/>
  <c r="E17" i="57" l="1"/>
  <c r="E21" i="57"/>
  <c r="E25" i="57"/>
  <c r="E29" i="57"/>
  <c r="E18" i="57"/>
  <c r="E22" i="57"/>
  <c r="E26" i="57"/>
  <c r="E30" i="57"/>
  <c r="E19" i="57"/>
  <c r="E23" i="57"/>
  <c r="E27" i="57"/>
  <c r="E14" i="57"/>
  <c r="E20" i="57"/>
  <c r="E24" i="57"/>
  <c r="E28" i="57"/>
  <c r="E15" i="57"/>
  <c r="E16" i="57"/>
  <c r="I52" i="55"/>
  <c r="Y10" i="34"/>
  <c r="S10" i="34"/>
  <c r="R10" i="34"/>
  <c r="Q10" i="34"/>
  <c r="X11" i="34"/>
  <c r="S11" i="34"/>
  <c r="R11" i="34"/>
  <c r="Q11" i="34"/>
  <c r="AJ66" i="48"/>
  <c r="AM66" i="48"/>
  <c r="B85" i="34"/>
  <c r="B93" i="34"/>
  <c r="B94" i="34"/>
  <c r="B87" i="34"/>
  <c r="M11" i="34"/>
  <c r="B95" i="34"/>
  <c r="C32" i="47"/>
  <c r="AA11" i="34"/>
  <c r="M12" i="34"/>
  <c r="AA10" i="34"/>
  <c r="B91" i="34"/>
  <c r="B120" i="34"/>
  <c r="A10" i="34"/>
  <c r="B86" i="34"/>
  <c r="B122" i="34"/>
  <c r="W10" i="34"/>
  <c r="X10" i="34"/>
  <c r="A11" i="34"/>
  <c r="Y11" i="34"/>
  <c r="B53" i="34"/>
  <c r="B55" i="34"/>
  <c r="B82" i="34"/>
  <c r="B97" i="34"/>
  <c r="B98" i="34"/>
  <c r="B99" i="34"/>
  <c r="B100" i="34"/>
  <c r="B101" i="34"/>
  <c r="B102" i="34"/>
  <c r="B103" i="34"/>
  <c r="B104" i="34"/>
  <c r="B105" i="34"/>
  <c r="B106" i="34"/>
  <c r="B107" i="34"/>
  <c r="B108" i="34"/>
  <c r="B109" i="34"/>
  <c r="B110" i="34"/>
  <c r="B111" i="34"/>
  <c r="B112" i="34"/>
  <c r="B113" i="34"/>
  <c r="B114" i="34"/>
  <c r="B115" i="34"/>
  <c r="B116" i="34"/>
  <c r="B117" i="34"/>
  <c r="B118" i="34"/>
  <c r="B119" i="34"/>
  <c r="B121" i="34"/>
  <c r="W11" i="34"/>
  <c r="B52" i="34"/>
  <c r="B54" i="34"/>
  <c r="B56" i="34"/>
  <c r="B89" i="34"/>
  <c r="B90" i="34"/>
  <c r="L23" i="45" a="1"/>
  <c r="L23" i="45" s="1"/>
  <c r="L26" i="45" a="1"/>
  <c r="L26" i="45" s="1"/>
  <c r="J24" i="45" a="1"/>
  <c r="J24" i="45" s="1"/>
  <c r="J23" i="45" a="1"/>
  <c r="J23" i="45" s="1"/>
  <c r="F31" i="47"/>
  <c r="M11" i="62"/>
  <c r="E21" i="15" a="1"/>
  <c r="E21" i="15" s="1"/>
  <c r="D29" i="47"/>
  <c r="I29" i="47" s="1"/>
  <c r="E50" i="47"/>
  <c r="E39" i="15" a="1"/>
  <c r="E39" i="15" s="1"/>
  <c r="A22" i="47"/>
  <c r="A46" i="47"/>
  <c r="M10" i="62"/>
  <c r="I50" i="63"/>
  <c r="F23" i="47"/>
  <c r="F39" i="47"/>
  <c r="C23" i="47"/>
  <c r="E33" i="47"/>
  <c r="C43" i="47"/>
  <c r="G47" i="47"/>
  <c r="K50" i="55"/>
  <c r="G23" i="47"/>
  <c r="B38" i="47"/>
  <c r="G18" i="47"/>
  <c r="C22" i="47"/>
  <c r="G26" i="47"/>
  <c r="G30" i="47"/>
  <c r="G34" i="47"/>
  <c r="D39" i="47"/>
  <c r="I39" i="47" s="1"/>
  <c r="G42" i="47"/>
  <c r="G46" i="47"/>
  <c r="G15" i="47"/>
  <c r="G27" i="47"/>
  <c r="E37" i="47"/>
  <c r="F16" i="47"/>
  <c r="F20" i="47"/>
  <c r="F24" i="47"/>
  <c r="C29" i="47"/>
  <c r="F32" i="47"/>
  <c r="F36" i="47"/>
  <c r="C41" i="47"/>
  <c r="C45" i="47"/>
  <c r="F48" i="47"/>
  <c r="K16" i="55"/>
  <c r="K26" i="55"/>
  <c r="K45" i="55"/>
  <c r="K20" i="55"/>
  <c r="K22" i="55"/>
  <c r="K24" i="55"/>
  <c r="M13" i="62"/>
  <c r="K30" i="55"/>
  <c r="K32" i="55"/>
  <c r="K14" i="55"/>
  <c r="K15" i="55"/>
  <c r="K18" i="55"/>
  <c r="K19" i="55"/>
  <c r="K23" i="55"/>
  <c r="K27" i="55"/>
  <c r="K28" i="55"/>
  <c r="K49" i="55"/>
  <c r="K37" i="55"/>
  <c r="I42" i="55"/>
  <c r="K38" i="55"/>
  <c r="K46" i="55"/>
  <c r="K47" i="55"/>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C18" i="14"/>
  <c r="A18" i="14" s="1"/>
  <c r="E17" i="14"/>
  <c r="H16" i="14"/>
  <c r="C16" i="14"/>
  <c r="A16" i="14" s="1"/>
  <c r="E15" i="14"/>
  <c r="H14" i="14"/>
  <c r="C14" i="14"/>
  <c r="A14" i="14" s="1"/>
  <c r="G38" i="14"/>
  <c r="H37" i="14"/>
  <c r="B37" i="14"/>
  <c r="B36" i="14"/>
  <c r="C35" i="14"/>
  <c r="A35" i="14" s="1"/>
  <c r="D34" i="14"/>
  <c r="J34" i="14" s="1"/>
  <c r="D33" i="14"/>
  <c r="J33" i="14" s="1"/>
  <c r="E32" i="14"/>
  <c r="G31" i="14"/>
  <c r="G30" i="14"/>
  <c r="H29" i="14"/>
  <c r="B29" i="14"/>
  <c r="B28" i="14"/>
  <c r="C27" i="14"/>
  <c r="A27" i="14" s="1"/>
  <c r="D26" i="14"/>
  <c r="J26" i="14" s="1"/>
  <c r="D25" i="14"/>
  <c r="J25" i="14" s="1"/>
  <c r="E24" i="14"/>
  <c r="G23" i="14"/>
  <c r="G22" i="14"/>
  <c r="H21" i="14"/>
  <c r="B21" i="14"/>
  <c r="B20" i="14"/>
  <c r="C19" i="14"/>
  <c r="A19" i="14" s="1"/>
  <c r="D18" i="14"/>
  <c r="J18" i="14" s="1"/>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M17" i="52" s="1"/>
  <c r="C17" i="63"/>
  <c r="A17" i="63" s="1"/>
  <c r="H17" i="63"/>
  <c r="B18" i="63"/>
  <c r="F18" i="63"/>
  <c r="K18" i="63"/>
  <c r="E19" i="63"/>
  <c r="J19" i="63"/>
  <c r="D20" i="63"/>
  <c r="I20" i="63"/>
  <c r="C21" i="63"/>
  <c r="A21" i="63" s="1"/>
  <c r="I21" i="63"/>
  <c r="D22" i="63"/>
  <c r="L22" i="63" s="1"/>
  <c r="K22" i="63"/>
  <c r="F23" i="63"/>
  <c r="B24" i="63"/>
  <c r="I24" i="63"/>
  <c r="D25" i="63"/>
  <c r="N25" i="63" s="1"/>
  <c r="J25" i="63"/>
  <c r="F26" i="63"/>
  <c r="B27" i="63"/>
  <c r="H27" i="63"/>
  <c r="D28" i="63"/>
  <c r="L28" i="63" s="1"/>
  <c r="J28" i="63"/>
  <c r="E29" i="63"/>
  <c r="B30" i="63"/>
  <c r="H30" i="63"/>
  <c r="C31" i="63"/>
  <c r="A31" i="63" s="1"/>
  <c r="J31" i="63"/>
  <c r="E32" i="63"/>
  <c r="K32" i="63"/>
  <c r="J33" i="63"/>
  <c r="F34" i="63"/>
  <c r="D35" i="63"/>
  <c r="N35" i="63" s="1"/>
  <c r="C36" i="63"/>
  <c r="A36" i="63" s="1"/>
  <c r="K36" i="63"/>
  <c r="H37" i="63"/>
  <c r="F38"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I20" i="14" s="1"/>
  <c r="D21" i="14"/>
  <c r="J21" i="14" s="1"/>
  <c r="E22" i="14"/>
  <c r="H23" i="14"/>
  <c r="B25" i="14"/>
  <c r="B26" i="14"/>
  <c r="D27" i="14"/>
  <c r="I27" i="14" s="1"/>
  <c r="E28" i="14"/>
  <c r="G29" i="14"/>
  <c r="B31" i="14"/>
  <c r="B32" i="14"/>
  <c r="C33" i="14"/>
  <c r="A33" i="14" s="1"/>
  <c r="E34" i="14"/>
  <c r="G35" i="14"/>
  <c r="G36" i="14"/>
  <c r="B38" i="14"/>
  <c r="K6" i="62"/>
  <c r="K13" i="62"/>
  <c r="K15" i="62"/>
  <c r="D17" i="63"/>
  <c r="I17" i="63"/>
  <c r="C18" i="63"/>
  <c r="A18" i="63" s="1"/>
  <c r="H18" i="63"/>
  <c r="B19" i="63"/>
  <c r="F19" i="63"/>
  <c r="K19" i="63"/>
  <c r="E20" i="63"/>
  <c r="J20" i="63"/>
  <c r="D21" i="63"/>
  <c r="J21" i="63"/>
  <c r="F22" i="63"/>
  <c r="B23" i="63"/>
  <c r="H23" i="63"/>
  <c r="D24" i="63"/>
  <c r="L24" i="63" s="1"/>
  <c r="J24" i="63"/>
  <c r="E25" i="63"/>
  <c r="B26" i="63"/>
  <c r="H26" i="63"/>
  <c r="C27" i="63"/>
  <c r="A27" i="63" s="1"/>
  <c r="J27" i="63"/>
  <c r="E28" i="63"/>
  <c r="K28" i="63"/>
  <c r="H29" i="63"/>
  <c r="C30" i="63"/>
  <c r="A30" i="63" s="1"/>
  <c r="I30" i="63"/>
  <c r="E31" i="63"/>
  <c r="K31" i="63"/>
  <c r="F32" i="63"/>
  <c r="C33" i="63"/>
  <c r="A33" i="63" s="1"/>
  <c r="K33" i="63"/>
  <c r="I34" i="63"/>
  <c r="H35" i="63"/>
  <c r="D36" i="63"/>
  <c r="L36" i="63" s="1"/>
  <c r="B37" i="63"/>
  <c r="K37" i="63"/>
  <c r="I38" i="63"/>
  <c r="E39" i="63"/>
  <c r="D40" i="63"/>
  <c r="L40" i="63" s="1"/>
  <c r="B41" i="63"/>
  <c r="J41" i="63"/>
  <c r="I42" i="63"/>
  <c r="E43" i="63"/>
  <c r="C44" i="63"/>
  <c r="A44" i="63" s="1"/>
  <c r="B45" i="63"/>
  <c r="J45" i="63"/>
  <c r="F46" i="63"/>
  <c r="E47" i="63"/>
  <c r="C48" i="63"/>
  <c r="A48" i="63" s="1"/>
  <c r="K48" i="63"/>
  <c r="J49" i="63"/>
  <c r="F50" i="63"/>
  <c r="E14" i="14"/>
  <c r="H15" i="14"/>
  <c r="B17" i="14"/>
  <c r="B18" i="14"/>
  <c r="D19" i="14"/>
  <c r="I19" i="14" s="1"/>
  <c r="E20" i="14"/>
  <c r="G21" i="14"/>
  <c r="B23" i="14"/>
  <c r="B24" i="14"/>
  <c r="C25" i="14"/>
  <c r="A25" i="14" s="1"/>
  <c r="E26" i="14"/>
  <c r="G27" i="14"/>
  <c r="G28" i="14"/>
  <c r="B30" i="14"/>
  <c r="C31" i="14"/>
  <c r="A31" i="14" s="1"/>
  <c r="D32" i="14"/>
  <c r="I32" i="14" s="1"/>
  <c r="G33" i="14"/>
  <c r="G34" i="14"/>
  <c r="H35" i="14"/>
  <c r="C37" i="14"/>
  <c r="A37" i="14" s="1"/>
  <c r="D38" i="14"/>
  <c r="J38" i="14" s="1"/>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L30" i="63" s="1"/>
  <c r="K30" i="63"/>
  <c r="F31" i="63"/>
  <c r="B32" i="63"/>
  <c r="I32" i="63"/>
  <c r="E33" i="63"/>
  <c r="B34" i="63"/>
  <c r="K34" i="63"/>
  <c r="I35" i="63"/>
  <c r="F36" i="63"/>
  <c r="E37" i="63"/>
  <c r="B38" i="63"/>
  <c r="J38" i="63"/>
  <c r="I39" i="63"/>
  <c r="F40" i="63"/>
  <c r="C41" i="63"/>
  <c r="A41" i="63" s="1"/>
  <c r="B42" i="63"/>
  <c r="J42" i="63"/>
  <c r="H43" i="63"/>
  <c r="F44" i="63"/>
  <c r="C45" i="63"/>
  <c r="A45" i="63" s="1"/>
  <c r="K45" i="63"/>
  <c r="J46" i="63"/>
  <c r="H47" i="63"/>
  <c r="D48" i="63"/>
  <c r="L48" i="63" s="1"/>
  <c r="C49" i="63"/>
  <c r="A49" i="63" s="1"/>
  <c r="K49" i="63"/>
  <c r="B15" i="14"/>
  <c r="B16" i="14"/>
  <c r="C17" i="14"/>
  <c r="A17" i="14" s="1"/>
  <c r="E18" i="14"/>
  <c r="G19" i="14"/>
  <c r="G20" i="14"/>
  <c r="B22" i="14"/>
  <c r="C23" i="14"/>
  <c r="A23" i="14" s="1"/>
  <c r="D24" i="14"/>
  <c r="I24" i="14" s="1"/>
  <c r="G25" i="14"/>
  <c r="G26" i="14"/>
  <c r="H27" i="14"/>
  <c r="C29" i="14"/>
  <c r="A29" i="14" s="1"/>
  <c r="D30" i="14"/>
  <c r="J30" i="14" s="1"/>
  <c r="D31" i="14"/>
  <c r="I31" i="14" s="1"/>
  <c r="G32" i="14"/>
  <c r="H33" i="14"/>
  <c r="B35" i="14"/>
  <c r="D36" i="14"/>
  <c r="I36" i="14" s="1"/>
  <c r="D37" i="14"/>
  <c r="J37" i="14" s="1"/>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8" i="63"/>
  <c r="C38" i="63"/>
  <c r="A38" i="63" s="1"/>
  <c r="I37" i="63"/>
  <c r="D37" i="63"/>
  <c r="M37" i="63" s="1"/>
  <c r="J36" i="63"/>
  <c r="E36" i="63"/>
  <c r="K35" i="63"/>
  <c r="F35" i="63"/>
  <c r="B35" i="63"/>
  <c r="H34" i="63"/>
  <c r="C34" i="63"/>
  <c r="A34" i="63" s="1"/>
  <c r="I33" i="63"/>
  <c r="D33" i="63"/>
  <c r="N33" i="63" s="1"/>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K38" i="63"/>
  <c r="E38" i="63"/>
  <c r="J37" i="63"/>
  <c r="C37" i="63"/>
  <c r="A37" i="63" s="1"/>
  <c r="H36" i="63"/>
  <c r="B36" i="63"/>
  <c r="E35" i="63"/>
  <c r="J34" i="63"/>
  <c r="D34" i="63"/>
  <c r="L34" i="63" s="1"/>
  <c r="H33" i="63"/>
  <c r="B33" i="63"/>
  <c r="H32" i="63"/>
  <c r="C32" i="63"/>
  <c r="A32" i="63" s="1"/>
  <c r="I31" i="63"/>
  <c r="D31" i="63"/>
  <c r="N31" i="63" s="1"/>
  <c r="J30" i="63"/>
  <c r="E30" i="63"/>
  <c r="K29" i="63"/>
  <c r="F29" i="63"/>
  <c r="B29" i="63"/>
  <c r="H28" i="63"/>
  <c r="C28" i="63"/>
  <c r="A28" i="63" s="1"/>
  <c r="I27" i="63"/>
  <c r="D27" i="63"/>
  <c r="N27" i="63" s="1"/>
  <c r="J26" i="63"/>
  <c r="E26" i="63"/>
  <c r="K25" i="63"/>
  <c r="F25" i="63"/>
  <c r="B25" i="63"/>
  <c r="H24" i="63"/>
  <c r="C24" i="63"/>
  <c r="A24" i="63" s="1"/>
  <c r="I23" i="63"/>
  <c r="D23" i="63"/>
  <c r="N23" i="63" s="1"/>
  <c r="J22" i="63"/>
  <c r="E22" i="63"/>
  <c r="K21" i="63"/>
  <c r="F21" i="63"/>
  <c r="M5" i="62"/>
  <c r="M14" i="62"/>
  <c r="B17" i="63"/>
  <c r="F17" i="63"/>
  <c r="K17" i="63"/>
  <c r="E18" i="63"/>
  <c r="J18" i="63"/>
  <c r="D19" i="63"/>
  <c r="I19" i="63"/>
  <c r="C20" i="63"/>
  <c r="A20" i="63" s="1"/>
  <c r="H20" i="63"/>
  <c r="B21" i="63"/>
  <c r="H21" i="63"/>
  <c r="C22" i="63"/>
  <c r="A22" i="63" s="1"/>
  <c r="I22" i="63"/>
  <c r="E23" i="63"/>
  <c r="K23" i="63"/>
  <c r="F24" i="63"/>
  <c r="C25" i="63"/>
  <c r="A25" i="63" s="1"/>
  <c r="I25" i="63"/>
  <c r="D26" i="63"/>
  <c r="L26" i="63" s="1"/>
  <c r="K26" i="63"/>
  <c r="F27" i="63"/>
  <c r="B28" i="63"/>
  <c r="I28" i="63"/>
  <c r="D29" i="63"/>
  <c r="N29" i="63" s="1"/>
  <c r="J29" i="63"/>
  <c r="F30" i="63"/>
  <c r="B31" i="63"/>
  <c r="H31" i="63"/>
  <c r="D32" i="63"/>
  <c r="L32" i="63" s="1"/>
  <c r="J32" i="63"/>
  <c r="F33" i="63"/>
  <c r="E34" i="63"/>
  <c r="C35" i="63"/>
  <c r="A35" i="63" s="1"/>
  <c r="J35" i="63"/>
  <c r="I36" i="63"/>
  <c r="F37" i="63"/>
  <c r="D38" i="63"/>
  <c r="L38" i="63" s="1"/>
  <c r="C39" i="63"/>
  <c r="A39" i="63" s="1"/>
  <c r="J39" i="63"/>
  <c r="H40" i="63"/>
  <c r="F41" i="63"/>
  <c r="D42" i="63"/>
  <c r="L42" i="63" s="1"/>
  <c r="K42" i="63"/>
  <c r="J43" i="63"/>
  <c r="H44" i="63"/>
  <c r="E45" i="63"/>
  <c r="D46" i="63"/>
  <c r="L46" i="63" s="1"/>
  <c r="K46" i="63"/>
  <c r="I47" i="63"/>
  <c r="H48" i="63"/>
  <c r="E49" i="63"/>
  <c r="B50" i="63"/>
  <c r="K50" i="63"/>
  <c r="B14" i="14"/>
  <c r="C15" i="14"/>
  <c r="A15" i="14" s="1"/>
  <c r="D16" i="14"/>
  <c r="G17" i="14"/>
  <c r="G18" i="14"/>
  <c r="H19" i="14"/>
  <c r="C21" i="14"/>
  <c r="A21" i="14" s="1"/>
  <c r="D22" i="14"/>
  <c r="J22" i="14" s="1"/>
  <c r="D23" i="14"/>
  <c r="I23" i="14" s="1"/>
  <c r="G24" i="14"/>
  <c r="H25" i="14"/>
  <c r="B27" i="14"/>
  <c r="D28" i="14"/>
  <c r="I28" i="14" s="1"/>
  <c r="D29" i="14"/>
  <c r="J29" i="14" s="1"/>
  <c r="E30" i="14"/>
  <c r="H31" i="14"/>
  <c r="B33" i="14"/>
  <c r="B34" i="14"/>
  <c r="D35" i="14"/>
  <c r="I35" i="14" s="1"/>
  <c r="E36" i="14"/>
  <c r="G37" i="14"/>
  <c r="E30" i="58"/>
  <c r="I30" i="58" s="1"/>
  <c r="H29" i="58"/>
  <c r="C29" i="58"/>
  <c r="E28" i="58"/>
  <c r="I28" i="58" s="1"/>
  <c r="H27" i="58"/>
  <c r="C27" i="58"/>
  <c r="E26" i="58"/>
  <c r="I26" i="58" s="1"/>
  <c r="H25" i="58"/>
  <c r="C25" i="58"/>
  <c r="E24" i="58"/>
  <c r="I24" i="58" s="1"/>
  <c r="H23" i="58"/>
  <c r="C23" i="58"/>
  <c r="E22" i="58"/>
  <c r="I22" i="58" s="1"/>
  <c r="H21" i="58"/>
  <c r="C21" i="58"/>
  <c r="E20" i="58"/>
  <c r="I20" i="58" s="1"/>
  <c r="H19" i="58"/>
  <c r="C19" i="58"/>
  <c r="E18" i="58"/>
  <c r="I18" i="58" s="1"/>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I19" i="58" s="1"/>
  <c r="H18" i="58"/>
  <c r="C18" i="58"/>
  <c r="E17" i="58"/>
  <c r="I17" i="58" s="1"/>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A20" i="58" s="1"/>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H20" i="56" s="1"/>
  <c r="B19" i="56"/>
  <c r="D19" i="56" s="1"/>
  <c r="G17" i="56"/>
  <c r="G8" i="56"/>
  <c r="D6" i="56"/>
  <c r="F28" i="56" s="1"/>
  <c r="G22" i="56"/>
  <c r="F21" i="56"/>
  <c r="H21" i="56" s="1"/>
  <c r="B20" i="56"/>
  <c r="D20" i="56" s="1"/>
  <c r="G18" i="56"/>
  <c r="F17" i="56"/>
  <c r="G7" i="56"/>
  <c r="G23" i="56"/>
  <c r="F22" i="56"/>
  <c r="H22" i="56" s="1"/>
  <c r="B21" i="56"/>
  <c r="A21" i="56" s="1"/>
  <c r="G19" i="56"/>
  <c r="F18" i="56"/>
  <c r="B17" i="56"/>
  <c r="D17" i="56" s="1"/>
  <c r="G40" i="59"/>
  <c r="I39" i="59"/>
  <c r="B39" i="59"/>
  <c r="J39" i="59" s="1"/>
  <c r="G38" i="59"/>
  <c r="I37" i="59"/>
  <c r="B37" i="59"/>
  <c r="J37" i="59" s="1"/>
  <c r="G36" i="59"/>
  <c r="I35" i="59"/>
  <c r="B35" i="59"/>
  <c r="J35" i="59" s="1"/>
  <c r="G34" i="59"/>
  <c r="I33" i="59"/>
  <c r="B33" i="59"/>
  <c r="J33" i="59" s="1"/>
  <c r="G32" i="59"/>
  <c r="I31" i="59"/>
  <c r="B31" i="59"/>
  <c r="J31" i="59" s="1"/>
  <c r="G30" i="59"/>
  <c r="I29" i="59"/>
  <c r="B29" i="59"/>
  <c r="J29" i="59" s="1"/>
  <c r="G28" i="59"/>
  <c r="I27" i="59"/>
  <c r="B27" i="59"/>
  <c r="J27" i="59" s="1"/>
  <c r="G26" i="59"/>
  <c r="I25" i="59"/>
  <c r="B25" i="59"/>
  <c r="J25" i="59" s="1"/>
  <c r="G24" i="59"/>
  <c r="I23" i="59"/>
  <c r="B23" i="59"/>
  <c r="J23" i="59" s="1"/>
  <c r="G22" i="59"/>
  <c r="I21" i="59"/>
  <c r="B21" i="59"/>
  <c r="J21" i="59" s="1"/>
  <c r="G20" i="59"/>
  <c r="I19" i="59"/>
  <c r="B19" i="59"/>
  <c r="J19" i="59" s="1"/>
  <c r="G18" i="59"/>
  <c r="I17" i="59"/>
  <c r="B17" i="59"/>
  <c r="J17" i="59" s="1"/>
  <c r="G16" i="59"/>
  <c r="I15" i="59"/>
  <c r="B15" i="59"/>
  <c r="J15" i="59" s="1"/>
  <c r="G14" i="59"/>
  <c r="D40" i="59"/>
  <c r="H39" i="59"/>
  <c r="A39" i="59"/>
  <c r="D38" i="59"/>
  <c r="H37" i="59"/>
  <c r="A37" i="59"/>
  <c r="D36" i="59"/>
  <c r="H35" i="59"/>
  <c r="A35" i="59"/>
  <c r="D34" i="59"/>
  <c r="H33" i="59"/>
  <c r="A33" i="59"/>
  <c r="D32" i="59"/>
  <c r="H31" i="59"/>
  <c r="A31" i="59"/>
  <c r="D30" i="59"/>
  <c r="H29" i="59"/>
  <c r="A29" i="59"/>
  <c r="D28" i="59"/>
  <c r="H27" i="59"/>
  <c r="A27" i="59"/>
  <c r="D26" i="59"/>
  <c r="H25" i="59"/>
  <c r="A25" i="59"/>
  <c r="D24" i="59"/>
  <c r="H23" i="59"/>
  <c r="A23" i="59"/>
  <c r="D22" i="59"/>
  <c r="H21" i="59"/>
  <c r="A21" i="59"/>
  <c r="D20" i="59"/>
  <c r="H19" i="59"/>
  <c r="A19" i="59"/>
  <c r="D18" i="59"/>
  <c r="H17" i="59"/>
  <c r="A17" i="59"/>
  <c r="D16" i="59"/>
  <c r="H15" i="59"/>
  <c r="A15" i="59"/>
  <c r="D14" i="59"/>
  <c r="I40" i="59"/>
  <c r="B40" i="59"/>
  <c r="J40" i="59" s="1"/>
  <c r="G39" i="59"/>
  <c r="I38" i="59"/>
  <c r="B38" i="59"/>
  <c r="C38" i="59" s="1"/>
  <c r="G37" i="59"/>
  <c r="I36" i="59"/>
  <c r="B36" i="59"/>
  <c r="C36" i="59" s="1"/>
  <c r="G35" i="59"/>
  <c r="I34" i="59"/>
  <c r="B34" i="59"/>
  <c r="C34" i="59" s="1"/>
  <c r="G33" i="59"/>
  <c r="I32" i="59"/>
  <c r="B32" i="59"/>
  <c r="C32" i="59" s="1"/>
  <c r="G31" i="59"/>
  <c r="I30" i="59"/>
  <c r="B30" i="59"/>
  <c r="C30" i="59" s="1"/>
  <c r="G29" i="59"/>
  <c r="I28" i="59"/>
  <c r="B28" i="59"/>
  <c r="C28" i="59" s="1"/>
  <c r="G27" i="59"/>
  <c r="I26" i="59"/>
  <c r="B26" i="59"/>
  <c r="C26" i="59" s="1"/>
  <c r="G25" i="59"/>
  <c r="I24" i="59"/>
  <c r="B24" i="59"/>
  <c r="C24" i="59" s="1"/>
  <c r="G23" i="59"/>
  <c r="I22" i="59"/>
  <c r="B22" i="59"/>
  <c r="C22" i="59" s="1"/>
  <c r="G21" i="59"/>
  <c r="I20" i="59"/>
  <c r="B20" i="59"/>
  <c r="C20" i="59" s="1"/>
  <c r="G19" i="59"/>
  <c r="I18" i="59"/>
  <c r="B18" i="59"/>
  <c r="C18" i="59" s="1"/>
  <c r="G17" i="59"/>
  <c r="I16" i="59"/>
  <c r="B16" i="59"/>
  <c r="C16" i="59" s="1"/>
  <c r="G15" i="59"/>
  <c r="I14" i="59"/>
  <c r="B14" i="59"/>
  <c r="C14" i="59" s="1"/>
  <c r="H40" i="59"/>
  <c r="A40" i="59"/>
  <c r="D39" i="59"/>
  <c r="H38" i="59"/>
  <c r="A38" i="59"/>
  <c r="D37" i="59"/>
  <c r="H36" i="59"/>
  <c r="A36" i="59"/>
  <c r="D35" i="59"/>
  <c r="H34" i="59"/>
  <c r="A34" i="59"/>
  <c r="D33" i="59"/>
  <c r="H32" i="59"/>
  <c r="A32" i="59"/>
  <c r="D31" i="59"/>
  <c r="H30" i="59"/>
  <c r="A30" i="59"/>
  <c r="D29" i="59"/>
  <c r="H28" i="59"/>
  <c r="A28" i="59"/>
  <c r="D27" i="59"/>
  <c r="H26" i="59"/>
  <c r="A26" i="59"/>
  <c r="D25" i="59"/>
  <c r="H24" i="59"/>
  <c r="A24" i="59"/>
  <c r="D23" i="59"/>
  <c r="H22" i="59"/>
  <c r="A22" i="59"/>
  <c r="D21" i="59"/>
  <c r="H20" i="59"/>
  <c r="A20" i="59"/>
  <c r="D19" i="59"/>
  <c r="H18" i="59"/>
  <c r="A18" i="59"/>
  <c r="D17" i="59"/>
  <c r="H16" i="59"/>
  <c r="A16" i="59"/>
  <c r="D15" i="59"/>
  <c r="H14" i="59"/>
  <c r="A14" i="59"/>
  <c r="G30" i="57"/>
  <c r="C30" i="57"/>
  <c r="G29" i="57"/>
  <c r="C29" i="57"/>
  <c r="F28" i="57"/>
  <c r="B28" i="57"/>
  <c r="A28" i="57" s="1"/>
  <c r="I26" i="57"/>
  <c r="D26" i="57"/>
  <c r="L26" i="57" s="1"/>
  <c r="G25" i="57"/>
  <c r="C25" i="57"/>
  <c r="F24" i="57"/>
  <c r="B24" i="57"/>
  <c r="A24" i="57" s="1"/>
  <c r="I22" i="57"/>
  <c r="D22" i="57"/>
  <c r="L22" i="57" s="1"/>
  <c r="G21" i="57"/>
  <c r="C21" i="57"/>
  <c r="F20" i="57"/>
  <c r="B20" i="57"/>
  <c r="A20" i="57" s="1"/>
  <c r="F30" i="57"/>
  <c r="H30" i="57" s="1"/>
  <c r="B30" i="57"/>
  <c r="A30" i="57" s="1"/>
  <c r="F29" i="57"/>
  <c r="B29" i="57"/>
  <c r="A29" i="57" s="1"/>
  <c r="I27" i="57"/>
  <c r="D27" i="57"/>
  <c r="L27" i="57" s="1"/>
  <c r="G26" i="57"/>
  <c r="C26" i="57"/>
  <c r="F25" i="57"/>
  <c r="H25" i="57" s="1"/>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L20" i="57" s="1"/>
  <c r="I18" i="57"/>
  <c r="D18" i="57"/>
  <c r="L18" i="57" s="1"/>
  <c r="G17" i="57"/>
  <c r="C17" i="57"/>
  <c r="F16" i="57"/>
  <c r="B16" i="57"/>
  <c r="I14" i="57"/>
  <c r="D14" i="57"/>
  <c r="C20" i="57"/>
  <c r="D19" i="57"/>
  <c r="L19" i="57" s="1"/>
  <c r="G18" i="57"/>
  <c r="C18" i="57"/>
  <c r="F17" i="57"/>
  <c r="B17" i="57"/>
  <c r="A17" i="57" s="1"/>
  <c r="I15" i="57"/>
  <c r="D15" i="57"/>
  <c r="G14" i="57"/>
  <c r="C14" i="57"/>
  <c r="B34" i="57" s="1"/>
  <c r="G19" i="57"/>
  <c r="C19" i="57"/>
  <c r="F18" i="57"/>
  <c r="B18" i="57"/>
  <c r="A18" i="57" s="1"/>
  <c r="I16" i="57"/>
  <c r="D16" i="57"/>
  <c r="G15" i="57"/>
  <c r="C15" i="57"/>
  <c r="F14" i="57"/>
  <c r="B14" i="57"/>
  <c r="A14" i="57" s="1"/>
  <c r="G20" i="57"/>
  <c r="F19" i="57"/>
  <c r="B19" i="57"/>
  <c r="A19" i="57" s="1"/>
  <c r="I17" i="57"/>
  <c r="D17" i="57"/>
  <c r="L17" i="57" s="1"/>
  <c r="G16" i="57"/>
  <c r="C16" i="57"/>
  <c r="F15" i="57"/>
  <c r="B15" i="57"/>
  <c r="I35" i="55"/>
  <c r="K13" i="55"/>
  <c r="K17" i="55"/>
  <c r="K21" i="55"/>
  <c r="K25" i="55"/>
  <c r="K31" i="55"/>
  <c r="K39" i="55"/>
  <c r="K40" i="55"/>
  <c r="K48" i="55"/>
  <c r="K43" i="55"/>
  <c r="G52" i="55"/>
  <c r="G35" i="55"/>
  <c r="K12" i="55"/>
  <c r="K29" i="55"/>
  <c r="K33" i="55"/>
  <c r="K36" i="55"/>
  <c r="G42" i="55"/>
  <c r="K44" i="55"/>
  <c r="K9" i="62"/>
  <c r="M9" i="62"/>
  <c r="K10" i="62"/>
  <c r="K5" i="62"/>
  <c r="M6" i="62"/>
  <c r="K14" i="62"/>
  <c r="E10" i="15" a="1"/>
  <c r="E10" i="15" s="1"/>
  <c r="E11" i="15" s="1"/>
  <c r="E29" i="15" a="1"/>
  <c r="E29" i="15" s="1"/>
  <c r="E59" i="15" a="1"/>
  <c r="E59" i="15" s="1"/>
  <c r="E66" i="15" a="1"/>
  <c r="E66" i="15" s="1"/>
  <c r="E18" i="15" a="1"/>
  <c r="E18" i="15" s="1"/>
  <c r="E19" i="15" s="1"/>
  <c r="F29" i="15" a="1"/>
  <c r="F29" i="15" s="1"/>
  <c r="H29" i="15" s="1"/>
  <c r="F54" i="15" a="1"/>
  <c r="F54" i="15" s="1"/>
  <c r="F55" i="15" s="1"/>
  <c r="F69" i="15" a="1"/>
  <c r="F69" i="15" s="1"/>
  <c r="E24" i="15" a="1"/>
  <c r="E24" i="15" s="1"/>
  <c r="E12" i="15" a="1"/>
  <c r="E12" i="15" s="1"/>
  <c r="F26" i="15" a="1"/>
  <c r="F26" i="15" s="1"/>
  <c r="E49" i="15" a="1"/>
  <c r="E49" i="15" s="1"/>
  <c r="F60" i="15" a="1"/>
  <c r="F60" i="15" s="1"/>
  <c r="E13" i="15" a="1"/>
  <c r="E13" i="15" s="1"/>
  <c r="E20" i="15" a="1"/>
  <c r="E20" i="15" s="1"/>
  <c r="F27" i="15" a="1"/>
  <c r="F27" i="15" s="1"/>
  <c r="F36" i="15" a="1"/>
  <c r="F36" i="15" s="1"/>
  <c r="F37" i="15" s="1"/>
  <c r="E56" i="15" a="1"/>
  <c r="E56" i="15" s="1"/>
  <c r="K7" i="62"/>
  <c r="M8" i="62"/>
  <c r="K12" i="62"/>
  <c r="L22" i="45" a="1"/>
  <c r="L22" i="45" s="1"/>
  <c r="J22" i="45" a="1"/>
  <c r="J22" i="45" s="1"/>
  <c r="J40" i="55" a="1"/>
  <c r="J40" i="55" s="1"/>
  <c r="H40" i="55" a="1"/>
  <c r="H40" i="55" s="1"/>
  <c r="J39" i="55" a="1"/>
  <c r="J39" i="55" s="1"/>
  <c r="H39" i="55" a="1"/>
  <c r="H39" i="55" s="1"/>
  <c r="J38" i="55" a="1"/>
  <c r="J38" i="55" s="1"/>
  <c r="H38" i="55" a="1"/>
  <c r="H38" i="55" s="1"/>
  <c r="J37" i="55" a="1"/>
  <c r="J37" i="55" s="1"/>
  <c r="H37" i="55" a="1"/>
  <c r="H37" i="55" s="1"/>
  <c r="J36" i="55" a="1"/>
  <c r="J36" i="55" s="1"/>
  <c r="H36" i="55" a="1"/>
  <c r="H36" i="55" s="1"/>
  <c r="L20" i="45" a="1"/>
  <c r="L20" i="45" s="1"/>
  <c r="L19" i="45" a="1"/>
  <c r="L19" i="45" s="1"/>
  <c r="L18" i="45" a="1"/>
  <c r="L18" i="45" s="1"/>
  <c r="L17" i="45" a="1"/>
  <c r="L17" i="45" s="1"/>
  <c r="L16" i="45" a="1"/>
  <c r="L16" i="45" s="1"/>
  <c r="L15" i="45" a="1"/>
  <c r="L15" i="45" s="1"/>
  <c r="L14" i="45" a="1"/>
  <c r="L14" i="45" s="1"/>
  <c r="L13" i="45" a="1"/>
  <c r="L13" i="45" s="1"/>
  <c r="L12" i="45" a="1"/>
  <c r="L12" i="45" s="1"/>
  <c r="L11" i="45" a="1"/>
  <c r="L11" i="45" s="1"/>
  <c r="L10" i="45" a="1"/>
  <c r="L10" i="45" s="1"/>
  <c r="L9" i="45" a="1"/>
  <c r="L9" i="45" s="1"/>
  <c r="L8" i="45" a="1"/>
  <c r="L8" i="45" s="1"/>
  <c r="L7" i="45" a="1"/>
  <c r="L7" i="45" s="1"/>
  <c r="L6" i="45" a="1"/>
  <c r="L6" i="45" s="1"/>
  <c r="L5" i="45" a="1"/>
  <c r="L5" i="45" s="1"/>
  <c r="F32" i="12" a="1"/>
  <c r="F32" i="12" s="1"/>
  <c r="E30" i="12" a="1"/>
  <c r="E30" i="12" s="1"/>
  <c r="F28" i="12" a="1"/>
  <c r="F28" i="12" s="1"/>
  <c r="E26" i="12" a="1"/>
  <c r="E26" i="12" s="1"/>
  <c r="F24" i="12" a="1"/>
  <c r="F24" i="12" s="1"/>
  <c r="E22" i="12" a="1"/>
  <c r="E22" i="12" s="1"/>
  <c r="F20" i="12" a="1"/>
  <c r="F20" i="12" s="1"/>
  <c r="E18" i="12" a="1"/>
  <c r="E18" i="12" s="1"/>
  <c r="F16" i="12" a="1"/>
  <c r="F16" i="12" s="1"/>
  <c r="E14" i="12" a="1"/>
  <c r="E14" i="12" s="1"/>
  <c r="F12" i="12" a="1"/>
  <c r="F12" i="12" s="1"/>
  <c r="E10" i="12" a="1"/>
  <c r="E10" i="12" s="1"/>
  <c r="F8" i="12" a="1"/>
  <c r="F8" i="12" s="1"/>
  <c r="J50" i="55" a="1"/>
  <c r="J50" i="55" s="1"/>
  <c r="H50" i="55" a="1"/>
  <c r="H50" i="55" s="1"/>
  <c r="J49" i="55" a="1"/>
  <c r="J49" i="55" s="1"/>
  <c r="H49" i="55" a="1"/>
  <c r="H49" i="55" s="1"/>
  <c r="J48" i="55" a="1"/>
  <c r="J48" i="55" s="1"/>
  <c r="H48" i="55" a="1"/>
  <c r="H48" i="55" s="1"/>
  <c r="J47" i="55" a="1"/>
  <c r="J47" i="55" s="1"/>
  <c r="H47" i="55" a="1"/>
  <c r="H47" i="55" s="1"/>
  <c r="J46" i="55" a="1"/>
  <c r="J46" i="55" s="1"/>
  <c r="H46" i="55" a="1"/>
  <c r="H46" i="55" s="1"/>
  <c r="J45" i="55" a="1"/>
  <c r="J45" i="55" s="1"/>
  <c r="H45" i="55" a="1"/>
  <c r="H45" i="55" s="1"/>
  <c r="J44" i="55" a="1"/>
  <c r="J44" i="55" s="1"/>
  <c r="H44" i="55" a="1"/>
  <c r="H44" i="55" s="1"/>
  <c r="J43" i="55" a="1"/>
  <c r="J43" i="55" s="1"/>
  <c r="H43" i="55" a="1"/>
  <c r="H43" i="55" s="1"/>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27" i="55" a="1"/>
  <c r="J27" i="55" s="1"/>
  <c r="H27" i="55" a="1"/>
  <c r="H27" i="55" s="1"/>
  <c r="J26" i="55" a="1"/>
  <c r="J26" i="55" s="1"/>
  <c r="H26" i="55" a="1"/>
  <c r="H26" i="55" s="1"/>
  <c r="J25" i="55" a="1"/>
  <c r="J25" i="55" s="1"/>
  <c r="H25" i="55" a="1"/>
  <c r="H25" i="55" s="1"/>
  <c r="J24" i="55" a="1"/>
  <c r="J24" i="55" s="1"/>
  <c r="H24" i="55" a="1"/>
  <c r="H24" i="55" s="1"/>
  <c r="J23" i="55" a="1"/>
  <c r="J23" i="55" s="1"/>
  <c r="H23" i="55" a="1"/>
  <c r="H23" i="55" s="1"/>
  <c r="J22" i="55" a="1"/>
  <c r="J22" i="55" s="1"/>
  <c r="H22" i="55" a="1"/>
  <c r="H22" i="55" s="1"/>
  <c r="J21" i="55" a="1"/>
  <c r="J21" i="55" s="1"/>
  <c r="H21" i="55" a="1"/>
  <c r="H21" i="55" s="1"/>
  <c r="L21" i="45" a="1"/>
  <c r="L21" i="45" s="1"/>
  <c r="J20" i="55" a="1"/>
  <c r="J20" i="55" s="1"/>
  <c r="H19" i="55" a="1"/>
  <c r="H19" i="55" s="1"/>
  <c r="J16" i="55" a="1"/>
  <c r="J16" i="55" s="1"/>
  <c r="H15" i="55" a="1"/>
  <c r="H15" i="55" s="1"/>
  <c r="J12" i="55" a="1"/>
  <c r="J12" i="55" s="1"/>
  <c r="J21" i="45" a="1"/>
  <c r="J21" i="45" s="1"/>
  <c r="J17" i="45" a="1"/>
  <c r="J17" i="45" s="1"/>
  <c r="J13" i="45" a="1"/>
  <c r="J13" i="45" s="1"/>
  <c r="N13" i="45" s="1"/>
  <c r="J9" i="45" a="1"/>
  <c r="J9" i="45" s="1"/>
  <c r="J5" i="45" a="1"/>
  <c r="J5" i="45" s="1"/>
  <c r="F33" i="12" a="1"/>
  <c r="F33" i="12" s="1"/>
  <c r="E32" i="12" a="1"/>
  <c r="E32" i="12" s="1"/>
  <c r="F31" i="12" a="1"/>
  <c r="F31" i="12" s="1"/>
  <c r="E29" i="12" a="1"/>
  <c r="E29" i="12" s="1"/>
  <c r="F25" i="12" a="1"/>
  <c r="F25" i="12" s="1"/>
  <c r="E24" i="12" a="1"/>
  <c r="E24" i="12" s="1"/>
  <c r="F23" i="12" a="1"/>
  <c r="F23" i="12" s="1"/>
  <c r="E21" i="12" a="1"/>
  <c r="E21" i="12" s="1"/>
  <c r="F17" i="12" a="1"/>
  <c r="F17" i="12" s="1"/>
  <c r="E16" i="12" a="1"/>
  <c r="E16" i="12" s="1"/>
  <c r="F15" i="12" a="1"/>
  <c r="F15" i="12" s="1"/>
  <c r="E13" i="12" a="1"/>
  <c r="E13" i="12" s="1"/>
  <c r="F9" i="12" a="1"/>
  <c r="F9" i="12" s="1"/>
  <c r="E8" i="12" a="1"/>
  <c r="E8" i="12" s="1"/>
  <c r="F7" i="12" a="1"/>
  <c r="F7" i="12" s="1"/>
  <c r="E5" i="12" a="1"/>
  <c r="E5" i="12" s="1"/>
  <c r="J12" i="62" a="1"/>
  <c r="J12" i="62" s="1"/>
  <c r="H12" i="62" a="1"/>
  <c r="H12" i="62" s="1"/>
  <c r="J8" i="62" a="1"/>
  <c r="J8" i="62" s="1"/>
  <c r="H8" i="62" a="1"/>
  <c r="H8" i="62" s="1"/>
  <c r="E69" i="15" a="1"/>
  <c r="E69" i="15" s="1"/>
  <c r="F67" i="15" a="1"/>
  <c r="F67" i="15" s="1"/>
  <c r="E65" i="15" a="1"/>
  <c r="E65" i="15" s="1"/>
  <c r="F63" i="15" a="1"/>
  <c r="F63" i="15" s="1"/>
  <c r="F59" i="15" a="1"/>
  <c r="F59" i="15" s="1"/>
  <c r="F56" i="15" a="1"/>
  <c r="F56" i="15" s="1"/>
  <c r="E54" i="15" a="1"/>
  <c r="E54" i="15" s="1"/>
  <c r="E52" i="15" a="1"/>
  <c r="E52" i="15" s="1"/>
  <c r="E68" i="15" a="1"/>
  <c r="E68" i="15" s="1"/>
  <c r="E64" i="15" a="1"/>
  <c r="E64" i="15" s="1"/>
  <c r="F49" i="15" a="1"/>
  <c r="F49" i="15" s="1"/>
  <c r="E38" i="15" a="1"/>
  <c r="E38" i="15" s="1"/>
  <c r="J19" i="55" a="1"/>
  <c r="J19" i="55" s="1"/>
  <c r="H18" i="55" a="1"/>
  <c r="H18" i="55" s="1"/>
  <c r="J15" i="55" a="1"/>
  <c r="J15" i="55" s="1"/>
  <c r="H14" i="55" a="1"/>
  <c r="H14" i="55" s="1"/>
  <c r="J18" i="45" a="1"/>
  <c r="J18" i="45" s="1"/>
  <c r="J14" i="45" a="1"/>
  <c r="J14" i="45" s="1"/>
  <c r="J10" i="45" a="1"/>
  <c r="J10" i="45" s="1"/>
  <c r="J6" i="45" a="1"/>
  <c r="J6" i="45" s="1"/>
  <c r="E31" i="12" a="1"/>
  <c r="E31" i="12" s="1"/>
  <c r="F30" i="12" a="1"/>
  <c r="F30" i="12" s="1"/>
  <c r="E23" i="12" a="1"/>
  <c r="E23" i="12" s="1"/>
  <c r="F22" i="12" a="1"/>
  <c r="F22" i="12" s="1"/>
  <c r="E15" i="12" a="1"/>
  <c r="E15" i="12" s="1"/>
  <c r="F14" i="12" a="1"/>
  <c r="F14" i="12" s="1"/>
  <c r="E6" i="12" a="1"/>
  <c r="E6" i="12" s="1"/>
  <c r="F4" i="12" a="1"/>
  <c r="F4" i="12" s="1"/>
  <c r="J15" i="62" a="1"/>
  <c r="J15" i="62" s="1"/>
  <c r="H15" i="62" a="1"/>
  <c r="H15" i="62" s="1"/>
  <c r="J11" i="62" a="1"/>
  <c r="J11" i="62" s="1"/>
  <c r="H11" i="62" a="1"/>
  <c r="H11" i="62" s="1"/>
  <c r="J7" i="62" a="1"/>
  <c r="J7" i="62" s="1"/>
  <c r="H7" i="62" a="1"/>
  <c r="H7" i="62" s="1"/>
  <c r="F66" i="15" a="1"/>
  <c r="F66" i="15" s="1"/>
  <c r="E60" i="15" a="1"/>
  <c r="E60" i="15" s="1"/>
  <c r="F39" i="15" a="1"/>
  <c r="F39" i="15" s="1"/>
  <c r="J18" i="55" a="1"/>
  <c r="J18" i="55" s="1"/>
  <c r="H17" i="55" a="1"/>
  <c r="H17" i="55" s="1"/>
  <c r="J14" i="55" a="1"/>
  <c r="J14" i="55" s="1"/>
  <c r="H13" i="55" a="1"/>
  <c r="H13" i="55" s="1"/>
  <c r="J19" i="45" a="1"/>
  <c r="J19" i="45" s="1"/>
  <c r="J15" i="45" a="1"/>
  <c r="J15" i="45" s="1"/>
  <c r="J11" i="45" a="1"/>
  <c r="J11" i="45" s="1"/>
  <c r="J7" i="45" a="1"/>
  <c r="J7" i="45" s="1"/>
  <c r="E33" i="12" a="1"/>
  <c r="E33" i="12" s="1"/>
  <c r="F29" i="12" a="1"/>
  <c r="F29" i="12" s="1"/>
  <c r="E28" i="12" a="1"/>
  <c r="E28" i="12" s="1"/>
  <c r="F27" i="12" a="1"/>
  <c r="F27" i="12" s="1"/>
  <c r="E25" i="12" a="1"/>
  <c r="E25" i="12" s="1"/>
  <c r="F21" i="12" a="1"/>
  <c r="F21" i="12" s="1"/>
  <c r="E20" i="12" a="1"/>
  <c r="E20" i="12" s="1"/>
  <c r="F19" i="12" a="1"/>
  <c r="F19" i="12" s="1"/>
  <c r="E17" i="12" a="1"/>
  <c r="E17" i="12" s="1"/>
  <c r="F13" i="12" a="1"/>
  <c r="F13" i="12" s="1"/>
  <c r="E12" i="12" a="1"/>
  <c r="E12" i="12" s="1"/>
  <c r="F11" i="12" a="1"/>
  <c r="F11" i="12" s="1"/>
  <c r="E9" i="12" a="1"/>
  <c r="E9" i="12" s="1"/>
  <c r="E7" i="12" a="1"/>
  <c r="E7" i="12" s="1"/>
  <c r="F5" i="12" a="1"/>
  <c r="F5" i="12" s="1"/>
  <c r="J14" i="62" a="1"/>
  <c r="J14" i="62" s="1"/>
  <c r="H14" i="62" a="1"/>
  <c r="H14" i="62" s="1"/>
  <c r="J10" i="62" a="1"/>
  <c r="J10" i="62" s="1"/>
  <c r="H10" i="62" a="1"/>
  <c r="H10" i="62" s="1"/>
  <c r="J6" i="62" a="1"/>
  <c r="J6" i="62" s="1"/>
  <c r="H6" i="62" a="1"/>
  <c r="H6" i="62" s="1"/>
  <c r="H20" i="55" a="1"/>
  <c r="H20" i="55" s="1"/>
  <c r="J17" i="55" a="1"/>
  <c r="J17" i="55" s="1"/>
  <c r="H16" i="55" a="1"/>
  <c r="H16" i="55" s="1"/>
  <c r="J13" i="55" a="1"/>
  <c r="J13" i="55" s="1"/>
  <c r="H12" i="55" a="1"/>
  <c r="H12" i="55" s="1"/>
  <c r="J20" i="45" a="1"/>
  <c r="J20" i="45" s="1"/>
  <c r="J16" i="45" a="1"/>
  <c r="J16" i="45" s="1"/>
  <c r="J12" i="45" a="1"/>
  <c r="J12" i="45" s="1"/>
  <c r="J8" i="45" a="1"/>
  <c r="J8" i="45" s="1"/>
  <c r="E27" i="12" a="1"/>
  <c r="E27" i="12" s="1"/>
  <c r="F26" i="12" a="1"/>
  <c r="F26" i="12" s="1"/>
  <c r="E19" i="12" a="1"/>
  <c r="E19" i="12" s="1"/>
  <c r="F18" i="12" a="1"/>
  <c r="F18" i="12" s="1"/>
  <c r="E11" i="12" a="1"/>
  <c r="E11" i="12" s="1"/>
  <c r="F10" i="12" a="1"/>
  <c r="F10" i="12" s="1"/>
  <c r="F6" i="12" a="1"/>
  <c r="F6" i="12" s="1"/>
  <c r="E4" i="12" a="1"/>
  <c r="E4" i="12" s="1"/>
  <c r="J13" i="62" a="1"/>
  <c r="J13" i="62" s="1"/>
  <c r="H13" i="62" a="1"/>
  <c r="H13" i="62" s="1"/>
  <c r="J9" i="62" a="1"/>
  <c r="J9" i="62" s="1"/>
  <c r="H9" i="62" a="1"/>
  <c r="H9" i="62" s="1"/>
  <c r="J5" i="62" a="1"/>
  <c r="J5" i="62" s="1"/>
  <c r="H5" i="62" a="1"/>
  <c r="H5" i="62" s="1"/>
  <c r="M7" i="62"/>
  <c r="K11" i="62"/>
  <c r="M12" i="62"/>
  <c r="F12" i="15" a="1"/>
  <c r="F12" i="15" s="1"/>
  <c r="F20" i="15" a="1"/>
  <c r="F20" i="15" s="1"/>
  <c r="E25" i="15" a="1"/>
  <c r="E25" i="15" s="1"/>
  <c r="F38" i="15" a="1"/>
  <c r="F38" i="15" s="1"/>
  <c r="F68" i="15" a="1"/>
  <c r="F68" i="15" s="1"/>
  <c r="F10" i="15" a="1"/>
  <c r="F10" i="15" s="1"/>
  <c r="F13" i="15" a="1"/>
  <c r="F13" i="15" s="1"/>
  <c r="E16" i="15" a="1"/>
  <c r="E16" i="15" s="1"/>
  <c r="E22" i="15" a="1"/>
  <c r="E22" i="15" s="1"/>
  <c r="E26" i="15" a="1"/>
  <c r="E26" i="15" s="1"/>
  <c r="F52" i="15" a="1"/>
  <c r="F52" i="15" s="1"/>
  <c r="E70" i="15" a="1"/>
  <c r="E70" i="15" s="1"/>
  <c r="F16" i="15" a="1"/>
  <c r="F16" i="15" s="1"/>
  <c r="F18" i="15" a="1"/>
  <c r="F18" i="15" s="1"/>
  <c r="F21" i="15" a="1"/>
  <c r="F21" i="15" s="1"/>
  <c r="F22" i="15" a="1"/>
  <c r="F22" i="15" s="1"/>
  <c r="F24" i="15" a="1"/>
  <c r="F24" i="15" s="1"/>
  <c r="F25" i="15" a="1"/>
  <c r="F25" i="15" s="1"/>
  <c r="E27" i="15" a="1"/>
  <c r="E27" i="15" s="1"/>
  <c r="E28" i="15" a="1"/>
  <c r="E28" i="15" s="1"/>
  <c r="E36" i="15" a="1"/>
  <c r="E36" i="15" s="1"/>
  <c r="F65" i="15" a="1"/>
  <c r="F65" i="15" s="1"/>
  <c r="E67" i="15" a="1"/>
  <c r="E67" i="15" s="1"/>
  <c r="K8" i="62"/>
  <c r="M15"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L25" i="63"/>
  <c r="L33" i="63"/>
  <c r="O49" i="63"/>
  <c r="L43" i="63"/>
  <c r="O45" i="63"/>
  <c r="L27" i="63"/>
  <c r="L35" i="63"/>
  <c r="N49" i="63"/>
  <c r="O25" i="63"/>
  <c r="O33" i="63"/>
  <c r="J31" i="14"/>
  <c r="J35" i="14"/>
  <c r="O27" i="63"/>
  <c r="O35" i="63"/>
  <c r="L37" i="63"/>
  <c r="O39" i="63"/>
  <c r="O43" i="63"/>
  <c r="L49" i="63"/>
  <c r="J19" i="14"/>
  <c r="J24" i="14"/>
  <c r="D13" i="61"/>
  <c r="D14" i="61" s="1"/>
  <c r="H13" i="61"/>
  <c r="H14" i="61" s="1"/>
  <c r="E13" i="61"/>
  <c r="E14" i="61" s="1"/>
  <c r="F13" i="61"/>
  <c r="F14" i="61" s="1"/>
  <c r="C13" i="61"/>
  <c r="C14" i="61" s="1"/>
  <c r="B12" i="61"/>
  <c r="B14" i="61" s="1"/>
  <c r="G13" i="61"/>
  <c r="G14" i="61" s="1"/>
  <c r="H29" i="47"/>
  <c r="H39" i="47"/>
  <c r="M24" i="63"/>
  <c r="M30" i="63"/>
  <c r="M32" i="63"/>
  <c r="M38" i="63"/>
  <c r="M44" i="63"/>
  <c r="M50" i="63"/>
  <c r="I25" i="14"/>
  <c r="N24" i="63"/>
  <c r="N26" i="63"/>
  <c r="N32" i="63"/>
  <c r="N38" i="63"/>
  <c r="N40" i="63"/>
  <c r="N44" i="63"/>
  <c r="I14" i="14"/>
  <c r="I18" i="14"/>
  <c r="I34" i="14"/>
  <c r="I38" i="14"/>
  <c r="O24" i="63"/>
  <c r="M25" i="63"/>
  <c r="O26" i="63"/>
  <c r="M27" i="63"/>
  <c r="O28" i="63"/>
  <c r="O32" i="63"/>
  <c r="M33" i="63"/>
  <c r="M35" i="63"/>
  <c r="O40" i="63"/>
  <c r="O44" i="63"/>
  <c r="H19" i="57" l="1"/>
  <c r="H21" i="57"/>
  <c r="H29" i="57"/>
  <c r="H40" i="14"/>
  <c r="B48" i="47"/>
  <c r="B44" i="47"/>
  <c r="E39" i="47"/>
  <c r="B36" i="47"/>
  <c r="B32" i="47"/>
  <c r="E27" i="47"/>
  <c r="E23" i="47"/>
  <c r="B20" i="47"/>
  <c r="D15" i="47"/>
  <c r="D36" i="47"/>
  <c r="I36" i="47" s="1"/>
  <c r="D24" i="47"/>
  <c r="H24" i="47" s="1"/>
  <c r="F49" i="47"/>
  <c r="C46" i="47"/>
  <c r="C42" i="47"/>
  <c r="F37" i="47"/>
  <c r="F33" i="47"/>
  <c r="C30" i="47"/>
  <c r="F25" i="47"/>
  <c r="F21" i="47"/>
  <c r="F17" i="47"/>
  <c r="G31" i="47"/>
  <c r="B22" i="47"/>
  <c r="F50" i="47"/>
  <c r="B46" i="47"/>
  <c r="B42" i="47"/>
  <c r="D32" i="47"/>
  <c r="B18" i="47"/>
  <c r="B35" i="47"/>
  <c r="D21" i="47"/>
  <c r="I21" i="47" s="1"/>
  <c r="C40" i="47"/>
  <c r="E18" i="47"/>
  <c r="G44" i="47"/>
  <c r="C20" i="47"/>
  <c r="D25" i="47"/>
  <c r="I25" i="47" s="1"/>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M10" i="34"/>
  <c r="F35" i="12"/>
  <c r="E35" i="12"/>
  <c r="H21" i="47"/>
  <c r="L47" i="63"/>
  <c r="M29" i="63"/>
  <c r="I37" i="14"/>
  <c r="H25" i="47"/>
  <c r="N47" i="63"/>
  <c r="I24" i="47"/>
  <c r="O37" i="63"/>
  <c r="F13" i="43"/>
  <c r="G50" i="43"/>
  <c r="G42" i="43"/>
  <c r="G34" i="43"/>
  <c r="G26" i="43"/>
  <c r="G18" i="43"/>
  <c r="F54" i="43"/>
  <c r="F46" i="43"/>
  <c r="F38" i="43"/>
  <c r="F30" i="43"/>
  <c r="F22" i="43"/>
  <c r="F14" i="43"/>
  <c r="G51" i="43"/>
  <c r="G43" i="43"/>
  <c r="G35" i="43"/>
  <c r="G27" i="43"/>
  <c r="G19" i="43"/>
  <c r="G12" i="43"/>
  <c r="F49" i="43"/>
  <c r="F41" i="43"/>
  <c r="F33" i="43"/>
  <c r="F25" i="43"/>
  <c r="F15" i="43"/>
  <c r="G48" i="43"/>
  <c r="G40" i="43"/>
  <c r="G32" i="43"/>
  <c r="G24" i="43"/>
  <c r="G16" i="43"/>
  <c r="F52" i="43"/>
  <c r="F44" i="43"/>
  <c r="F36" i="43"/>
  <c r="F28" i="43"/>
  <c r="F20" i="43"/>
  <c r="F12" i="43"/>
  <c r="G49" i="43"/>
  <c r="G41" i="43"/>
  <c r="G33" i="43"/>
  <c r="G25" i="43"/>
  <c r="G17" i="43"/>
  <c r="F55" i="43"/>
  <c r="F47" i="43"/>
  <c r="F39" i="43"/>
  <c r="F31" i="43"/>
  <c r="F23" i="43"/>
  <c r="G54" i="43"/>
  <c r="G46" i="43"/>
  <c r="G38" i="43"/>
  <c r="G30" i="43"/>
  <c r="G22" i="43"/>
  <c r="G14" i="43"/>
  <c r="F50" i="43"/>
  <c r="F42" i="43"/>
  <c r="F34" i="43"/>
  <c r="F26" i="43"/>
  <c r="F18" i="43"/>
  <c r="G55" i="43"/>
  <c r="G47" i="43"/>
  <c r="G39" i="43"/>
  <c r="G31" i="43"/>
  <c r="G23" i="43"/>
  <c r="G15" i="43"/>
  <c r="F53" i="43"/>
  <c r="F45" i="43"/>
  <c r="F37" i="43"/>
  <c r="F29" i="43"/>
  <c r="G52" i="43"/>
  <c r="G44" i="43"/>
  <c r="G36" i="43"/>
  <c r="G28" i="43"/>
  <c r="G20" i="43"/>
  <c r="F48" i="43"/>
  <c r="F40" i="43"/>
  <c r="F32" i="43"/>
  <c r="F24" i="43"/>
  <c r="F16" i="43"/>
  <c r="G53" i="43"/>
  <c r="G45" i="43"/>
  <c r="G37" i="43"/>
  <c r="G29" i="43"/>
  <c r="G21" i="43"/>
  <c r="G13" i="43"/>
  <c r="F51" i="43"/>
  <c r="F43" i="43"/>
  <c r="F35" i="43"/>
  <c r="F27" i="43"/>
  <c r="F19" i="43"/>
  <c r="F17" i="43"/>
  <c r="F21" i="43"/>
  <c r="H11" i="43"/>
  <c r="E19" i="47"/>
  <c r="F19" i="47"/>
  <c r="G18" i="15"/>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F64" i="15" a="1"/>
  <c r="F64" i="15" s="1"/>
  <c r="I64" i="15" s="1"/>
  <c r="D41" i="47"/>
  <c r="E26" i="47"/>
  <c r="A38" i="47"/>
  <c r="J26" i="45" a="1"/>
  <c r="J26" i="45" s="1"/>
  <c r="N26" i="45" s="1"/>
  <c r="L25" i="45" a="1"/>
  <c r="L25" i="45" s="1"/>
  <c r="C49" i="47"/>
  <c r="A47" i="47"/>
  <c r="F44" i="47"/>
  <c r="D42" i="47"/>
  <c r="H42" i="47" s="1"/>
  <c r="B40" i="47"/>
  <c r="G37" i="47"/>
  <c r="E35" i="47"/>
  <c r="C33" i="47"/>
  <c r="A31" i="47"/>
  <c r="F28" i="47"/>
  <c r="D26" i="47"/>
  <c r="H26" i="47" s="1"/>
  <c r="B24" i="47"/>
  <c r="G21" i="47"/>
  <c r="C17" i="47"/>
  <c r="F15" i="47"/>
  <c r="C39" i="47"/>
  <c r="A33" i="47"/>
  <c r="B26" i="47"/>
  <c r="C19" i="47"/>
  <c r="C50" i="47"/>
  <c r="A48" i="47"/>
  <c r="F45" i="47"/>
  <c r="D43" i="47"/>
  <c r="I43" i="47" s="1"/>
  <c r="B41" i="47"/>
  <c r="G38" i="47"/>
  <c r="E36" i="47"/>
  <c r="C34" i="47"/>
  <c r="A32" i="47"/>
  <c r="F29" i="47"/>
  <c r="D27" i="47"/>
  <c r="I27" i="47" s="1"/>
  <c r="B25" i="47"/>
  <c r="G22" i="47"/>
  <c r="E20" i="47"/>
  <c r="C18" i="47"/>
  <c r="A16" i="47"/>
  <c r="B34" i="47"/>
  <c r="C27" i="47"/>
  <c r="D20" i="47"/>
  <c r="H20" i="47" s="1"/>
  <c r="A49" i="47"/>
  <c r="F46" i="47"/>
  <c r="D44" i="47"/>
  <c r="A41" i="47"/>
  <c r="C35" i="47"/>
  <c r="A29" i="47"/>
  <c r="E21" i="47"/>
  <c r="E46" i="47"/>
  <c r="D37" i="47"/>
  <c r="C28" i="47"/>
  <c r="B19" i="47"/>
  <c r="D49" i="47"/>
  <c r="I49" i="47" s="1"/>
  <c r="G36" i="47"/>
  <c r="G24" i="47"/>
  <c r="D50" i="47"/>
  <c r="F47" i="47"/>
  <c r="F35" i="47"/>
  <c r="B23" i="47"/>
  <c r="F43" i="47"/>
  <c r="J25" i="45" a="1"/>
  <c r="J25" i="45" s="1"/>
  <c r="N25" i="45" s="1"/>
  <c r="L24" i="45" a="1"/>
  <c r="L24" i="45" s="1"/>
  <c r="J21" i="52"/>
  <c r="I21" i="52"/>
  <c r="I33" i="14"/>
  <c r="M22" i="63"/>
  <c r="O47" i="63"/>
  <c r="J32" i="14"/>
  <c r="N37" i="63"/>
  <c r="I26" i="47"/>
  <c r="O22" i="63"/>
  <c r="I26" i="14"/>
  <c r="H27" i="47"/>
  <c r="L29" i="63"/>
  <c r="N17" i="52"/>
  <c r="L31" i="63"/>
  <c r="I20" i="47"/>
  <c r="A14" i="58"/>
  <c r="M31" i="63"/>
  <c r="L17" i="52"/>
  <c r="N22" i="63"/>
  <c r="H43" i="47"/>
  <c r="J27" i="14"/>
  <c r="O31" i="63"/>
  <c r="O29" i="63"/>
  <c r="K17" i="52"/>
  <c r="K18" i="52" s="1"/>
  <c r="G21" i="52"/>
  <c r="O50" i="63"/>
  <c r="I29" i="14"/>
  <c r="M46" i="63"/>
  <c r="J36" i="14"/>
  <c r="N41" i="63"/>
  <c r="O41" i="63"/>
  <c r="O46" i="63"/>
  <c r="N50" i="63"/>
  <c r="N46" i="63"/>
  <c r="I21" i="14"/>
  <c r="M40" i="63"/>
  <c r="M26" i="63"/>
  <c r="L41" i="63"/>
  <c r="N43" i="63"/>
  <c r="A15" i="58"/>
  <c r="A16" i="58" s="1"/>
  <c r="O17" i="63"/>
  <c r="L17" i="63"/>
  <c r="N36" i="63"/>
  <c r="N17" i="63"/>
  <c r="K19" i="52"/>
  <c r="N28" i="63"/>
  <c r="M28" i="63"/>
  <c r="H36" i="47"/>
  <c r="M19" i="52"/>
  <c r="J23" i="14"/>
  <c r="O36" i="63"/>
  <c r="N19" i="52"/>
  <c r="I30" i="14"/>
  <c r="J20" i="14"/>
  <c r="N45" i="63"/>
  <c r="E15" i="15" a="1"/>
  <c r="E15" i="15" s="1"/>
  <c r="F15" i="15" a="1"/>
  <c r="F15" i="15" s="1"/>
  <c r="E34" i="15" a="1"/>
  <c r="E34" i="15" s="1"/>
  <c r="F31" i="15" a="1"/>
  <c r="F31" i="15" s="1"/>
  <c r="F34" i="15" a="1"/>
  <c r="F34" i="15" s="1"/>
  <c r="E31" i="15" a="1"/>
  <c r="E31" i="15" s="1"/>
  <c r="F33" i="15" a="1"/>
  <c r="F33" i="15" s="1"/>
  <c r="E33" i="15" a="1"/>
  <c r="E33" i="15" s="1"/>
  <c r="O38" i="63"/>
  <c r="F24" i="58"/>
  <c r="A27" i="58"/>
  <c r="I22" i="14"/>
  <c r="A19" i="58"/>
  <c r="E40" i="15" a="1"/>
  <c r="E40" i="15" s="1"/>
  <c r="F40" i="15" a="1"/>
  <c r="F40" i="15" s="1"/>
  <c r="E41" i="15" a="1"/>
  <c r="E41" i="15" s="1"/>
  <c r="F41" i="15" a="1"/>
  <c r="F41" i="15" s="1"/>
  <c r="F44" i="15" a="1"/>
  <c r="F44" i="15" s="1"/>
  <c r="E44" i="15" a="1"/>
  <c r="E44" i="15" s="1"/>
  <c r="F47" i="15" a="1"/>
  <c r="F47" i="15" s="1"/>
  <c r="E46" i="15" a="1"/>
  <c r="E46" i="15" s="1"/>
  <c r="F46" i="15" a="1"/>
  <c r="F46" i="15" s="1"/>
  <c r="F48" i="15" a="1"/>
  <c r="F48" i="15" s="1"/>
  <c r="E47" i="15" a="1"/>
  <c r="E47" i="15" s="1"/>
  <c r="G47" i="15" s="1"/>
  <c r="E48" i="15" a="1"/>
  <c r="E48" i="15" s="1"/>
  <c r="F51" i="15" a="1"/>
  <c r="F51" i="15" s="1"/>
  <c r="F53" i="15" s="1"/>
  <c r="E51" i="15" a="1"/>
  <c r="E51" i="15" s="1"/>
  <c r="E53" i="15" s="1"/>
  <c r="H18" i="12"/>
  <c r="J14" i="14"/>
  <c r="J15" i="14" s="1"/>
  <c r="N14" i="45"/>
  <c r="H21" i="52"/>
  <c r="G32" i="58"/>
  <c r="G40" i="14"/>
  <c r="I41" i="14" s="1"/>
  <c r="J52" i="63"/>
  <c r="K52" i="63"/>
  <c r="H52" i="63"/>
  <c r="I52" i="63"/>
  <c r="O42" i="63"/>
  <c r="M23" i="63"/>
  <c r="N42" i="63"/>
  <c r="N34" i="63"/>
  <c r="M36" i="63"/>
  <c r="A29" i="58"/>
  <c r="O23" i="63"/>
  <c r="L23" i="63"/>
  <c r="O48" i="63"/>
  <c r="O34" i="63"/>
  <c r="O30" i="63"/>
  <c r="N48" i="63"/>
  <c r="M42" i="63"/>
  <c r="M34" i="63"/>
  <c r="A26" i="58"/>
  <c r="L45" i="63"/>
  <c r="A21" i="58"/>
  <c r="M17" i="63"/>
  <c r="N30" i="63"/>
  <c r="M48" i="63"/>
  <c r="J28" i="14"/>
  <c r="N39" i="63"/>
  <c r="L39" i="63"/>
  <c r="I15" i="14"/>
  <c r="N20" i="45"/>
  <c r="C36" i="47"/>
  <c r="G48" i="47"/>
  <c r="E63" i="15" a="1"/>
  <c r="E63" i="15" s="1"/>
  <c r="I63" i="15" s="1"/>
  <c r="A18" i="47"/>
  <c r="C24" i="47"/>
  <c r="A30" i="47"/>
  <c r="E42" i="47"/>
  <c r="C48" i="47"/>
  <c r="C16" i="47"/>
  <c r="E22" i="47"/>
  <c r="G28" i="47"/>
  <c r="E34" i="47"/>
  <c r="G40" i="47"/>
  <c r="B47" i="47"/>
  <c r="A15" i="47"/>
  <c r="G20" i="47"/>
  <c r="A50" i="47"/>
  <c r="B27" i="47"/>
  <c r="D33" i="47"/>
  <c r="B39" i="47"/>
  <c r="D45" i="47"/>
  <c r="F28" i="15" a="1"/>
  <c r="F28" i="15" s="1"/>
  <c r="G28" i="15" s="1"/>
  <c r="N24" i="45"/>
  <c r="G9" i="12"/>
  <c r="G17" i="12"/>
  <c r="G25" i="12"/>
  <c r="G33" i="12"/>
  <c r="N7" i="45"/>
  <c r="H36" i="15"/>
  <c r="I66" i="15"/>
  <c r="H32" i="58"/>
  <c r="I14" i="58"/>
  <c r="I15" i="58" s="1"/>
  <c r="I16" i="58" s="1"/>
  <c r="F20" i="58"/>
  <c r="F28" i="58"/>
  <c r="A23" i="58"/>
  <c r="E31" i="59"/>
  <c r="N23" i="45"/>
  <c r="H54" i="15"/>
  <c r="H25" i="15"/>
  <c r="P24" i="45"/>
  <c r="P23" i="45"/>
  <c r="P26" i="45"/>
  <c r="E39" i="59"/>
  <c r="F18" i="59"/>
  <c r="D23" i="56"/>
  <c r="E21" i="59"/>
  <c r="H19" i="56"/>
  <c r="F23" i="59"/>
  <c r="H10" i="12"/>
  <c r="H26" i="12"/>
  <c r="N16" i="45"/>
  <c r="J27" i="57"/>
  <c r="I67" i="15"/>
  <c r="F61" i="15"/>
  <c r="F62" i="15" s="1"/>
  <c r="I69" i="15"/>
  <c r="N17" i="45"/>
  <c r="C35" i="59"/>
  <c r="P19" i="45"/>
  <c r="E14" i="15"/>
  <c r="H52" i="15"/>
  <c r="H24" i="15"/>
  <c r="G26" i="15"/>
  <c r="L9" i="62"/>
  <c r="N10" i="45"/>
  <c r="H56" i="15"/>
  <c r="P17" i="45"/>
  <c r="P5" i="45"/>
  <c r="N18" i="45"/>
  <c r="I59" i="15"/>
  <c r="G12" i="12"/>
  <c r="G20" i="12"/>
  <c r="G28" i="12"/>
  <c r="N11" i="45"/>
  <c r="I60" i="15"/>
  <c r="N6" i="45"/>
  <c r="N9" i="45"/>
  <c r="F36" i="59"/>
  <c r="F17" i="59"/>
  <c r="F33" i="59"/>
  <c r="F14" i="58"/>
  <c r="A25" i="58"/>
  <c r="A17" i="58"/>
  <c r="A20" i="56"/>
  <c r="A22" i="58"/>
  <c r="A30" i="58"/>
  <c r="E5" i="58"/>
  <c r="K21" i="57"/>
  <c r="F25" i="59"/>
  <c r="A22" i="56"/>
  <c r="E33" i="59"/>
  <c r="A18" i="58"/>
  <c r="E14" i="59"/>
  <c r="A17" i="56"/>
  <c r="A18" i="56" s="1"/>
  <c r="A19" i="56" s="1"/>
  <c r="C27" i="59"/>
  <c r="E35" i="59"/>
  <c r="J14" i="59"/>
  <c r="C19" i="59"/>
  <c r="F21" i="59"/>
  <c r="F14" i="59"/>
  <c r="E29" i="59"/>
  <c r="E27" i="59"/>
  <c r="E38" i="59"/>
  <c r="F28" i="59"/>
  <c r="E17" i="59"/>
  <c r="K18" i="57"/>
  <c r="J22" i="57"/>
  <c r="J26" i="59"/>
  <c r="E18" i="59"/>
  <c r="E25" i="59"/>
  <c r="K23" i="57"/>
  <c r="H27" i="57"/>
  <c r="F29" i="59"/>
  <c r="F15" i="59"/>
  <c r="F38" i="59"/>
  <c r="J22" i="59"/>
  <c r="E34" i="59"/>
  <c r="K22" i="57"/>
  <c r="L21" i="55"/>
  <c r="L23" i="55"/>
  <c r="L25" i="55"/>
  <c r="L27" i="55"/>
  <c r="L29" i="55"/>
  <c r="N5" i="45"/>
  <c r="L28" i="45"/>
  <c r="H5" i="12"/>
  <c r="H22" i="12"/>
  <c r="H15" i="57"/>
  <c r="P21" i="45"/>
  <c r="F37" i="59"/>
  <c r="J18" i="59"/>
  <c r="E40" i="59"/>
  <c r="L31" i="55"/>
  <c r="L33" i="55"/>
  <c r="L44" i="55"/>
  <c r="L46" i="55"/>
  <c r="L48" i="55"/>
  <c r="L50" i="55"/>
  <c r="J14" i="57"/>
  <c r="J28" i="57"/>
  <c r="H17" i="56"/>
  <c r="F31" i="59"/>
  <c r="J34" i="59"/>
  <c r="F26" i="59"/>
  <c r="E26" i="59"/>
  <c r="J19" i="57"/>
  <c r="C39" i="59"/>
  <c r="E23" i="59"/>
  <c r="J30" i="57"/>
  <c r="F39" i="59"/>
  <c r="F34" i="59"/>
  <c r="E24" i="59"/>
  <c r="C31" i="59"/>
  <c r="C23" i="59"/>
  <c r="C15" i="59"/>
  <c r="E15" i="59"/>
  <c r="J29" i="57"/>
  <c r="H26" i="57"/>
  <c r="H18" i="56"/>
  <c r="E16" i="59"/>
  <c r="N10" i="62"/>
  <c r="H13" i="12"/>
  <c r="H29" i="12"/>
  <c r="N11" i="62"/>
  <c r="G8" i="12"/>
  <c r="G24" i="12"/>
  <c r="J18" i="57"/>
  <c r="J32" i="59"/>
  <c r="K17" i="62"/>
  <c r="G7" i="12"/>
  <c r="H21" i="12"/>
  <c r="N15" i="45"/>
  <c r="G23" i="12"/>
  <c r="G16" i="12"/>
  <c r="G32" i="12"/>
  <c r="A15" i="57"/>
  <c r="A16" i="57" s="1"/>
  <c r="G32" i="57"/>
  <c r="J24" i="57"/>
  <c r="F32" i="59"/>
  <c r="F24" i="59"/>
  <c r="D21" i="56"/>
  <c r="K20" i="57"/>
  <c r="C40" i="59"/>
  <c r="C21" i="59"/>
  <c r="K17" i="57"/>
  <c r="I32" i="57"/>
  <c r="H6" i="12"/>
  <c r="G19" i="12"/>
  <c r="N12" i="45"/>
  <c r="L6" i="62"/>
  <c r="L14" i="62"/>
  <c r="N19" i="45"/>
  <c r="L7" i="62"/>
  <c r="L15" i="62"/>
  <c r="H14" i="12"/>
  <c r="H30" i="12"/>
  <c r="H14" i="57"/>
  <c r="J25" i="57"/>
  <c r="H22" i="57"/>
  <c r="J15" i="57"/>
  <c r="F40" i="59"/>
  <c r="J30" i="59"/>
  <c r="H20" i="57"/>
  <c r="K14" i="57"/>
  <c r="K15" i="57" s="1"/>
  <c r="K16" i="57" s="1"/>
  <c r="F22" i="59"/>
  <c r="J16" i="59"/>
  <c r="E32" i="59"/>
  <c r="E22" i="59"/>
  <c r="K26" i="57"/>
  <c r="H17" i="57"/>
  <c r="J23" i="57"/>
  <c r="J26" i="57"/>
  <c r="F35" i="59"/>
  <c r="F27" i="59"/>
  <c r="F19" i="59"/>
  <c r="E37" i="59"/>
  <c r="J38" i="59"/>
  <c r="F30" i="59"/>
  <c r="J24" i="59"/>
  <c r="F20" i="59"/>
  <c r="F16" i="59"/>
  <c r="E30" i="59"/>
  <c r="C29" i="59"/>
  <c r="E19" i="59"/>
  <c r="H24" i="57"/>
  <c r="C37" i="59"/>
  <c r="J20" i="57"/>
  <c r="K25" i="57"/>
  <c r="J16" i="57"/>
  <c r="J21" i="57"/>
  <c r="H28" i="57"/>
  <c r="K35" i="55"/>
  <c r="L16" i="55"/>
  <c r="K52" i="55"/>
  <c r="K24" i="57"/>
  <c r="K27" i="57"/>
  <c r="K19" i="57"/>
  <c r="K30" i="57"/>
  <c r="J17" i="57"/>
  <c r="H23" i="57"/>
  <c r="J36" i="59"/>
  <c r="J28" i="59"/>
  <c r="J20" i="59"/>
  <c r="H16" i="57"/>
  <c r="E36" i="59"/>
  <c r="E28" i="59"/>
  <c r="E20" i="59"/>
  <c r="K28" i="57"/>
  <c r="H18" i="57"/>
  <c r="C25" i="59"/>
  <c r="C17" i="59"/>
  <c r="C33" i="59"/>
  <c r="L20" i="55"/>
  <c r="J52" i="55"/>
  <c r="K42" i="55"/>
  <c r="L29" i="57"/>
  <c r="K29" i="57"/>
  <c r="L17" i="55"/>
  <c r="N12" i="62"/>
  <c r="J42" i="55"/>
  <c r="M17" i="62"/>
  <c r="H22" i="15"/>
  <c r="L13" i="62"/>
  <c r="H11" i="12"/>
  <c r="H27" i="12"/>
  <c r="G15" i="12"/>
  <c r="G31" i="12"/>
  <c r="L8" i="62"/>
  <c r="L37" i="55"/>
  <c r="L39" i="55"/>
  <c r="N22" i="45"/>
  <c r="G29" i="15"/>
  <c r="H35" i="55"/>
  <c r="L12" i="55"/>
  <c r="G6" i="12"/>
  <c r="H49" i="15"/>
  <c r="E42" i="15"/>
  <c r="L12" i="62"/>
  <c r="L15" i="55"/>
  <c r="G10" i="12"/>
  <c r="G18" i="12"/>
  <c r="G26" i="12"/>
  <c r="P9" i="45"/>
  <c r="P13" i="45"/>
  <c r="L36" i="55"/>
  <c r="H42" i="55"/>
  <c r="L38" i="55"/>
  <c r="L40" i="55"/>
  <c r="G56" i="15"/>
  <c r="H26" i="15"/>
  <c r="G4" i="12"/>
  <c r="F23" i="15"/>
  <c r="H21" i="15"/>
  <c r="L18" i="55"/>
  <c r="H9" i="12"/>
  <c r="H17" i="12"/>
  <c r="H25" i="12"/>
  <c r="H33" i="12"/>
  <c r="H12" i="12"/>
  <c r="H20" i="12"/>
  <c r="H28" i="12"/>
  <c r="P6" i="45"/>
  <c r="P10" i="45"/>
  <c r="P14" i="45"/>
  <c r="P18" i="45"/>
  <c r="G49" i="15"/>
  <c r="G24" i="15"/>
  <c r="G22" i="15"/>
  <c r="F14" i="15"/>
  <c r="H12" i="15"/>
  <c r="E17" i="15"/>
  <c r="G16" i="15"/>
  <c r="G17" i="15" s="1"/>
  <c r="H38" i="15"/>
  <c r="F37" i="12"/>
  <c r="N6" i="62"/>
  <c r="L13" i="55"/>
  <c r="H39" i="15"/>
  <c r="N7" i="62"/>
  <c r="N15" i="62"/>
  <c r="I68" i="15"/>
  <c r="G52" i="15"/>
  <c r="G5" i="12"/>
  <c r="G13" i="12"/>
  <c r="G21" i="12"/>
  <c r="G29" i="12"/>
  <c r="N21" i="45"/>
  <c r="L19" i="55"/>
  <c r="G14" i="12"/>
  <c r="G22" i="12"/>
  <c r="G30" i="12"/>
  <c r="P7" i="45"/>
  <c r="P11" i="45"/>
  <c r="P15" i="45"/>
  <c r="E61" i="15"/>
  <c r="G39" i="15"/>
  <c r="G21" i="15"/>
  <c r="H10" i="15"/>
  <c r="H11" i="15" s="1"/>
  <c r="F11" i="15"/>
  <c r="G10" i="15"/>
  <c r="G11" i="15" s="1"/>
  <c r="H20" i="15"/>
  <c r="G20" i="15"/>
  <c r="G27" i="15"/>
  <c r="E30" i="15"/>
  <c r="N9" i="62"/>
  <c r="M28" i="45"/>
  <c r="N8" i="45"/>
  <c r="F19" i="15"/>
  <c r="H19" i="15" s="1"/>
  <c r="H18" i="15"/>
  <c r="L5" i="62"/>
  <c r="H17" i="62"/>
  <c r="N14" i="62"/>
  <c r="H19" i="12"/>
  <c r="E37" i="15"/>
  <c r="G36" i="15"/>
  <c r="H16" i="15"/>
  <c r="H17" i="15" s="1"/>
  <c r="F17" i="15"/>
  <c r="H13" i="15"/>
  <c r="G13" i="15"/>
  <c r="G25" i="15"/>
  <c r="J17" i="62"/>
  <c r="N5" i="62"/>
  <c r="N13" i="62"/>
  <c r="G11" i="12"/>
  <c r="G27" i="12"/>
  <c r="L10" i="62"/>
  <c r="L11" i="62"/>
  <c r="H4" i="12"/>
  <c r="L14" i="55"/>
  <c r="E37" i="12"/>
  <c r="G38" i="15"/>
  <c r="G54" i="15"/>
  <c r="E55" i="15"/>
  <c r="I65" i="15"/>
  <c r="N8" i="62"/>
  <c r="H7" i="12"/>
  <c r="H15" i="12"/>
  <c r="H23" i="12"/>
  <c r="H31" i="12"/>
  <c r="J35" i="55"/>
  <c r="L22" i="55"/>
  <c r="L24" i="55"/>
  <c r="L26" i="55"/>
  <c r="L28" i="55"/>
  <c r="L30" i="55"/>
  <c r="L32" i="55"/>
  <c r="L43" i="55"/>
  <c r="H52" i="55"/>
  <c r="L45" i="55"/>
  <c r="L47" i="55"/>
  <c r="L49" i="55"/>
  <c r="H8" i="12"/>
  <c r="H16" i="12"/>
  <c r="H24" i="12"/>
  <c r="H32" i="12"/>
  <c r="P8" i="45"/>
  <c r="P12" i="45"/>
  <c r="P16" i="45"/>
  <c r="P20" i="45"/>
  <c r="P22" i="45"/>
  <c r="H27" i="15"/>
  <c r="G12" i="15"/>
  <c r="G14" i="15" s="1"/>
  <c r="I39" i="15"/>
  <c r="E23" i="15"/>
  <c r="O28" i="45"/>
  <c r="I42" i="47" l="1"/>
  <c r="L18" i="52"/>
  <c r="O18" i="63"/>
  <c r="F51" i="47"/>
  <c r="M18" i="52"/>
  <c r="N18" i="52"/>
  <c r="I28" i="47"/>
  <c r="H28" i="47"/>
  <c r="H30" i="47"/>
  <c r="I30" i="47"/>
  <c r="I31" i="47"/>
  <c r="H31" i="47"/>
  <c r="H32" i="47"/>
  <c r="I32" i="47"/>
  <c r="H48" i="47"/>
  <c r="I48" i="47"/>
  <c r="I19" i="47"/>
  <c r="H19" i="47"/>
  <c r="H38" i="47"/>
  <c r="I38" i="47"/>
  <c r="H15" i="47"/>
  <c r="I15" i="47"/>
  <c r="F57" i="15" a="1"/>
  <c r="F57" i="15" s="1"/>
  <c r="F58" i="15" s="1"/>
  <c r="E57" i="15" a="1"/>
  <c r="E57" i="15" s="1"/>
  <c r="F70" i="15" a="1"/>
  <c r="F70" i="15" s="1"/>
  <c r="I70" i="15" s="1"/>
  <c r="H35" i="12"/>
  <c r="G35" i="12"/>
  <c r="J28" i="45"/>
  <c r="I13" i="42"/>
  <c r="P25" i="45"/>
  <c r="F30" i="15"/>
  <c r="L22" i="52"/>
  <c r="H49" i="47"/>
  <c r="I41" i="47"/>
  <c r="H41" i="47"/>
  <c r="E43" i="15"/>
  <c r="I22" i="47"/>
  <c r="H22" i="47"/>
  <c r="H34" i="47"/>
  <c r="I34" i="47"/>
  <c r="H46" i="47"/>
  <c r="I46" i="47"/>
  <c r="I23" i="47"/>
  <c r="H23" i="47"/>
  <c r="I35" i="47"/>
  <c r="H35" i="47"/>
  <c r="I47" i="47"/>
  <c r="H47" i="47"/>
  <c r="H40" i="47"/>
  <c r="I40" i="47"/>
  <c r="H51" i="15"/>
  <c r="I37" i="47"/>
  <c r="H37" i="47"/>
  <c r="H50" i="47"/>
  <c r="I50" i="47"/>
  <c r="I44" i="47"/>
  <c r="H44" i="47"/>
  <c r="M22" i="52"/>
  <c r="K22" i="52"/>
  <c r="G51" i="15"/>
  <c r="H34" i="15"/>
  <c r="L18" i="63"/>
  <c r="N18" i="63"/>
  <c r="J41" i="14"/>
  <c r="N53" i="63"/>
  <c r="L53" i="63"/>
  <c r="I32" i="58"/>
  <c r="G15" i="15"/>
  <c r="M53" i="63"/>
  <c r="G34" i="15"/>
  <c r="H15" i="15"/>
  <c r="E32" i="15"/>
  <c r="G31" i="15"/>
  <c r="G32" i="15" s="1"/>
  <c r="E35" i="15"/>
  <c r="G33" i="15"/>
  <c r="F32" i="15"/>
  <c r="H31" i="15"/>
  <c r="H32" i="15" s="1"/>
  <c r="F35" i="15"/>
  <c r="H33" i="15"/>
  <c r="G40" i="15"/>
  <c r="H28" i="15"/>
  <c r="G48" i="15"/>
  <c r="H40" i="15"/>
  <c r="H41" i="15"/>
  <c r="H42" i="15" s="1"/>
  <c r="F42" i="15"/>
  <c r="F43" i="15" s="1"/>
  <c r="I41" i="15"/>
  <c r="G41" i="15"/>
  <c r="G42" i="15" s="1"/>
  <c r="E45" i="15"/>
  <c r="G44" i="15"/>
  <c r="F45" i="15"/>
  <c r="H44" i="15"/>
  <c r="H48" i="15"/>
  <c r="H46" i="15"/>
  <c r="F50" i="15"/>
  <c r="E50" i="15"/>
  <c r="G46" i="15"/>
  <c r="H47" i="15"/>
  <c r="O53" i="63"/>
  <c r="N22" i="52"/>
  <c r="J16" i="14"/>
  <c r="M18" i="63"/>
  <c r="I16" i="14"/>
  <c r="I45" i="47"/>
  <c r="H45" i="47"/>
  <c r="G51" i="47"/>
  <c r="I33" i="47"/>
  <c r="H33" i="47"/>
  <c r="B21" i="42"/>
  <c r="E53" i="43"/>
  <c r="C51" i="43"/>
  <c r="A49" i="43"/>
  <c r="D44" i="43"/>
  <c r="B42" i="43"/>
  <c r="E37" i="43"/>
  <c r="E42" i="43"/>
  <c r="E39" i="43"/>
  <c r="D34" i="43"/>
  <c r="B32" i="43"/>
  <c r="E27" i="43"/>
  <c r="C25" i="43"/>
  <c r="A23" i="43"/>
  <c r="D18" i="43"/>
  <c r="B16" i="43"/>
  <c r="D55" i="43"/>
  <c r="D51" i="43"/>
  <c r="D47" i="43"/>
  <c r="B43" i="43"/>
  <c r="B39" i="43"/>
  <c r="E32" i="43"/>
  <c r="E29" i="43"/>
  <c r="E26" i="43"/>
  <c r="D23" i="43"/>
  <c r="D20" i="43"/>
  <c r="D17" i="43"/>
  <c r="C14" i="43"/>
  <c r="A55" i="43"/>
  <c r="H55" i="43" s="1"/>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C54" i="43"/>
  <c r="E25" i="43"/>
  <c r="D13" i="43"/>
  <c r="C55" i="43"/>
  <c r="A53" i="43"/>
  <c r="H53" i="43" s="1"/>
  <c r="D48" i="43"/>
  <c r="B46" i="43"/>
  <c r="E41" i="43"/>
  <c r="C39" i="43"/>
  <c r="A54" i="43"/>
  <c r="H54" i="43" s="1"/>
  <c r="A51" i="43"/>
  <c r="A48" i="43"/>
  <c r="B36" i="43"/>
  <c r="E31" i="43"/>
  <c r="C29" i="43"/>
  <c r="A27" i="43"/>
  <c r="D22" i="43"/>
  <c r="B20" i="43"/>
  <c r="E15" i="43"/>
  <c r="C13" i="43"/>
  <c r="D54"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3" i="43"/>
  <c r="C50" i="43"/>
  <c r="B47" i="43"/>
  <c r="B44" i="43"/>
  <c r="B41" i="43"/>
  <c r="A38" i="43"/>
  <c r="E35" i="43"/>
  <c r="C33" i="43"/>
  <c r="A31" i="43"/>
  <c r="D26" i="43"/>
  <c r="B24" i="43"/>
  <c r="E19" i="43"/>
  <c r="C17" i="43"/>
  <c r="A15" i="43"/>
  <c r="D53" i="43"/>
  <c r="C49" i="43"/>
  <c r="B54" i="43"/>
  <c r="E49" i="43"/>
  <c r="C47" i="43"/>
  <c r="A45" i="43"/>
  <c r="D40" i="43"/>
  <c r="B38" i="43"/>
  <c r="E55"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60" i="43" s="1"/>
  <c r="A52" i="43"/>
  <c r="H52" i="43" s="1"/>
  <c r="A36" i="43"/>
  <c r="A33" i="43"/>
  <c r="A30" i="43"/>
  <c r="E54" i="43"/>
  <c r="E50" i="43"/>
  <c r="E46" i="43"/>
  <c r="D42" i="43"/>
  <c r="D38" i="43"/>
  <c r="B35" i="43"/>
  <c r="A32" i="43"/>
  <c r="A29" i="43"/>
  <c r="A26" i="43"/>
  <c r="B53"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B55" i="43"/>
  <c r="D19" i="43"/>
  <c r="D11" i="44"/>
  <c r="B11" i="48"/>
  <c r="H11" i="50"/>
  <c r="F11" i="51"/>
  <c r="D11" i="50"/>
  <c r="H11" i="48"/>
  <c r="F11" i="50"/>
  <c r="C11" i="48"/>
  <c r="D11" i="51"/>
  <c r="H11" i="49"/>
  <c r="C11" i="51"/>
  <c r="B11" i="49"/>
  <c r="C11" i="49"/>
  <c r="E11" i="51"/>
  <c r="G11" i="48"/>
  <c r="H11" i="51"/>
  <c r="C11" i="50"/>
  <c r="F11" i="48"/>
  <c r="G11" i="51"/>
  <c r="G11" i="49"/>
  <c r="F11" i="49"/>
  <c r="E11" i="48"/>
  <c r="G11" i="50"/>
  <c r="E11" i="49"/>
  <c r="D11" i="48"/>
  <c r="B11" i="50"/>
  <c r="E11" i="50"/>
  <c r="D11" i="49"/>
  <c r="B11" i="51"/>
  <c r="A63" i="44"/>
  <c r="A59" i="44"/>
  <c r="A55" i="44"/>
  <c r="A51" i="44"/>
  <c r="A47" i="44"/>
  <c r="A43" i="44"/>
  <c r="A39" i="44"/>
  <c r="A35" i="44"/>
  <c r="A31" i="44"/>
  <c r="A27" i="44"/>
  <c r="C63" i="44"/>
  <c r="B58" i="44"/>
  <c r="D52" i="44"/>
  <c r="C47" i="44"/>
  <c r="B42" i="44"/>
  <c r="D36" i="44"/>
  <c r="C31" i="44"/>
  <c r="B26" i="44"/>
  <c r="D21" i="44"/>
  <c r="D17" i="44"/>
  <c r="D13" i="44"/>
  <c r="B59" i="44"/>
  <c r="B52" i="44"/>
  <c r="B45" i="44"/>
  <c r="D37" i="44"/>
  <c r="D30" i="44"/>
  <c r="A24" i="44"/>
  <c r="C18" i="44"/>
  <c r="B13" i="44"/>
  <c r="B71" i="44" s="1"/>
  <c r="D58" i="44"/>
  <c r="C49" i="44"/>
  <c r="B40" i="44"/>
  <c r="C30" i="44"/>
  <c r="A22" i="44"/>
  <c r="A15" i="44"/>
  <c r="B60" i="44"/>
  <c r="D50" i="44"/>
  <c r="B41" i="44"/>
  <c r="D31" i="44"/>
  <c r="A23" i="44"/>
  <c r="C15" i="44"/>
  <c r="D59" i="44"/>
  <c r="D49" i="44"/>
  <c r="C40" i="44"/>
  <c r="B31" i="44"/>
  <c r="B22" i="44"/>
  <c r="B15" i="44"/>
  <c r="C46" i="44"/>
  <c r="C60" i="44"/>
  <c r="B23" i="44"/>
  <c r="B39" i="44"/>
  <c r="B63" i="44"/>
  <c r="B44" i="44"/>
  <c r="A62" i="44"/>
  <c r="A58" i="44"/>
  <c r="A54" i="44"/>
  <c r="A50" i="44"/>
  <c r="A46" i="44"/>
  <c r="A42" i="44"/>
  <c r="A38" i="44"/>
  <c r="A34" i="44"/>
  <c r="A30" i="44"/>
  <c r="A26" i="44"/>
  <c r="B62" i="44"/>
  <c r="D56" i="44"/>
  <c r="C51" i="44"/>
  <c r="B46" i="44"/>
  <c r="D40" i="44"/>
  <c r="C35" i="44"/>
  <c r="B30" i="44"/>
  <c r="D24" i="44"/>
  <c r="D20" i="44"/>
  <c r="D16" i="44"/>
  <c r="C64" i="44"/>
  <c r="C57" i="44"/>
  <c r="C50" i="44"/>
  <c r="B43" i="44"/>
  <c r="B36" i="44"/>
  <c r="B29" i="44"/>
  <c r="C22" i="44"/>
  <c r="B17" i="44"/>
  <c r="D65" i="44"/>
  <c r="C56" i="44"/>
  <c r="B47" i="44"/>
  <c r="C37" i="44"/>
  <c r="B28" i="44"/>
  <c r="B20" i="44"/>
  <c r="A13" i="44"/>
  <c r="D57" i="44"/>
  <c r="B48" i="44"/>
  <c r="D38" i="44"/>
  <c r="C29" i="44"/>
  <c r="A21" i="44"/>
  <c r="A14" i="44"/>
  <c r="B57" i="44"/>
  <c r="D47" i="44"/>
  <c r="C38" i="44"/>
  <c r="C28" i="44"/>
  <c r="C20" i="44"/>
  <c r="C13" i="44"/>
  <c r="B37" i="44"/>
  <c r="B51" i="44"/>
  <c r="B16" i="44"/>
  <c r="D29" i="44"/>
  <c r="B25" i="44"/>
  <c r="D34" i="44"/>
  <c r="A65" i="44"/>
  <c r="A61" i="44"/>
  <c r="A57" i="44"/>
  <c r="A53" i="44"/>
  <c r="A49" i="44"/>
  <c r="A45" i="44"/>
  <c r="A41" i="44"/>
  <c r="A37" i="44"/>
  <c r="A33" i="44"/>
  <c r="A29" i="44"/>
  <c r="A25" i="44"/>
  <c r="D60" i="44"/>
  <c r="C55" i="44"/>
  <c r="B50" i="44"/>
  <c r="D44" i="44"/>
  <c r="C39" i="44"/>
  <c r="B34" i="44"/>
  <c r="D28" i="44"/>
  <c r="D23" i="44"/>
  <c r="D19" i="44"/>
  <c r="D15" i="44"/>
  <c r="D62" i="44"/>
  <c r="D55" i="44"/>
  <c r="C48" i="44"/>
  <c r="C41" i="44"/>
  <c r="C34" i="44"/>
  <c r="B27" i="44"/>
  <c r="B21" i="44"/>
  <c r="A16" i="44"/>
  <c r="D63" i="44"/>
  <c r="C54" i="44"/>
  <c r="C44" i="44"/>
  <c r="B35" i="44"/>
  <c r="D25" i="44"/>
  <c r="B18" i="44"/>
  <c r="B65" i="44"/>
  <c r="B55" i="44"/>
  <c r="D45" i="44"/>
  <c r="C36" i="44"/>
  <c r="D26" i="44"/>
  <c r="B19" i="44"/>
  <c r="B64" i="44"/>
  <c r="D54" i="44"/>
  <c r="C45" i="44"/>
  <c r="D35" i="44"/>
  <c r="C26" i="44"/>
  <c r="A19" i="44"/>
  <c r="C65" i="44"/>
  <c r="D27" i="44"/>
  <c r="D41" i="44"/>
  <c r="C58" i="44"/>
  <c r="C21" i="44"/>
  <c r="C53" i="44"/>
  <c r="A64" i="44"/>
  <c r="A60" i="44"/>
  <c r="A56" i="44"/>
  <c r="A52" i="44"/>
  <c r="A48" i="44"/>
  <c r="A44" i="44"/>
  <c r="A40" i="44"/>
  <c r="A36" i="44"/>
  <c r="A32" i="44"/>
  <c r="A28" i="44"/>
  <c r="D64" i="44"/>
  <c r="C59" i="44"/>
  <c r="B54" i="44"/>
  <c r="D48" i="44"/>
  <c r="C43" i="44"/>
  <c r="B38" i="44"/>
  <c r="D32" i="44"/>
  <c r="C27" i="44"/>
  <c r="D22" i="44"/>
  <c r="D18" i="44"/>
  <c r="D14" i="44"/>
  <c r="B61" i="44"/>
  <c r="D53" i="44"/>
  <c r="D46" i="44"/>
  <c r="D39" i="44"/>
  <c r="C32" i="44"/>
  <c r="C25" i="44"/>
  <c r="A20" i="44"/>
  <c r="C14" i="44"/>
  <c r="C61" i="44"/>
  <c r="D51" i="44"/>
  <c r="C42" i="44"/>
  <c r="B33" i="44"/>
  <c r="C23" i="44"/>
  <c r="C16" i="44"/>
  <c r="C62" i="44"/>
  <c r="B53" i="44"/>
  <c r="D43" i="44"/>
  <c r="D33" i="44"/>
  <c r="C24" i="44"/>
  <c r="C17" i="44"/>
  <c r="D61" i="44"/>
  <c r="C52" i="44"/>
  <c r="D42" i="44"/>
  <c r="C33" i="44"/>
  <c r="B24" i="44"/>
  <c r="A17" i="44"/>
  <c r="B56" i="44"/>
  <c r="C19" i="44"/>
  <c r="B32" i="44"/>
  <c r="B49" i="44"/>
  <c r="B14" i="44"/>
  <c r="A18" i="44"/>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06"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H53" i="15"/>
  <c r="P29" i="45" s="1"/>
  <c r="M8" i="39"/>
  <c r="C10" i="39"/>
  <c r="D13" i="39"/>
  <c r="H5" i="39"/>
  <c r="M16" i="39" s="1"/>
  <c r="C15" i="39"/>
  <c r="C12" i="39"/>
  <c r="L19" i="63"/>
  <c r="K32" i="57"/>
  <c r="N28" i="45"/>
  <c r="F39" i="12"/>
  <c r="G30" i="15"/>
  <c r="H24" i="56"/>
  <c r="G23" i="15"/>
  <c r="N41" i="59"/>
  <c r="J32" i="57"/>
  <c r="L14" i="57"/>
  <c r="L15" i="57" s="1"/>
  <c r="L16" i="57" s="1"/>
  <c r="J47" i="59"/>
  <c r="H32" i="57"/>
  <c r="E41" i="59"/>
  <c r="M19" i="63"/>
  <c r="G19" i="15"/>
  <c r="E39" i="12"/>
  <c r="P28" i="45"/>
  <c r="G53" i="15"/>
  <c r="L52" i="55"/>
  <c r="E62" i="15"/>
  <c r="I62" i="15" s="1"/>
  <c r="I61" i="15"/>
  <c r="I42" i="15"/>
  <c r="I43" i="15"/>
  <c r="L17" i="62"/>
  <c r="L35" i="55"/>
  <c r="H30" i="15"/>
  <c r="G55" i="15"/>
  <c r="H55" i="15"/>
  <c r="N17" i="62"/>
  <c r="G37" i="15"/>
  <c r="H37" i="15"/>
  <c r="H14" i="15"/>
  <c r="H23" i="15"/>
  <c r="L42" i="55"/>
  <c r="O19" i="63"/>
  <c r="C14" i="39"/>
  <c r="H16" i="47" l="1"/>
  <c r="I16" i="47"/>
  <c r="H57" i="15"/>
  <c r="H58" i="15" s="1"/>
  <c r="E58" i="15"/>
  <c r="G57" i="15"/>
  <c r="G58" i="15" s="1"/>
  <c r="N19" i="63"/>
  <c r="L20" i="63" s="1"/>
  <c r="H35" i="15"/>
  <c r="G35" i="15"/>
  <c r="G43" i="15"/>
  <c r="F71" i="15"/>
  <c r="E71" i="15"/>
  <c r="G50" i="15"/>
  <c r="H43" i="15"/>
  <c r="H45" i="15"/>
  <c r="G45" i="15"/>
  <c r="H50" i="15"/>
  <c r="J17" i="14"/>
  <c r="I17" i="14"/>
  <c r="H52" i="47"/>
  <c r="I52" i="47"/>
  <c r="A241" i="50" a="1"/>
  <c r="A241" i="50" s="1"/>
  <c r="I241" i="50" s="1"/>
  <c r="A237" i="50" a="1"/>
  <c r="A237" i="50" s="1"/>
  <c r="I237" i="50" s="1"/>
  <c r="A238" i="50" a="1"/>
  <c r="A238" i="50" s="1"/>
  <c r="I238" i="50" s="1"/>
  <c r="A239" i="50" a="1"/>
  <c r="A239" i="50" s="1"/>
  <c r="I239" i="50" s="1"/>
  <c r="A11" i="50" a="1"/>
  <c r="A11" i="50" s="1"/>
  <c r="I11" i="50" s="1"/>
  <c r="A236" i="50" a="1"/>
  <c r="A236" i="50" s="1"/>
  <c r="I236" i="50" s="1"/>
  <c r="A240" i="50" a="1"/>
  <c r="A240" i="50" s="1"/>
  <c r="I240" i="50" s="1"/>
  <c r="A151" i="49" a="1"/>
  <c r="A151" i="49" s="1"/>
  <c r="I151" i="49" s="1"/>
  <c r="A149" i="49" a="1"/>
  <c r="A149" i="49" s="1"/>
  <c r="I149" i="49" s="1"/>
  <c r="A148" i="49" a="1"/>
  <c r="A148" i="49" s="1"/>
  <c r="I148" i="49" s="1"/>
  <c r="A153" i="49" a="1"/>
  <c r="A153" i="49" s="1"/>
  <c r="I153" i="49" s="1"/>
  <c r="A152" i="49" a="1"/>
  <c r="A152" i="49" s="1"/>
  <c r="I152" i="49" s="1"/>
  <c r="A11" i="49" a="1"/>
  <c r="A11" i="49" s="1"/>
  <c r="I11" i="49" s="1"/>
  <c r="A150" i="49" a="1"/>
  <c r="A150" i="49" s="1"/>
  <c r="I150" i="49" s="1"/>
  <c r="G57" i="43"/>
  <c r="P30" i="45"/>
  <c r="AZ11" i="49"/>
  <c r="AB11" i="49"/>
  <c r="AB155" i="49" s="1"/>
  <c r="N11" i="49"/>
  <c r="N155" i="49" s="1"/>
  <c r="AF11" i="49"/>
  <c r="AF155" i="49" s="1"/>
  <c r="Z11" i="49"/>
  <c r="Z155" i="49" s="1"/>
  <c r="AL11" i="49"/>
  <c r="AL155" i="49" s="1"/>
  <c r="AR11" i="49"/>
  <c r="AR155" i="49" s="1"/>
  <c r="F149" i="49" s="1"/>
  <c r="J11" i="49"/>
  <c r="J155" i="49" s="1"/>
  <c r="AJ11" i="49"/>
  <c r="AJ155" i="49" s="1"/>
  <c r="AT11" i="49"/>
  <c r="AP11" i="49"/>
  <c r="AP155" i="49" s="1"/>
  <c r="F148" i="49" s="1"/>
  <c r="P11" i="49"/>
  <c r="P155" i="49" s="1"/>
  <c r="V11" i="49"/>
  <c r="V155" i="49" s="1"/>
  <c r="AV11" i="49"/>
  <c r="AV155" i="49" s="1"/>
  <c r="R11" i="49"/>
  <c r="R155" i="49" s="1"/>
  <c r="X11" i="49"/>
  <c r="X155" i="49" s="1"/>
  <c r="T11" i="49"/>
  <c r="AD11" i="49"/>
  <c r="AD155" i="49" s="1"/>
  <c r="AX11" i="49"/>
  <c r="AX155" i="49" s="1"/>
  <c r="L11" i="49"/>
  <c r="L155" i="49" s="1"/>
  <c r="AN11" i="49"/>
  <c r="AH11" i="49"/>
  <c r="AH155" i="49" s="1"/>
  <c r="AI11" i="51"/>
  <c r="AI356" i="51" s="1"/>
  <c r="O11" i="51"/>
  <c r="O356" i="51" s="1"/>
  <c r="K11" i="51"/>
  <c r="K356" i="51" s="1"/>
  <c r="BA11" i="51"/>
  <c r="Q11" i="51"/>
  <c r="Q356" i="51" s="1"/>
  <c r="U11" i="51"/>
  <c r="U356" i="51" s="1"/>
  <c r="AQ11" i="51"/>
  <c r="AC11" i="51"/>
  <c r="AC356" i="51" s="1"/>
  <c r="AG11" i="51"/>
  <c r="AG356" i="51" s="1"/>
  <c r="AA11" i="51"/>
  <c r="AA356" i="51" s="1"/>
  <c r="Y11" i="51"/>
  <c r="Y356" i="51" s="1"/>
  <c r="AW11" i="51"/>
  <c r="S11" i="51"/>
  <c r="S356" i="51" s="1"/>
  <c r="AK11" i="51"/>
  <c r="AK356" i="51" s="1"/>
  <c r="AY11" i="51"/>
  <c r="AY356" i="51" s="1"/>
  <c r="AO11" i="51"/>
  <c r="AO356" i="51" s="1"/>
  <c r="F352" i="51" s="1"/>
  <c r="AU11" i="51"/>
  <c r="AU356" i="51" s="1"/>
  <c r="F353" i="51" s="1"/>
  <c r="W11" i="51"/>
  <c r="W356" i="51" s="1"/>
  <c r="AS11" i="51"/>
  <c r="AM11" i="51"/>
  <c r="AM356" i="51" s="1"/>
  <c r="AE11" i="51"/>
  <c r="AE356" i="51" s="1"/>
  <c r="M11" i="51"/>
  <c r="M356" i="51" s="1"/>
  <c r="A68" i="48" a="1"/>
  <c r="A68" i="48" s="1"/>
  <c r="I68" i="48" s="1"/>
  <c r="A72" i="48" a="1"/>
  <c r="A72" i="48" s="1"/>
  <c r="I72" i="48" s="1"/>
  <c r="A71" i="48" a="1"/>
  <c r="A71" i="48" s="1"/>
  <c r="I71" i="48" s="1"/>
  <c r="A70" i="48" a="1"/>
  <c r="A70" i="48" s="1"/>
  <c r="I70" i="48" s="1"/>
  <c r="A69" i="48" a="1"/>
  <c r="A69" i="48" s="1"/>
  <c r="I69" i="48" s="1"/>
  <c r="A66" i="48" a="1"/>
  <c r="A66" i="48" s="1"/>
  <c r="I66" i="48" s="1"/>
  <c r="A67" i="48" a="1"/>
  <c r="A67" i="48" s="1"/>
  <c r="I67" i="48" s="1"/>
  <c r="A11" i="48" a="1"/>
  <c r="A11" i="48" s="1"/>
  <c r="I11" i="48" s="1"/>
  <c r="G102"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E117" i="42"/>
  <c r="AV11" i="50"/>
  <c r="AV243" i="50" s="1"/>
  <c r="F241" i="50" s="1"/>
  <c r="AF11" i="50"/>
  <c r="AF243" i="50" s="1"/>
  <c r="AD11" i="50"/>
  <c r="AD243" i="50" s="1"/>
  <c r="X11" i="50"/>
  <c r="X243" i="50" s="1"/>
  <c r="AH11" i="50"/>
  <c r="AH243" i="50" s="1"/>
  <c r="AN11" i="50"/>
  <c r="AZ11" i="50"/>
  <c r="AJ11" i="50"/>
  <c r="AJ243" i="50" s="1"/>
  <c r="Z11" i="50"/>
  <c r="Z243" i="50" s="1"/>
  <c r="AX11" i="50"/>
  <c r="AX243" i="50" s="1"/>
  <c r="R11" i="50"/>
  <c r="R243" i="50" s="1"/>
  <c r="P11" i="50"/>
  <c r="P243" i="50" s="1"/>
  <c r="AR11" i="50"/>
  <c r="AR243" i="50" s="1"/>
  <c r="F237" i="50" s="1"/>
  <c r="AL11" i="50"/>
  <c r="AL243" i="50" s="1"/>
  <c r="V11" i="50"/>
  <c r="V243" i="50" s="1"/>
  <c r="AP11" i="50"/>
  <c r="AP243" i="50" s="1"/>
  <c r="F236" i="50" s="1"/>
  <c r="AT11" i="50"/>
  <c r="L11" i="50"/>
  <c r="L243" i="50" s="1"/>
  <c r="T11" i="50"/>
  <c r="AB11" i="50"/>
  <c r="AB243" i="50" s="1"/>
  <c r="J11" i="50"/>
  <c r="J243" i="50" s="1"/>
  <c r="N11" i="50"/>
  <c r="N243" i="50" s="1"/>
  <c r="N11" i="51"/>
  <c r="N356" i="51" s="1"/>
  <c r="AN11" i="51"/>
  <c r="AL11" i="51"/>
  <c r="AL356" i="51" s="1"/>
  <c r="X11" i="51"/>
  <c r="X356" i="51" s="1"/>
  <c r="AH11" i="51"/>
  <c r="AH356" i="51" s="1"/>
  <c r="Z11" i="51"/>
  <c r="Z356" i="51" s="1"/>
  <c r="AF11" i="51"/>
  <c r="AF356" i="51" s="1"/>
  <c r="AX11" i="51"/>
  <c r="AX356" i="51" s="1"/>
  <c r="AJ11" i="51"/>
  <c r="AJ356" i="51" s="1"/>
  <c r="AZ11" i="51"/>
  <c r="V11" i="51"/>
  <c r="V356" i="51" s="1"/>
  <c r="R11" i="51"/>
  <c r="R356" i="51" s="1"/>
  <c r="AR11" i="51"/>
  <c r="AR356" i="51" s="1"/>
  <c r="F350" i="51" s="1"/>
  <c r="AD11" i="51"/>
  <c r="AD356" i="51" s="1"/>
  <c r="T11" i="51"/>
  <c r="AP11" i="51"/>
  <c r="AP356" i="51" s="1"/>
  <c r="F349" i="51" s="1"/>
  <c r="AV11" i="51"/>
  <c r="AV356" i="51" s="1"/>
  <c r="F354" i="51" s="1"/>
  <c r="L11" i="51"/>
  <c r="L356" i="51" s="1"/>
  <c r="AB11" i="51"/>
  <c r="AB356" i="51" s="1"/>
  <c r="J11" i="51"/>
  <c r="J356" i="51" s="1"/>
  <c r="P11" i="51"/>
  <c r="P356" i="51" s="1"/>
  <c r="AT11" i="51"/>
  <c r="AZ11" i="48"/>
  <c r="AR11" i="48"/>
  <c r="AR74" i="48" s="1"/>
  <c r="AX11" i="48"/>
  <c r="AX74" i="48" s="1"/>
  <c r="AF11" i="48"/>
  <c r="AF74" i="48" s="1"/>
  <c r="J11" i="48"/>
  <c r="J74" i="48" s="1"/>
  <c r="T11" i="48"/>
  <c r="AN11" i="48"/>
  <c r="Z11" i="48"/>
  <c r="Z74" i="48" s="1"/>
  <c r="R11" i="48"/>
  <c r="R74" i="48" s="1"/>
  <c r="AJ11" i="48"/>
  <c r="AJ74" i="48" s="1"/>
  <c r="L11" i="48"/>
  <c r="L74" i="48" s="1"/>
  <c r="N11" i="48"/>
  <c r="N74" i="48" s="1"/>
  <c r="X11" i="48"/>
  <c r="X74" i="48" s="1"/>
  <c r="AL11" i="48"/>
  <c r="AL74" i="48" s="1"/>
  <c r="AD11" i="48"/>
  <c r="AD74" i="48" s="1"/>
  <c r="AV11" i="48"/>
  <c r="AV74" i="48" s="1"/>
  <c r="AT11" i="48"/>
  <c r="AB11" i="48"/>
  <c r="AB74" i="48" s="1"/>
  <c r="P11" i="48"/>
  <c r="P74" i="48" s="1"/>
  <c r="AP11" i="48"/>
  <c r="AP74" i="48" s="1"/>
  <c r="V11" i="48"/>
  <c r="V74" i="48" s="1"/>
  <c r="AH11" i="48"/>
  <c r="AH74" i="48" s="1"/>
  <c r="A353" i="51" a="1"/>
  <c r="A353" i="51" s="1"/>
  <c r="I353" i="51" s="1"/>
  <c r="A11" i="51" a="1"/>
  <c r="A11" i="51" s="1"/>
  <c r="I11" i="51" s="1"/>
  <c r="A350" i="51" a="1"/>
  <c r="A350" i="51" s="1"/>
  <c r="I350" i="51" s="1"/>
  <c r="A351" i="51" a="1"/>
  <c r="A351" i="51" s="1"/>
  <c r="I351" i="51" s="1"/>
  <c r="A354" i="51" a="1"/>
  <c r="A354" i="51" s="1"/>
  <c r="I354" i="51" s="1"/>
  <c r="A349" i="51" a="1"/>
  <c r="A349" i="51" s="1"/>
  <c r="I349" i="51" s="1"/>
  <c r="A352" i="51" a="1"/>
  <c r="A352" i="51" s="1"/>
  <c r="I352" i="51" s="1"/>
  <c r="BA11" i="50"/>
  <c r="AA11" i="50"/>
  <c r="AA243" i="50" s="1"/>
  <c r="AM11" i="50"/>
  <c r="AM243" i="50" s="1"/>
  <c r="O11" i="50"/>
  <c r="O243" i="50" s="1"/>
  <c r="AK11" i="50"/>
  <c r="AK243" i="50" s="1"/>
  <c r="AW11" i="50"/>
  <c r="Y11" i="50"/>
  <c r="Y243" i="50" s="1"/>
  <c r="AC11" i="50"/>
  <c r="AC243" i="50" s="1"/>
  <c r="AU11" i="50"/>
  <c r="AU243" i="50" s="1"/>
  <c r="F240" i="50" s="1"/>
  <c r="Q11" i="50"/>
  <c r="Q243" i="50" s="1"/>
  <c r="AI11" i="50"/>
  <c r="AI243" i="50" s="1"/>
  <c r="AO11" i="50"/>
  <c r="AO243" i="50" s="1"/>
  <c r="F239" i="50" s="1"/>
  <c r="U11" i="50"/>
  <c r="U243" i="50" s="1"/>
  <c r="W11" i="50"/>
  <c r="W243" i="50" s="1"/>
  <c r="AY11" i="50"/>
  <c r="AY243" i="50" s="1"/>
  <c r="AE11" i="50"/>
  <c r="AE243" i="50" s="1"/>
  <c r="AQ11" i="50"/>
  <c r="S11" i="50"/>
  <c r="S243" i="50" s="1"/>
  <c r="AS11" i="50"/>
  <c r="K11" i="50"/>
  <c r="K243" i="50" s="1"/>
  <c r="AG11" i="50"/>
  <c r="AG243" i="50" s="1"/>
  <c r="M11" i="50"/>
  <c r="M243" i="50" s="1"/>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102" i="42"/>
  <c r="D67" i="44"/>
  <c r="D68" i="44" s="1"/>
  <c r="W11" i="49"/>
  <c r="W155" i="49" s="1"/>
  <c r="M11" i="49"/>
  <c r="M155" i="49" s="1"/>
  <c r="BA11" i="49"/>
  <c r="AI11" i="49"/>
  <c r="AI155" i="49" s="1"/>
  <c r="AG11" i="49"/>
  <c r="AG155" i="49" s="1"/>
  <c r="AS11" i="49"/>
  <c r="AE11" i="49"/>
  <c r="AE155" i="49" s="1"/>
  <c r="AO11" i="49"/>
  <c r="AO155" i="49" s="1"/>
  <c r="U11" i="49"/>
  <c r="U155" i="49" s="1"/>
  <c r="AM11" i="49"/>
  <c r="AM155" i="49" s="1"/>
  <c r="AC11" i="49"/>
  <c r="AC155" i="49" s="1"/>
  <c r="AQ11" i="49"/>
  <c r="Q11" i="49"/>
  <c r="Q155" i="49" s="1"/>
  <c r="AU11" i="49"/>
  <c r="AU155" i="49" s="1"/>
  <c r="Y11" i="49"/>
  <c r="Y155" i="49" s="1"/>
  <c r="AK11" i="49"/>
  <c r="AK155" i="49" s="1"/>
  <c r="AY11" i="49"/>
  <c r="AY155" i="49" s="1"/>
  <c r="S11" i="49"/>
  <c r="S155" i="49" s="1"/>
  <c r="AW11" i="49"/>
  <c r="AA11" i="49"/>
  <c r="AA155" i="49" s="1"/>
  <c r="O11" i="49"/>
  <c r="O155" i="49" s="1"/>
  <c r="K11" i="49"/>
  <c r="K155" i="49" s="1"/>
  <c r="AM11" i="48"/>
  <c r="AM74" i="48" s="1"/>
  <c r="AM76" i="48" s="1"/>
  <c r="AE11" i="48"/>
  <c r="AE74" i="48" s="1"/>
  <c r="BA11" i="48"/>
  <c r="AO11" i="48"/>
  <c r="AO74" i="48" s="1"/>
  <c r="AI11" i="48"/>
  <c r="AI74" i="48" s="1"/>
  <c r="U11" i="48"/>
  <c r="U74" i="48" s="1"/>
  <c r="U76" i="48" s="1"/>
  <c r="AQ11" i="48"/>
  <c r="AU11" i="48"/>
  <c r="AU74" i="48" s="1"/>
  <c r="AG11" i="48"/>
  <c r="AG74" i="48" s="1"/>
  <c r="AW11" i="48"/>
  <c r="S11" i="48"/>
  <c r="S74" i="48" s="1"/>
  <c r="S76" i="48" s="1"/>
  <c r="K11" i="48"/>
  <c r="K74" i="48" s="1"/>
  <c r="Y11" i="48"/>
  <c r="Y74" i="48" s="1"/>
  <c r="Q11" i="48"/>
  <c r="Q74" i="48" s="1"/>
  <c r="AS11" i="48"/>
  <c r="O11" i="48"/>
  <c r="O74" i="48" s="1"/>
  <c r="W11" i="48"/>
  <c r="W74" i="48" s="1"/>
  <c r="M11" i="48"/>
  <c r="M74" i="48" s="1"/>
  <c r="AC11" i="48"/>
  <c r="AC74" i="48" s="1"/>
  <c r="AA11" i="48"/>
  <c r="AA74" i="48" s="1"/>
  <c r="AK11" i="48"/>
  <c r="AK74" i="48" s="1"/>
  <c r="AY11" i="48"/>
  <c r="AY74" i="48" s="1"/>
  <c r="F57" i="43"/>
  <c r="L32" i="57"/>
  <c r="O20" i="63"/>
  <c r="M20" i="63"/>
  <c r="I17" i="47" l="1"/>
  <c r="H17" i="47"/>
  <c r="H18" i="47" s="1"/>
  <c r="N20" i="63"/>
  <c r="L21" i="63" s="1"/>
  <c r="G71" i="15"/>
  <c r="H57" i="43"/>
  <c r="H58" i="43" s="1"/>
  <c r="H71" i="15"/>
  <c r="H73" i="15" s="1"/>
  <c r="AM157" i="49"/>
  <c r="AM245" i="50" s="1"/>
  <c r="AM358" i="51" s="1"/>
  <c r="U157" i="49"/>
  <c r="U245" i="50" s="1"/>
  <c r="U358" i="51" s="1"/>
  <c r="AC75" i="48"/>
  <c r="AC10" i="49" s="1"/>
  <c r="AC76" i="48"/>
  <c r="AC157" i="49" s="1"/>
  <c r="AC245" i="50" s="1"/>
  <c r="AC358" i="51" s="1"/>
  <c r="AT353" i="51"/>
  <c r="AT356" i="51" s="1"/>
  <c r="BA353" i="51"/>
  <c r="T148" i="49"/>
  <c r="T155" i="49" s="1"/>
  <c r="AQ148" i="49"/>
  <c r="AQ155" i="49" s="1"/>
  <c r="AY76" i="48"/>
  <c r="AY157" i="49" s="1"/>
  <c r="AY245" i="50" s="1"/>
  <c r="AY358" i="51" s="1"/>
  <c r="AY75" i="48"/>
  <c r="AY10" i="49" s="1"/>
  <c r="AA76" i="48"/>
  <c r="AA157" i="49" s="1"/>
  <c r="AA245" i="50" s="1"/>
  <c r="AA358" i="51" s="1"/>
  <c r="AA75" i="48"/>
  <c r="AA10" i="49" s="1"/>
  <c r="O76" i="48"/>
  <c r="O157" i="49" s="1"/>
  <c r="O245" i="50" s="1"/>
  <c r="O358" i="51" s="1"/>
  <c r="O75" i="48"/>
  <c r="O10" i="49" s="1"/>
  <c r="K76" i="48"/>
  <c r="K157" i="49" s="1"/>
  <c r="K245" i="50" s="1"/>
  <c r="K358" i="51" s="1"/>
  <c r="K75" i="48"/>
  <c r="K10" i="49" s="1"/>
  <c r="F71" i="48"/>
  <c r="AU76" i="48"/>
  <c r="AU157" i="49" s="1"/>
  <c r="AU245" i="50" s="1"/>
  <c r="AU358" i="51" s="1"/>
  <c r="AO76" i="48"/>
  <c r="AO157" i="49" s="1"/>
  <c r="AO245" i="50" s="1"/>
  <c r="AO358" i="51" s="1"/>
  <c r="F70" i="48"/>
  <c r="S157" i="49"/>
  <c r="S245" i="50" s="1"/>
  <c r="S358" i="51" s="1"/>
  <c r="F152" i="49"/>
  <c r="BA239" i="50"/>
  <c r="AN239" i="50"/>
  <c r="AN243" i="50" s="1"/>
  <c r="V75" i="48"/>
  <c r="V10" i="49" s="1"/>
  <c r="V76" i="48"/>
  <c r="V157" i="49" s="1"/>
  <c r="X75" i="48"/>
  <c r="X10" i="49" s="1"/>
  <c r="X76" i="48"/>
  <c r="X157" i="49" s="1"/>
  <c r="X245" i="50" s="1"/>
  <c r="X358" i="51" s="1"/>
  <c r="S75" i="48"/>
  <c r="S10" i="49" s="1"/>
  <c r="R76" i="48"/>
  <c r="R157" i="49" s="1"/>
  <c r="R245" i="50" s="1"/>
  <c r="R358" i="51" s="1"/>
  <c r="R75" i="48"/>
  <c r="R10" i="49" s="1"/>
  <c r="J76" i="48"/>
  <c r="J157" i="49" s="1"/>
  <c r="J245" i="50" s="1"/>
  <c r="J358" i="51" s="1"/>
  <c r="J75" i="48"/>
  <c r="J10" i="49" s="1"/>
  <c r="AS237" i="50"/>
  <c r="AS243" i="50" s="1"/>
  <c r="AZ237" i="50"/>
  <c r="AW241" i="50"/>
  <c r="AW243" i="50" s="1"/>
  <c r="AZ241" i="50"/>
  <c r="P75" i="48"/>
  <c r="P10" i="49" s="1"/>
  <c r="P76" i="48"/>
  <c r="P157" i="49" s="1"/>
  <c r="P245" i="50" s="1"/>
  <c r="P358" i="51" s="1"/>
  <c r="AD76" i="48"/>
  <c r="AD157" i="49" s="1"/>
  <c r="AD245" i="50" s="1"/>
  <c r="AD358" i="51" s="1"/>
  <c r="AD75" i="48"/>
  <c r="AD10" i="49" s="1"/>
  <c r="L76" i="48"/>
  <c r="L157" i="49" s="1"/>
  <c r="L245" i="50" s="1"/>
  <c r="L358" i="51" s="1"/>
  <c r="L75" i="48"/>
  <c r="L10" i="49" s="1"/>
  <c r="AX76" i="48"/>
  <c r="AX157" i="49" s="1"/>
  <c r="AX245" i="50" s="1"/>
  <c r="AX358" i="51" s="1"/>
  <c r="AX75" i="48"/>
  <c r="AX10" i="49" s="1"/>
  <c r="AX156" i="49" s="1"/>
  <c r="AX10" i="50" s="1"/>
  <c r="AZ354" i="51"/>
  <c r="AW354" i="51"/>
  <c r="AW356" i="51" s="1"/>
  <c r="AS350" i="51"/>
  <c r="AS356" i="51" s="1"/>
  <c r="AZ350" i="51"/>
  <c r="V245" i="50"/>
  <c r="V358" i="51" s="1"/>
  <c r="BA352" i="51"/>
  <c r="AN352" i="51"/>
  <c r="AN356" i="51" s="1"/>
  <c r="F153" i="49"/>
  <c r="F67" i="48"/>
  <c r="AP76" i="48"/>
  <c r="AP157" i="49" s="1"/>
  <c r="AP245" i="50" s="1"/>
  <c r="AP358" i="51" s="1"/>
  <c r="AV76" i="48"/>
  <c r="AV157" i="49" s="1"/>
  <c r="AV245" i="50" s="1"/>
  <c r="AV358" i="51" s="1"/>
  <c r="F72" i="48"/>
  <c r="N75" i="48"/>
  <c r="N10" i="49" s="1"/>
  <c r="N76" i="48"/>
  <c r="N157" i="49" s="1"/>
  <c r="N245" i="50" s="1"/>
  <c r="N358" i="51" s="1"/>
  <c r="Z76" i="48"/>
  <c r="Z157" i="49" s="1"/>
  <c r="Z245" i="50" s="1"/>
  <c r="Z358" i="51" s="1"/>
  <c r="Z75" i="48"/>
  <c r="Z10" i="49" s="1"/>
  <c r="AF76" i="48"/>
  <c r="AF157" i="49" s="1"/>
  <c r="AF245" i="50" s="1"/>
  <c r="AF358" i="51" s="1"/>
  <c r="AF75" i="48"/>
  <c r="AF10" i="49" s="1"/>
  <c r="AQ236" i="50"/>
  <c r="AQ243" i="50" s="1"/>
  <c r="T236" i="50"/>
  <c r="T243" i="50" s="1"/>
  <c r="AZ149" i="49"/>
  <c r="AS149" i="49"/>
  <c r="AS155" i="49" s="1"/>
  <c r="M75" i="48"/>
  <c r="M10" i="49" s="1"/>
  <c r="M76" i="48"/>
  <c r="M157" i="49" s="1"/>
  <c r="M245" i="50" s="1"/>
  <c r="M358" i="51" s="1"/>
  <c r="Q76" i="48"/>
  <c r="Q157" i="49" s="1"/>
  <c r="Q245" i="50" s="1"/>
  <c r="Q358" i="51" s="1"/>
  <c r="Q75" i="48"/>
  <c r="Q10" i="49" s="1"/>
  <c r="AE76" i="48"/>
  <c r="AE157" i="49" s="1"/>
  <c r="AE245" i="50" s="1"/>
  <c r="AE358" i="51" s="1"/>
  <c r="AE75" i="48"/>
  <c r="AE10" i="49" s="1"/>
  <c r="F151" i="49"/>
  <c r="AK76" i="48"/>
  <c r="AK157" i="49" s="1"/>
  <c r="AK245" i="50" s="1"/>
  <c r="AK358" i="51" s="1"/>
  <c r="AK75" i="48"/>
  <c r="AK10" i="49" s="1"/>
  <c r="W76" i="48"/>
  <c r="W157" i="49" s="1"/>
  <c r="W245" i="50" s="1"/>
  <c r="W358" i="51" s="1"/>
  <c r="W75" i="48"/>
  <c r="W10" i="49" s="1"/>
  <c r="Y76" i="48"/>
  <c r="Y157" i="49" s="1"/>
  <c r="Y245" i="50" s="1"/>
  <c r="Y358" i="51" s="1"/>
  <c r="Y75" i="48"/>
  <c r="Y10" i="49" s="1"/>
  <c r="AG76" i="48"/>
  <c r="AG157" i="49" s="1"/>
  <c r="AG245" i="50" s="1"/>
  <c r="AG358" i="51" s="1"/>
  <c r="AG75" i="48"/>
  <c r="AG10" i="49" s="1"/>
  <c r="AI76" i="48"/>
  <c r="AI157" i="49" s="1"/>
  <c r="AI245" i="50" s="1"/>
  <c r="AI358" i="51" s="1"/>
  <c r="AI75" i="48"/>
  <c r="AI10" i="49" s="1"/>
  <c r="BA240" i="50"/>
  <c r="AT240" i="50"/>
  <c r="AT243" i="50" s="1"/>
  <c r="AH76" i="48"/>
  <c r="AH157" i="49" s="1"/>
  <c r="AH245" i="50" s="1"/>
  <c r="AH358" i="51" s="1"/>
  <c r="AH75" i="48"/>
  <c r="AH10" i="49" s="1"/>
  <c r="AB75" i="48"/>
  <c r="AB10" i="49" s="1"/>
  <c r="AB76" i="48"/>
  <c r="AB157" i="49" s="1"/>
  <c r="AB245" i="50" s="1"/>
  <c r="AB358" i="51" s="1"/>
  <c r="AM75" i="48"/>
  <c r="AM10" i="49" s="1"/>
  <c r="AL75" i="48"/>
  <c r="AL10" i="49" s="1"/>
  <c r="AL76" i="48"/>
  <c r="AL157" i="49" s="1"/>
  <c r="AL245" i="50" s="1"/>
  <c r="AL358" i="51" s="1"/>
  <c r="AJ76" i="48"/>
  <c r="AJ157" i="49" s="1"/>
  <c r="AJ245" i="50" s="1"/>
  <c r="AJ358" i="51" s="1"/>
  <c r="AJ75" i="48"/>
  <c r="AJ10" i="49" s="1"/>
  <c r="F68" i="48"/>
  <c r="AR76" i="48"/>
  <c r="AR157" i="49" s="1"/>
  <c r="AR245" i="50" s="1"/>
  <c r="AR358" i="51" s="1"/>
  <c r="T349" i="51"/>
  <c r="T356" i="51" s="1"/>
  <c r="AQ349" i="51"/>
  <c r="AQ356" i="51" s="1"/>
  <c r="I103" i="42"/>
  <c r="N21" i="63"/>
  <c r="M21" i="63"/>
  <c r="O21" i="63"/>
  <c r="I18" i="47" l="1"/>
  <c r="Y156" i="49"/>
  <c r="Y10" i="50" s="1"/>
  <c r="M156" i="49"/>
  <c r="M10" i="50" s="1"/>
  <c r="J156" i="49"/>
  <c r="J10" i="50" s="1"/>
  <c r="S156" i="49"/>
  <c r="S10" i="50" s="1"/>
  <c r="AB156" i="49"/>
  <c r="AB10" i="50" s="1"/>
  <c r="W156" i="49"/>
  <c r="W10" i="50" s="1"/>
  <c r="Z156" i="49"/>
  <c r="Z10" i="50" s="1"/>
  <c r="AE156" i="49"/>
  <c r="AE10" i="50" s="1"/>
  <c r="AZ243" i="50"/>
  <c r="AJ156" i="49"/>
  <c r="AJ10" i="50" s="1"/>
  <c r="AH156" i="49"/>
  <c r="AH10" i="50" s="1"/>
  <c r="AL156" i="49"/>
  <c r="AL10" i="50" s="1"/>
  <c r="AG156" i="49"/>
  <c r="AG10" i="50" s="1"/>
  <c r="P156" i="49"/>
  <c r="P10" i="50" s="1"/>
  <c r="O156" i="49"/>
  <c r="O10" i="50" s="1"/>
  <c r="AS68" i="48"/>
  <c r="AS74" i="48" s="1"/>
  <c r="AZ68" i="48"/>
  <c r="AM156" i="49"/>
  <c r="AM10" i="50" s="1"/>
  <c r="BA151" i="49"/>
  <c r="AN151" i="49"/>
  <c r="AN155" i="49" s="1"/>
  <c r="AF156" i="49"/>
  <c r="AF10" i="50" s="1"/>
  <c r="AF244" i="50" s="1"/>
  <c r="AF10" i="51" s="1"/>
  <c r="AZ356" i="51"/>
  <c r="AD156" i="49"/>
  <c r="AD10" i="50" s="1"/>
  <c r="BA71" i="48"/>
  <c r="AT71" i="48"/>
  <c r="AT74" i="48" s="1"/>
  <c r="AY156" i="49"/>
  <c r="AY10" i="50" s="1"/>
  <c r="AK156" i="49"/>
  <c r="AK10" i="50" s="1"/>
  <c r="Q156" i="49"/>
  <c r="Q10" i="50" s="1"/>
  <c r="BA356" i="51"/>
  <c r="R156" i="49"/>
  <c r="R10" i="50" s="1"/>
  <c r="X156" i="49"/>
  <c r="X10" i="50" s="1"/>
  <c r="AN70" i="48"/>
  <c r="AN74" i="48" s="1"/>
  <c r="BA70" i="48"/>
  <c r="K156" i="49"/>
  <c r="K10" i="50" s="1"/>
  <c r="AA156" i="49"/>
  <c r="AA10" i="50" s="1"/>
  <c r="AW153" i="49"/>
  <c r="AW155" i="49" s="1"/>
  <c r="AZ153" i="49"/>
  <c r="AZ155" i="49" s="1"/>
  <c r="V156" i="49"/>
  <c r="V10" i="50" s="1"/>
  <c r="V244" i="50" s="1"/>
  <c r="V10" i="51" s="1"/>
  <c r="AI156" i="49"/>
  <c r="AI10" i="50" s="1"/>
  <c r="N156" i="49"/>
  <c r="N10" i="50" s="1"/>
  <c r="T67" i="48"/>
  <c r="T74" i="48" s="1"/>
  <c r="AQ67" i="48"/>
  <c r="AQ74" i="48" s="1"/>
  <c r="AZ72" i="48"/>
  <c r="AW72" i="48"/>
  <c r="AW74" i="48" s="1"/>
  <c r="L156" i="49"/>
  <c r="L10" i="50" s="1"/>
  <c r="BA243" i="50"/>
  <c r="AT152" i="49"/>
  <c r="AT155" i="49" s="1"/>
  <c r="BA152" i="49"/>
  <c r="AC156" i="49"/>
  <c r="AC10" i="50" s="1"/>
  <c r="AB244" i="50" s="1"/>
  <c r="AB10" i="51" s="1"/>
  <c r="R244" i="50" l="1"/>
  <c r="R10" i="51" s="1"/>
  <c r="BA74" i="48"/>
  <c r="BA76" i="48" s="1"/>
  <c r="M244" i="50"/>
  <c r="M10" i="51" s="1"/>
  <c r="K244" i="50"/>
  <c r="K10" i="51" s="1"/>
  <c r="AE244" i="50"/>
  <c r="AE10" i="51" s="1"/>
  <c r="AK244" i="50"/>
  <c r="AK10" i="51" s="1"/>
  <c r="N244" i="50"/>
  <c r="N10" i="51" s="1"/>
  <c r="AI244" i="50"/>
  <c r="AI10" i="51" s="1"/>
  <c r="AD244" i="50"/>
  <c r="AD10" i="51" s="1"/>
  <c r="AM244" i="50"/>
  <c r="AM10" i="51" s="1"/>
  <c r="Q244" i="50"/>
  <c r="Q10" i="51" s="1"/>
  <c r="AZ74" i="48"/>
  <c r="BA75" i="48" s="1"/>
  <c r="BA10" i="49" s="1"/>
  <c r="O244" i="50"/>
  <c r="O10" i="51" s="1"/>
  <c r="AQ76" i="48"/>
  <c r="AQ157" i="49" s="1"/>
  <c r="AQ245" i="50" s="1"/>
  <c r="AQ358" i="51" s="1"/>
  <c r="AQ75" i="48"/>
  <c r="AQ10" i="49" s="1"/>
  <c r="AP75" i="48"/>
  <c r="AP10" i="49" s="1"/>
  <c r="AY244" i="50"/>
  <c r="AY10" i="51" s="1"/>
  <c r="AX244" i="50"/>
  <c r="AX10" i="51" s="1"/>
  <c r="BA155" i="49"/>
  <c r="BA157" i="49" s="1"/>
  <c r="BA245" i="50" s="1"/>
  <c r="BA358" i="51" s="1"/>
  <c r="W244" i="50"/>
  <c r="W10" i="51" s="1"/>
  <c r="W357" i="51" s="1"/>
  <c r="AH244" i="50"/>
  <c r="AH10" i="51" s="1"/>
  <c r="AW76" i="48"/>
  <c r="AW157" i="49" s="1"/>
  <c r="AW245" i="50" s="1"/>
  <c r="AW358" i="51" s="1"/>
  <c r="AW75" i="48"/>
  <c r="AW10" i="49" s="1"/>
  <c r="AV75" i="48"/>
  <c r="AV10" i="49" s="1"/>
  <c r="T75" i="48"/>
  <c r="T10" i="49" s="1"/>
  <c r="T76" i="48"/>
  <c r="T157" i="49" s="1"/>
  <c r="T245" i="50" s="1"/>
  <c r="T358" i="51" s="1"/>
  <c r="U75" i="48"/>
  <c r="U10" i="49" s="1"/>
  <c r="AN75" i="48"/>
  <c r="AN10" i="49" s="1"/>
  <c r="AO75" i="48"/>
  <c r="AO10" i="49" s="1"/>
  <c r="AN76" i="48"/>
  <c r="AN157" i="49" s="1"/>
  <c r="AN245" i="50" s="1"/>
  <c r="AN358" i="51" s="1"/>
  <c r="AU75" i="48"/>
  <c r="AU10" i="49" s="1"/>
  <c r="AT75" i="48"/>
  <c r="AT10" i="49" s="1"/>
  <c r="AT76" i="48"/>
  <c r="AT157" i="49" s="1"/>
  <c r="AT245" i="50" s="1"/>
  <c r="AT358" i="51" s="1"/>
  <c r="AL244" i="50"/>
  <c r="AL10" i="51" s="1"/>
  <c r="P244" i="50"/>
  <c r="P10" i="51" s="1"/>
  <c r="Z244" i="50"/>
  <c r="Z10" i="51" s="1"/>
  <c r="AA244" i="50"/>
  <c r="AA10" i="51" s="1"/>
  <c r="X244" i="50"/>
  <c r="X10" i="51" s="1"/>
  <c r="Y244" i="50"/>
  <c r="Y10" i="51" s="1"/>
  <c r="L244" i="50"/>
  <c r="L10" i="51" s="1"/>
  <c r="S244" i="50"/>
  <c r="S10" i="51" s="1"/>
  <c r="S357" i="51" s="1"/>
  <c r="AS75" i="48"/>
  <c r="AS10" i="49" s="1"/>
  <c r="AR75" i="48"/>
  <c r="AR10" i="49" s="1"/>
  <c r="AS76" i="48"/>
  <c r="AS157" i="49" s="1"/>
  <c r="AS245" i="50" s="1"/>
  <c r="AS358" i="51" s="1"/>
  <c r="J244" i="50"/>
  <c r="J10" i="51" s="1"/>
  <c r="AC244" i="50"/>
  <c r="AC10" i="51" s="1"/>
  <c r="AC357" i="51" s="1"/>
  <c r="AG244" i="50"/>
  <c r="AG10" i="51" s="1"/>
  <c r="AG357" i="51" s="1"/>
  <c r="AJ244" i="50"/>
  <c r="AJ10" i="51" s="1"/>
  <c r="L357" i="51" l="1"/>
  <c r="AL357" i="51"/>
  <c r="AE357" i="51"/>
  <c r="AZ75" i="48"/>
  <c r="AZ10" i="49" s="1"/>
  <c r="BA156" i="49" s="1"/>
  <c r="BA10" i="50" s="1"/>
  <c r="AI357" i="51"/>
  <c r="O357" i="51"/>
  <c r="AD357" i="51"/>
  <c r="AZ76" i="48"/>
  <c r="AZ157" i="49" s="1"/>
  <c r="AZ245" i="50" s="1"/>
  <c r="AZ358" i="51" s="1"/>
  <c r="Q357" i="51"/>
  <c r="AR156" i="49"/>
  <c r="AR10" i="50" s="1"/>
  <c r="Y357" i="51"/>
  <c r="AO156" i="49"/>
  <c r="AO10" i="50" s="1"/>
  <c r="AA357" i="51"/>
  <c r="AH357" i="51"/>
  <c r="N357" i="51"/>
  <c r="AQ156" i="49"/>
  <c r="AQ10" i="50" s="1"/>
  <c r="R357" i="51"/>
  <c r="T156" i="49"/>
  <c r="T10" i="50" s="1"/>
  <c r="AY357" i="51"/>
  <c r="Z357" i="51"/>
  <c r="AV156" i="49"/>
  <c r="AV10" i="50" s="1"/>
  <c r="AU156" i="49"/>
  <c r="AU10" i="50" s="1"/>
  <c r="AT156" i="49"/>
  <c r="AT10" i="50" s="1"/>
  <c r="X357" i="51"/>
  <c r="V357" i="51"/>
  <c r="AB357" i="51"/>
  <c r="AK357" i="51"/>
  <c r="AJ357" i="51"/>
  <c r="K357" i="51"/>
  <c r="J357" i="51"/>
  <c r="AF357" i="51"/>
  <c r="P357" i="51"/>
  <c r="U156" i="49"/>
  <c r="U10" i="50" s="1"/>
  <c r="AW156" i="49"/>
  <c r="AW10" i="50" s="1"/>
  <c r="AP156" i="49"/>
  <c r="AP10" i="50" s="1"/>
  <c r="AM357" i="51"/>
  <c r="AS156" i="49"/>
  <c r="AS10" i="50" s="1"/>
  <c r="AN156" i="49"/>
  <c r="AN10" i="50" s="1"/>
  <c r="AX357" i="51"/>
  <c r="M357" i="51"/>
  <c r="AZ156" i="49" l="1"/>
  <c r="AZ10" i="50" s="1"/>
  <c r="BA244" i="50" s="1"/>
  <c r="BA10" i="51" s="1"/>
  <c r="AP244" i="50"/>
  <c r="AP10" i="51" s="1"/>
  <c r="AS244" i="50"/>
  <c r="AS10" i="51" s="1"/>
  <c r="AN244" i="50"/>
  <c r="AN10" i="51" s="1"/>
  <c r="AQ244" i="50"/>
  <c r="AQ10" i="51" s="1"/>
  <c r="U244" i="50"/>
  <c r="U10" i="51" s="1"/>
  <c r="AW244" i="50"/>
  <c r="AW10" i="51" s="1"/>
  <c r="T244" i="50"/>
  <c r="T10" i="51" s="1"/>
  <c r="AO244" i="50"/>
  <c r="AO10" i="51" s="1"/>
  <c r="AR244" i="50"/>
  <c r="AR10" i="51" s="1"/>
  <c r="AV244" i="50"/>
  <c r="AV10" i="51" s="1"/>
  <c r="AU244" i="50"/>
  <c r="AU10" i="51" s="1"/>
  <c r="AT244" i="50"/>
  <c r="AT10" i="51" s="1"/>
  <c r="AV357" i="51" l="1"/>
  <c r="AR357" i="51"/>
  <c r="AQ357" i="51"/>
  <c r="AZ244" i="50"/>
  <c r="AZ10" i="51" s="1"/>
  <c r="BA357" i="51" s="1"/>
  <c r="AP357" i="51"/>
  <c r="AO357" i="51"/>
  <c r="T357" i="51"/>
  <c r="U357" i="51"/>
  <c r="AT357" i="51"/>
  <c r="AN357" i="51"/>
  <c r="AW357" i="51"/>
  <c r="AU357" i="51"/>
  <c r="AS357" i="51"/>
  <c r="AZ357" i="51" l="1"/>
</calcChain>
</file>

<file path=xl/sharedStrings.xml><?xml version="1.0" encoding="utf-8"?>
<sst xmlns="http://schemas.openxmlformats.org/spreadsheetml/2006/main" count="3388" uniqueCount="1008">
  <si>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</si>
  <si>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</si>
  <si>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</si>
  <si>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</si>
  <si>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</si>
  <si>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</si>
  <si>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</si>
  <si>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</si>
  <si>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</si>
  <si>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</si>
  <si>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</si>
  <si>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</si>
  <si>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</si>
  <si>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</si>
  <si>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</si>
  <si>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</si>
  <si>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</si>
  <si>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</si>
  <si>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</si>
  <si>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</si>
  <si>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</si>
  <si>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</si>
  <si>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</si>
  <si>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</si>
  <si>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</si>
  <si>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</si>
  <si>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</si>
  <si>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</si>
  <si>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</si>
  <si>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</si>
  <si>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</si>
  <si>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</si>
  <si>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</si>
  <si>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</si>
  <si>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</si>
  <si>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</si>
  <si>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</si>
  <si>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</si>
  <si>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</si>
  <si>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</si>
  <si>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</si>
  <si>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</si>
  <si>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</si>
  <si>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</si>
  <si>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</si>
  <si>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</si>
  <si>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</si>
  <si>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</si>
  <si>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</si>
  <si>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</si>
  <si>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</si>
  <si>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</si>
  <si>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</si>
  <si>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</si>
  <si>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</si>
  <si>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</si>
  <si>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</si>
  <si>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</si>
  <si>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</si>
  <si>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</si>
  <si>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</si>
  <si>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</si>
  <si>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</si>
  <si>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</si>
  <si>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</si>
  <si>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</si>
  <si>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</si>
  <si>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</si>
  <si>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</si>
  <si>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</si>
  <si>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</si>
  <si>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</si>
  <si>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</si>
  <si>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</si>
  <si>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</si>
  <si>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</si>
  <si>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</si>
  <si>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</si>
  <si>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</si>
  <si>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</si>
  <si>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</si>
  <si>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</si>
  <si>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</si>
  <si>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</si>
  <si>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</si>
  <si>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</si>
  <si>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</si>
  <si>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</si>
  <si>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</si>
  <si>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</si>
  <si>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</si>
  <si>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</si>
  <si>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</si>
  <si>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</si>
  <si>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</si>
  <si>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</si>
  <si>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</si>
  <si>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</si>
  <si>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</si>
  <si>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</si>
  <si>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</si>
  <si>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</si>
  <si>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</si>
  <si>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</si>
  <si>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</si>
  <si>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</si>
  <si>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</si>
  <si>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</si>
  <si>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</si>
  <si>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</si>
  <si>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</si>
  <si>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</si>
  <si>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</si>
  <si>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</si>
  <si>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</si>
  <si>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</si>
  <si>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</si>
  <si>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</si>
  <si>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</si>
  <si>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</si>
  <si>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</si>
  <si>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</si>
  <si>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</si>
  <si>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</si>
  <si>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</si>
  <si>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</si>
  <si>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</si>
  <si>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</si>
  <si>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</si>
  <si>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</si>
  <si>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</si>
  <si>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</si>
  <si>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</si>
  <si>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</si>
  <si>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</si>
  <si>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</si>
  <si>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</si>
  <si>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</si>
  <si>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</si>
  <si>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</si>
  <si>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</si>
  <si>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</si>
  <si>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</si>
  <si>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</si>
  <si>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</si>
  <si>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</si>
  <si>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</si>
  <si>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</si>
  <si>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</si>
  <si>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</si>
  <si>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</si>
  <si>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</si>
  <si>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</si>
  <si>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</si>
  <si>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</si>
  <si>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</si>
  <si>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</si>
  <si>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</si>
  <si>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</si>
  <si>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</si>
  <si>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</si>
  <si>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</si>
  <si>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</si>
  <si>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</si>
  <si>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</si>
  <si>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</si>
  <si>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</si>
  <si>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</si>
  <si>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</si>
  <si>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</si>
  <si>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</si>
  <si>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</si>
  <si>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</si>
  <si>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</si>
  <si>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</si>
  <si>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</si>
  <si>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</si>
  <si>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</si>
  <si>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</si>
  <si>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</si>
  <si>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</si>
  <si>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</si>
  <si>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</si>
  <si>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</si>
  <si>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</si>
  <si>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</si>
  <si>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</si>
  <si>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</si>
  <si>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</si>
  <si>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</si>
  <si>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</si>
  <si>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</si>
  <si>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</si>
  <si>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</si>
  <si>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</si>
  <si>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</si>
  <si>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</si>
  <si>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</si>
  <si>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</si>
  <si>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</si>
  <si>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</si>
  <si>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</si>
  <si>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</si>
  <si>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</si>
  <si>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</si>
  <si>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</si>
  <si>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</si>
  <si>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</si>
  <si>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</si>
  <si>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</si>
  <si>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</si>
  <si>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</si>
  <si>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</si>
  <si>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</si>
  <si>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</si>
  <si>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</si>
  <si>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</si>
  <si>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</si>
  <si>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</si>
  <si>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</si>
  <si>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</si>
  <si>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</si>
  <si>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</si>
  <si>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</si>
  <si>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</si>
  <si>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</si>
  <si>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</si>
  <si>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</si>
  <si>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</si>
  <si>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</si>
  <si>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</si>
  <si>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</si>
  <si>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</si>
  <si>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</si>
  <si>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</si>
  <si>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</si>
  <si>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</si>
  <si>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</si>
  <si>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</si>
  <si>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</si>
  <si>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</si>
  <si>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Quý</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</si>
  <si>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</si>
  <si>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</si>
  <si>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</si>
  <si>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</si>
  <si>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</si>
  <si>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</si>
  <si>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</si>
  <si>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</si>
  <si>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</si>
  <si>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</si>
  <si>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</si>
  <si>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</si>
  <si>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</si>
  <si>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</si>
  <si>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</si>
  <si>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</si>
  <si>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</si>
  <si>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</si>
  <si>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</si>
  <si>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</si>
  <si>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</si>
  <si>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</si>
  <si>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</si>
  <si>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</si>
  <si>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</si>
  <si>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</si>
  <si>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</si>
  <si>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</si>
  <si>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</si>
  <si>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</si>
  <si>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</si>
  <si>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</si>
  <si>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</si>
  <si>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</si>
  <si>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</si>
  <si>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</si>
  <si>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</si>
  <si>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</si>
  <si>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</si>
  <si>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</si>
  <si>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</si>
  <si>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</si>
  <si>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</si>
  <si>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</si>
  <si>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</si>
  <si>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</si>
  <si>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</si>
  <si>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</si>
  <si>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</si>
  <si>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</si>
  <si>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</si>
  <si>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</si>
  <si>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</si>
  <si>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</si>
  <si>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</si>
  <si>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</si>
  <si>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</si>
  <si>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</si>
  <si>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</si>
  <si>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</si>
  <si>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</si>
  <si>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</si>
  <si>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</si>
  <si>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</si>
  <si>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</si>
  <si>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</si>
  <si>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</si>
  <si>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</si>
  <si>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</si>
  <si>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</si>
  <si>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</si>
  <si>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</si>
  <si>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</si>
  <si>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</si>
  <si>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</si>
  <si>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</si>
  <si>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</si>
  <si>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</si>
  <si>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</si>
  <si>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</si>
  <si>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</si>
  <si>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</si>
  <si>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</si>
  <si>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</si>
  <si>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</si>
  <si>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</si>
  <si>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</si>
  <si>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</si>
  <si>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</si>
  <si>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</si>
  <si>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</si>
  <si>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</si>
  <si>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</si>
  <si>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</si>
  <si>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</si>
  <si>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</si>
  <si>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</si>
  <si>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</si>
  <si>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</si>
  <si>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</si>
  <si>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</si>
  <si>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</si>
  <si>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</si>
  <si>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</si>
  <si>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</si>
  <si>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</si>
  <si>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</si>
  <si>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</si>
  <si>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</si>
  <si>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</si>
  <si>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</si>
  <si>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</si>
  <si>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</si>
  <si>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</si>
  <si>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</si>
  <si>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</si>
  <si>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</si>
  <si>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</si>
  <si>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</si>
  <si>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</si>
  <si>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</si>
  <si>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</si>
  <si>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</si>
  <si>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</si>
  <si>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</si>
  <si>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</si>
  <si>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</si>
  <si>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</si>
  <si>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</si>
  <si>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</si>
  <si>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</si>
  <si>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</si>
  <si>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</si>
  <si>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</si>
  <si>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</si>
  <si>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</si>
  <si>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</si>
  <si>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</si>
  <si>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</si>
  <si>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</si>
  <si>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</si>
  <si>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</si>
  <si>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</si>
  <si>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</si>
  <si>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</si>
  <si>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</si>
  <si>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</si>
  <si>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</si>
  <si>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</si>
  <si>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</si>
  <si>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</si>
  <si>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</si>
  <si>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</si>
  <si>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</si>
  <si>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</si>
  <si>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</si>
  <si>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</si>
  <si>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</si>
  <si>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</si>
  <si>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</si>
  <si>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</si>
  <si>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</si>
  <si>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</si>
  <si>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</si>
  <si>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</si>
  <si>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</si>
  <si>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</si>
  <si>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</si>
  <si>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</si>
  <si>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</si>
  <si>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</si>
  <si>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</si>
  <si>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</si>
  <si>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</si>
  <si>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</si>
  <si>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</si>
  <si>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</si>
  <si>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</si>
  <si>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</si>
  <si>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</si>
  <si>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</si>
  <si>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</si>
  <si>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</si>
  <si>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</si>
  <si>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</si>
  <si>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</si>
  <si>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</si>
  <si>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</si>
  <si>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</si>
  <si>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</si>
  <si>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</si>
  <si>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</si>
  <si>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</si>
  <si>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</si>
  <si>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</si>
  <si>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</si>
  <si>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</si>
  <si>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</si>
  <si>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</si>
  <si>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</si>
  <si>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</si>
  <si>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</si>
  <si>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</si>
  <si>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</si>
  <si>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</si>
  <si>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</si>
  <si>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</si>
  <si>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</si>
  <si>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</si>
  <si>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</si>
  <si>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</si>
  <si>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</si>
  <si>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</si>
  <si>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</si>
  <si>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</si>
  <si>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</si>
  <si>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</si>
  <si>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</si>
  <si>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</si>
  <si>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</si>
  <si>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</si>
  <si>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</si>
  <si>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</si>
  <si>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</si>
  <si>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</si>
  <si>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</si>
  <si>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</si>
  <si>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</si>
  <si>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</si>
  <si>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</si>
  <si>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</si>
  <si>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</si>
  <si>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</si>
  <si>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</si>
  <si>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</si>
  <si>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</si>
  <si>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</si>
  <si>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</si>
  <si>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</si>
  <si>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</si>
  <si>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</si>
  <si>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</si>
  <si>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</si>
  <si>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</si>
  <si>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</si>
  <si>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</si>
  <si>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</si>
  <si>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</si>
  <si>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</si>
  <si>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</si>
  <si>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</si>
  <si>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</si>
  <si>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</si>
  <si>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</si>
  <si>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</si>
  <si>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</si>
  <si>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</si>
  <si>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</si>
  <si>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</si>
  <si>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</si>
  <si>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</si>
  <si>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</si>
  <si>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</si>
  <si>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</si>
  <si>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</si>
  <si>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</si>
  <si>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</si>
  <si>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</si>
  <si>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</si>
  <si>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</si>
  <si>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</si>
  <si>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</si>
  <si>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</si>
  <si>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</si>
  <si>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</si>
  <si>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</si>
  <si>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</si>
  <si>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</si>
  <si>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</si>
  <si>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</si>
  <si>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</si>
  <si>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</si>
  <si>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</si>
  <si>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</si>
  <si>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</si>
  <si>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</si>
  <si>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</si>
  <si>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</si>
  <si>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</si>
  <si>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</si>
  <si>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</si>
  <si>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</si>
  <si>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</si>
  <si>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</si>
  <si>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</si>
  <si>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</si>
  <si>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</si>
  <si>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</si>
  <si>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</si>
  <si>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</si>
  <si>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</si>
  <si>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</si>
  <si>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</si>
  <si>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</si>
  <si>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</si>
  <si>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</si>
  <si>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</si>
  <si>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</si>
  <si>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</si>
  <si>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</si>
  <si>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</si>
  <si>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</si>
  <si>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</si>
  <si>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</si>
  <si>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</si>
  <si>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</si>
  <si>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</si>
  <si>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</si>
  <si>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</si>
  <si>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</si>
  <si>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</si>
  <si>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</si>
  <si>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</si>
  <si>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</si>
  <si>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</si>
  <si>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</si>
  <si>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</si>
  <si>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</si>
  <si>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</si>
  <si>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</si>
  <si>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</si>
  <si>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</si>
  <si>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</si>
  <si>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</si>
  <si>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</si>
  <si>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</si>
  <si>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</si>
  <si>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</si>
  <si>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</si>
  <si>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</si>
  <si>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</si>
  <si>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</si>
  <si>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</si>
  <si>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</si>
  <si>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</si>
  <si>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</si>
  <si>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</si>
  <si>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</si>
  <si>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</si>
  <si>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</si>
  <si>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</si>
  <si>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</si>
  <si>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</si>
  <si>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</si>
  <si>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</si>
  <si>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</si>
  <si>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</si>
  <si>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</si>
  <si>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</si>
  <si>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Trích khấu hao quyền sử dụng đất</t>
  </si>
  <si>
    <t>Trích khấu hao nhà làm việc</t>
  </si>
  <si>
    <t>Trích khấu hao nhà xưởng</t>
  </si>
  <si>
    <t>Trích khấu hao cấp thoát nước</t>
  </si>
  <si>
    <t>Trích khấu hao phòng cháy chữa cháy</t>
  </si>
  <si>
    <t>Trích khấu hao nhà vòm</t>
  </si>
  <si>
    <t>Trích khấu hao Máy dò kim loại</t>
  </si>
  <si>
    <t>Trích khấu hao Máy đóng gói bao bì chân không</t>
  </si>
  <si>
    <t>Trích khấu hao Lò sấy điện</t>
  </si>
  <si>
    <t>Trích khấu hao Máy lạn mực</t>
  </si>
  <si>
    <t>Trích khấu hao Máy cuốn mực</t>
  </si>
  <si>
    <t>Trích khấu hao Máy xé mực</t>
  </si>
  <si>
    <t>Tiền lương phải trả cho BP quản lý</t>
  </si>
  <si>
    <t>Tiền lương phải trả cho BP Phân Xưởng</t>
  </si>
  <si>
    <t>Tiền lương công nhân trực tiếp</t>
  </si>
  <si>
    <t>BHXH khấu trừ của BP quản lý</t>
  </si>
  <si>
    <t>8%</t>
  </si>
  <si>
    <t>BHXH khấu trừ của  BP Phân Xưởng</t>
  </si>
  <si>
    <t>BHXH khấu trừ của công nhân trực tiếp</t>
  </si>
  <si>
    <t>BHXH cho BP quản lý</t>
  </si>
  <si>
    <t>18%</t>
  </si>
  <si>
    <t>BHXH phải trả cho BP Phân Xưởng</t>
  </si>
  <si>
    <t>BHXH công nhân trực tiếp</t>
  </si>
  <si>
    <t>BHYT khấu trừ của BP quản lý</t>
  </si>
  <si>
    <t>1.5%</t>
  </si>
  <si>
    <t>BHYT khấu trừ của  BP Phân Xưởng</t>
  </si>
  <si>
    <t>BHYT khấu trừ của công nhân trực tiếp</t>
  </si>
  <si>
    <t>BHYT cho BP quản lý</t>
  </si>
  <si>
    <t>3%</t>
  </si>
  <si>
    <t>BHYT phải trả cho BP Phân Xưởng</t>
  </si>
  <si>
    <t>BHYT công nhân trực tiếp</t>
  </si>
  <si>
    <t>BHTN khấu trừ của BP quản lý</t>
  </si>
  <si>
    <t>1%</t>
  </si>
  <si>
    <t>BHTN khấu trừ của  BP Phân Xưởng</t>
  </si>
  <si>
    <t>BHTN khấu trừ của công nhân trực tiếp</t>
  </si>
  <si>
    <t>BHTN của BP quản lý</t>
  </si>
  <si>
    <t>BHTN của  BP Phân Xưởng</t>
  </si>
  <si>
    <t>BHTN của công nhân trực tiếp</t>
  </si>
  <si>
    <t>131</t>
  </si>
  <si>
    <t>2143</t>
  </si>
  <si>
    <t>2141</t>
  </si>
  <si>
    <t>641</t>
  </si>
  <si>
    <t>3341</t>
  </si>
  <si>
    <t>3383</t>
  </si>
  <si>
    <t>3384</t>
  </si>
  <si>
    <t>3386</t>
  </si>
  <si>
    <t>TP/X01</t>
  </si>
  <si>
    <t>TP/X02</t>
  </si>
  <si>
    <t>SAY D.S CO., LTD</t>
  </si>
  <si>
    <t>ZHOUSHAN FOREIGN TRADE AND ECONOMY CORP., LTD</t>
  </si>
  <si>
    <t>FLAK VOSTOK LLC</t>
  </si>
  <si>
    <t>O.CHEON INDUSTRY CO.,LTD</t>
  </si>
  <si>
    <t>MORE - 2007 LLC</t>
  </si>
  <si>
    <t>BIOVITAL COMPANY</t>
  </si>
  <si>
    <t>TOKAI DENPUN</t>
  </si>
  <si>
    <t>MARKOV K.A.</t>
  </si>
  <si>
    <t>LIMITED LIABILITY COMPANY</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</si>
  <si>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</si>
  <si>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</si>
  <si>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</si>
  <si>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</si>
  <si>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</si>
  <si>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</si>
  <si>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</si>
  <si>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</si>
  <si>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</si>
  <si>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</si>
  <si>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</si>
  <si>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</si>
  <si>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</si>
  <si>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</si>
  <si>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</si>
  <si>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</si>
  <si>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</si>
  <si>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</si>
  <si>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</si>
  <si>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</si>
  <si>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</si>
  <si>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</si>
  <si>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</si>
  <si>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</si>
  <si>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Công Ty TNHH In Và SX Bao Bì Đức Mỹ</t>
  </si>
  <si>
    <t>Cty TNHH Hóa Chất Thành Phương</t>
  </si>
  <si>
    <t>Nghĩa Thành Công</t>
  </si>
  <si>
    <t>Cửa Hàng Xuân Thu</t>
  </si>
  <si>
    <t>Cty TNHH Cơ Khí Nam Thành Công</t>
  </si>
  <si>
    <t>Cty CP KD Thủy Hải Sản Sài Gòn</t>
  </si>
  <si>
    <t>Cty TNHH TM DV Toàn Nguyễn</t>
  </si>
  <si>
    <t>Cty CP Bảo Hiểm Viễn Đông (VASS)</t>
  </si>
  <si>
    <t>Cty Bảo Minh Bến Tre</t>
  </si>
  <si>
    <t>Trung Tâm Chất Lượng Nông Lâm Thủy Sản Vùng 4</t>
  </si>
  <si>
    <t>Cty CP chiếu xạ An Phú</t>
  </si>
  <si>
    <t>Trung Tâm Kỹ Thuật Tiêu Chuẩn Đo Lường Chất Lượng 3</t>
  </si>
  <si>
    <t>Cty TNHH Tốc Độ</t>
  </si>
  <si>
    <t>Cty CP Giao Nhận Vận Tải Song Tân</t>
  </si>
  <si>
    <t>Cty TNHH Dịch Vụ Giao Nhận AAAS</t>
  </si>
  <si>
    <t>Cty Điện Lực Long An</t>
  </si>
  <si>
    <t>Cty TNHH Bảo Hiểm Liberty</t>
  </si>
  <si>
    <t>Công Ty TNHH Cơ Khí Xây Dựng Đ &amp; T</t>
  </si>
  <si>
    <t>Cty TNHH TM DV Công Nghệ Thông Tin G.O.L</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</si>
  <si>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</si>
  <si>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</si>
  <si>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</si>
  <si>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</si>
  <si>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</si>
  <si>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</si>
  <si>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</si>
  <si>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</si>
  <si>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</si>
  <si>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</si>
  <si>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</si>
  <si>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</si>
  <si>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</si>
  <si>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</si>
  <si>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</si>
  <si>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</si>
  <si>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</si>
  <si>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Sorbitol</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</si>
  <si>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</si>
  <si>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</si>
  <si>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</si>
  <si>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</si>
  <si>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</si>
  <si>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</si>
  <si>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</si>
  <si>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</si>
  <si>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</si>
  <si>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</si>
  <si>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</si>
  <si>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</si>
  <si>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</si>
  <si>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</si>
  <si>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</si>
  <si>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</si>
  <si>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</si>
  <si>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</si>
  <si>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</si>
  <si>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</si>
  <si>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</si>
  <si>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</si>
  <si>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</si>
  <si>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</si>
  <si>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</si>
  <si>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</si>
  <si>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</si>
  <si>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</si>
  <si>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</si>
  <si>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</si>
  <si>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</si>
  <si>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</si>
  <si>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</si>
  <si>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</si>
  <si>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</si>
  <si>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</si>
  <si>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</si>
  <si>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</si>
  <si>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</si>
  <si>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</si>
  <si>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</si>
  <si>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</si>
  <si>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</si>
  <si>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</si>
  <si>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</si>
  <si>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</si>
  <si>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</si>
  <si>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</si>
  <si>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</si>
  <si>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</si>
  <si>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</si>
  <si>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</si>
  <si>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</si>
  <si>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</si>
  <si>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</si>
  <si>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</si>
  <si>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</si>
  <si>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</si>
  <si>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</si>
  <si>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</si>
  <si>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</si>
  <si>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</si>
  <si>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</si>
  <si>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</si>
  <si>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</si>
  <si>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</si>
  <si>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</si>
  <si>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</si>
  <si>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</si>
  <si>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</si>
  <si>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</si>
  <si>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</si>
  <si>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</si>
  <si>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</si>
  <si>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</si>
  <si>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</si>
  <si>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</si>
  <si>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</si>
  <si>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</si>
  <si>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</si>
  <si>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</si>
  <si>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</si>
  <si>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</si>
  <si>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</si>
  <si>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</si>
  <si>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</si>
  <si>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</si>
  <si>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</si>
  <si>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</si>
  <si>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</si>
  <si>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</si>
  <si>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</si>
  <si>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</si>
  <si>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</si>
  <si>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</si>
  <si>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</si>
  <si>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</si>
  <si>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Thanh toán tiền sorbitol - Thành Phương</t>
  </si>
  <si>
    <t>Q11 - Phí chuyển tiền</t>
  </si>
  <si>
    <t xml:space="preserve">Q11 - Nộp thuế Môn bài 2016 </t>
  </si>
  <si>
    <t>Q11 - Thanh toán tiền điện Kỳ 3 T12/2016 - Điện Lực</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</si>
  <si>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</si>
  <si>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</si>
  <si>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</si>
  <si>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</si>
  <si>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</si>
  <si>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</si>
  <si>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</si>
  <si>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</si>
  <si>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</si>
  <si>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</si>
  <si>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</si>
  <si>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Q11 - Thanh toán tiền điện Kỳ 1 T1/2016 - Điện Lực</t>
  </si>
  <si>
    <t>Q11 - Thanh toán tiền BHLĐ - Hoàng Hải</t>
  </si>
  <si>
    <t>Q11 - Thanh toán phí kiểm nghiệm T12/2015 - Vùng 4</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</si>
  <si>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</si>
  <si>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</si>
  <si>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</si>
  <si>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</si>
  <si>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</si>
  <si>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</si>
  <si>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</si>
  <si>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</si>
  <si>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</si>
  <si>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</si>
  <si>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</si>
  <si>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</si>
  <si>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</si>
  <si>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</si>
  <si>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</si>
  <si>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</si>
  <si>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</si>
  <si>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</si>
  <si>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</si>
  <si>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</si>
  <si>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</si>
  <si>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</si>
  <si>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</si>
  <si>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</si>
  <si>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</si>
  <si>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</si>
  <si>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</si>
  <si>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</si>
  <si>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</si>
  <si>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</si>
  <si>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</si>
  <si>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</si>
  <si>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</si>
  <si>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</si>
  <si>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</si>
  <si>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</si>
  <si>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</si>
  <si>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</si>
  <si>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</si>
  <si>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</si>
  <si>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</si>
  <si>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</si>
  <si>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</si>
  <si>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</si>
  <si>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</si>
  <si>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</si>
  <si>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</si>
  <si>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</si>
  <si>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</si>
  <si>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</si>
  <si>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</si>
  <si>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</si>
  <si>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</si>
  <si>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</si>
  <si>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</si>
  <si>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</si>
  <si>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</si>
  <si>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</si>
  <si>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</si>
  <si>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</si>
  <si>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</si>
  <si>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</si>
  <si>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</si>
  <si>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</si>
  <si>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</si>
  <si>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</si>
  <si>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</si>
  <si>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</si>
  <si>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</si>
  <si>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</si>
  <si>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</si>
  <si>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</si>
  <si>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</si>
  <si>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</si>
  <si>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</si>
  <si>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</si>
  <si>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</si>
  <si>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</si>
  <si>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</si>
  <si>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</si>
  <si>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</si>
  <si>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</si>
  <si>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</si>
  <si>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</si>
  <si>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</si>
  <si>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</si>
  <si>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</si>
  <si>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</si>
  <si>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</si>
  <si>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</si>
  <si>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</si>
  <si>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</si>
  <si>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</si>
  <si>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</si>
  <si>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</si>
  <si>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</si>
  <si>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</si>
  <si>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</si>
  <si>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</si>
  <si>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</si>
  <si>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</si>
  <si>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</si>
  <si>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</si>
  <si>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</si>
  <si>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</si>
  <si>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</si>
  <si>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</si>
  <si>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</si>
  <si>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</si>
  <si>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</si>
  <si>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</si>
  <si>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</si>
  <si>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</si>
  <si>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</si>
  <si>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</si>
  <si>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</si>
  <si>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</si>
  <si>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</si>
  <si>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</si>
  <si>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</si>
  <si>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</si>
  <si>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</si>
  <si>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</si>
  <si>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</si>
  <si>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</si>
  <si>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</si>
  <si>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</si>
  <si>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</si>
  <si>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</si>
  <si>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</si>
  <si>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</si>
  <si>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</si>
  <si>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</si>
  <si>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</si>
  <si>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</si>
  <si>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</si>
  <si>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</si>
  <si>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</si>
  <si>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</si>
  <si>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</si>
  <si>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</si>
  <si>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</si>
  <si>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</si>
  <si>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</si>
  <si>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</si>
  <si>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</si>
  <si>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</si>
  <si>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</si>
  <si>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</si>
  <si>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</si>
  <si>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</si>
  <si>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</si>
  <si>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</si>
  <si>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</si>
  <si>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</si>
  <si>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</si>
  <si>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</si>
  <si>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</si>
  <si>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</si>
  <si>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</si>
  <si>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</si>
  <si>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</si>
  <si>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</si>
  <si>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</si>
  <si>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</si>
  <si>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</si>
  <si>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</si>
  <si>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</si>
  <si>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</si>
  <si>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</si>
  <si>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</si>
  <si>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</si>
  <si>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</si>
  <si>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TP</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</si>
</sst>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97">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14" fontId="90" fillId="0" borderId="16" xfId="90" applyNumberFormat="1" applyFont="1" applyFill="1" applyBorder="1" applyAlignment="1">
      <alignment horizontal="center" vertical="center"/>
    </xf>
    <xf numFmtId="164" fontId="90" fillId="0" borderId="16" xfId="90" applyNumberFormat="1" applyFont="1" applyFill="1" applyBorder="1" applyAlignment="1">
      <alignment horizontal="left" vertical="center"/>
    </xf>
    <xf numFmtId="164" fontId="90"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164" fontId="97" fillId="0" borderId="16" xfId="54" applyNumberFormat="1" applyFont="1" applyFill="1" applyBorder="1" applyAlignment="1">
      <alignment horizontal="left" vertical="center" wrapText="1"/>
    </xf>
    <xf numFmtId="164" fontId="97" fillId="0" borderId="16" xfId="0" applyNumberFormat="1" applyFont="1" applyFill="1" applyBorder="1" applyAlignment="1">
      <alignment vertical="center"/>
    </xf>
    <xf numFmtId="14" fontId="99" fillId="0" borderId="16" xfId="54" applyNumberFormat="1" applyFont="1" applyFill="1" applyBorder="1" applyAlignment="1">
      <alignment horizontal="center" vertical="center"/>
    </xf>
    <xf numFmtId="164" fontId="99" fillId="0" borderId="16" xfId="54" applyNumberFormat="1" applyFont="1" applyFill="1" applyBorder="1" applyAlignment="1">
      <alignment horizontal="left" vertical="center"/>
    </xf>
    <xf numFmtId="164" fontId="34" fillId="0" borderId="16" xfId="54" applyNumberFormat="1" applyFont="1" applyFill="1" applyBorder="1" applyAlignment="1">
      <alignment horizontal="left" vertical="center" wrapText="1"/>
    </xf>
    <xf numFmtId="164" fontId="34" fillId="0" borderId="16" xfId="54" quotePrefix="1" applyNumberFormat="1" applyFont="1" applyFill="1" applyBorder="1" applyAlignment="1">
      <alignment horizontal="left" vertical="center" wrapText="1"/>
    </xf>
    <xf numFmtId="0" fontId="90" fillId="0" borderId="16" xfId="90"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97" fillId="0" borderId="16" xfId="54" quotePrefix="1" applyNumberFormat="1" applyFont="1" applyFill="1" applyBorder="1" applyAlignment="1">
      <alignment horizontal="center" vertical="center"/>
    </xf>
    <xf numFmtId="164" fontId="99" fillId="0" borderId="16" xfId="0" applyNumberFormat="1" applyFont="1" applyFill="1" applyBorder="1" applyAlignment="1">
      <alignment vertical="center"/>
    </xf>
    <xf numFmtId="0" fontId="99" fillId="0" borderId="16" xfId="54" quotePrefix="1" applyNumberFormat="1" applyFont="1" applyFill="1" applyBorder="1" applyAlignment="1">
      <alignment horizontal="center" vertical="center"/>
    </xf>
    <xf numFmtId="1" fontId="99" fillId="0" borderId="16" xfId="54" quotePrefix="1" applyNumberFormat="1" applyFont="1" applyFill="1" applyBorder="1" applyAlignment="1">
      <alignment horizontal="center" vertical="center"/>
    </xf>
    <xf numFmtId="1" fontId="99"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164" fontId="34" fillId="0" borderId="23" xfId="74" applyNumberFormat="1" applyFont="1" applyBorder="1" applyAlignment="1">
      <alignment horizontal="center" vertical="center"/>
    </xf>
    <xf numFmtId="43" fontId="34" fillId="0" borderId="23" xfId="74" applyFont="1" applyBorder="1" applyAlignment="1">
      <alignment horizontal="center" vertical="center"/>
    </xf>
    <xf numFmtId="164" fontId="34" fillId="0" borderId="19" xfId="74" applyNumberFormat="1" applyFont="1" applyBorder="1" applyAlignment="1">
      <alignment vertical="center"/>
    </xf>
    <xf numFmtId="43" fontId="34" fillId="0" borderId="19" xfId="74" applyFont="1" applyBorder="1" applyAlignment="1">
      <alignment vertical="center"/>
    </xf>
    <xf numFmtId="0" fontId="35" fillId="0" borderId="19" xfId="53" applyFont="1" applyBorder="1" applyAlignment="1">
      <alignment vertical="center"/>
    </xf>
    <xf numFmtId="3" fontId="34" fillId="0" borderId="19" xfId="46" applyFont="1" applyBorder="1" applyAlignment="1">
      <alignment horizontal="center"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0" fontId="34" fillId="0" borderId="16" xfId="52"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0" fontId="33" fillId="0" borderId="44" xfId="52" applyFont="1" applyBorder="1" applyAlignment="1">
      <alignment horizontal="center" vertical="center"/>
    </xf>
    <xf numFmtId="0" fontId="33" fillId="0" borderId="44" xfId="52" applyFont="1" applyBorder="1" applyAlignment="1">
      <alignment horizontal="left" vertical="center"/>
    </xf>
    <xf numFmtId="0" fontId="33" fillId="0" borderId="44"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164" fontId="90" fillId="0" borderId="16" xfId="0" quotePrefix="1" applyNumberFormat="1" applyFont="1" applyFill="1" applyBorder="1" applyAlignment="1">
      <alignment vertical="center"/>
    </xf>
    <xf numFmtId="0" fontId="33" fillId="0" borderId="0" xfId="99" applyFont="1" applyAlignment="1">
      <alignment horizontal="center"/>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8" fillId="0" borderId="0" xfId="52"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164" fontId="34" fillId="0" borderId="21" xfId="76" quotePrefix="1" applyNumberFormat="1" applyFont="1" applyFill="1" applyBorder="1" applyAlignment="1">
      <alignment horizontal="center" vertical="center" wrapText="1"/>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16" xfId="29" applyNumberFormat="1" applyFont="1" applyFill="1" applyBorder="1" applyAlignment="1">
      <alignment vertical="center" wrapText="1"/>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7">
    <dxf>
      <fill>
        <patternFill patternType="none">
          <bgColor indexed="65"/>
        </patternFill>
      </fill>
      <border>
        <left style="thin">
          <color indexed="64"/>
        </left>
        <right style="thin">
          <color indexed="64"/>
        </right>
        <top style="hair">
          <color indexed="64"/>
        </top>
        <bottom style="hair">
          <color indexed="64"/>
        </bottom>
      </border>
    </dxf>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31%20-%20331%20-%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gram%20Files/vnTools/Ufunctions.xla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1"/>
      <sheetName val="131-TH"/>
      <sheetName val="131-CT"/>
      <sheetName val="331"/>
      <sheetName val="331 - TH"/>
      <sheetName val="331-CT"/>
    </sheetNames>
    <sheetDataSet>
      <sheetData sheetId="0"/>
      <sheetData sheetId="1">
        <row r="5">
          <cell r="H5">
            <v>79520</v>
          </cell>
          <cell r="I5">
            <v>1778464800</v>
          </cell>
          <cell r="K5">
            <v>0</v>
          </cell>
        </row>
        <row r="6">
          <cell r="H6">
            <v>41760</v>
          </cell>
          <cell r="I6">
            <v>933962400</v>
          </cell>
          <cell r="K6">
            <v>0</v>
          </cell>
        </row>
        <row r="7">
          <cell r="I7">
            <v>0</v>
          </cell>
          <cell r="J7">
            <v>39553.120000000003</v>
          </cell>
          <cell r="K7">
            <v>882430107</v>
          </cell>
        </row>
        <row r="8">
          <cell r="I8">
            <v>0</v>
          </cell>
          <cell r="J8">
            <v>11</v>
          </cell>
          <cell r="K8">
            <v>245410</v>
          </cell>
        </row>
        <row r="9">
          <cell r="I9">
            <v>0</v>
          </cell>
          <cell r="J9">
            <v>30.38</v>
          </cell>
          <cell r="K9">
            <v>677778</v>
          </cell>
        </row>
        <row r="10">
          <cell r="I10">
            <v>0</v>
          </cell>
          <cell r="J10">
            <v>5.5</v>
          </cell>
          <cell r="K10">
            <v>122705</v>
          </cell>
        </row>
        <row r="11">
          <cell r="I11">
            <v>0</v>
          </cell>
          <cell r="J11">
            <v>71518.62</v>
          </cell>
          <cell r="K11">
            <v>1595580412</v>
          </cell>
        </row>
        <row r="12">
          <cell r="I12">
            <v>0</v>
          </cell>
          <cell r="J12">
            <v>11</v>
          </cell>
          <cell r="K12">
            <v>245410</v>
          </cell>
        </row>
        <row r="13">
          <cell r="I13">
            <v>0</v>
          </cell>
          <cell r="J13">
            <v>30.38</v>
          </cell>
          <cell r="K13">
            <v>677778</v>
          </cell>
        </row>
        <row r="14">
          <cell r="I14">
            <v>0</v>
          </cell>
          <cell r="J14">
            <v>4819.12</v>
          </cell>
          <cell r="K14">
            <v>107514567</v>
          </cell>
        </row>
        <row r="15">
          <cell r="I15">
            <v>0</v>
          </cell>
          <cell r="K15">
            <v>0</v>
          </cell>
        </row>
        <row r="16">
          <cell r="I16">
            <v>0</v>
          </cell>
          <cell r="K16">
            <v>0</v>
          </cell>
        </row>
        <row r="17">
          <cell r="I17">
            <v>0</v>
          </cell>
          <cell r="K17">
            <v>0</v>
          </cell>
        </row>
        <row r="18">
          <cell r="I18">
            <v>0</v>
          </cell>
          <cell r="K18">
            <v>0</v>
          </cell>
        </row>
        <row r="19">
          <cell r="I19">
            <v>0</v>
          </cell>
          <cell r="K19">
            <v>0</v>
          </cell>
        </row>
        <row r="20">
          <cell r="I20">
            <v>0</v>
          </cell>
          <cell r="K20">
            <v>0</v>
          </cell>
        </row>
        <row r="21">
          <cell r="I21">
            <v>0</v>
          </cell>
          <cell r="K21">
            <v>0</v>
          </cell>
        </row>
        <row r="22">
          <cell r="I22">
            <v>0</v>
          </cell>
          <cell r="K22">
            <v>0</v>
          </cell>
        </row>
        <row r="23">
          <cell r="I23">
            <v>0</v>
          </cell>
          <cell r="K23">
            <v>0</v>
          </cell>
        </row>
        <row r="24">
          <cell r="I24">
            <v>0</v>
          </cell>
          <cell r="K24">
            <v>0</v>
          </cell>
        </row>
        <row r="25">
          <cell r="I25">
            <v>0</v>
          </cell>
          <cell r="K25">
            <v>0</v>
          </cell>
        </row>
        <row r="26">
          <cell r="I26">
            <v>0</v>
          </cell>
          <cell r="K26">
            <v>0</v>
          </cell>
        </row>
        <row r="27">
          <cell r="I27">
            <v>0</v>
          </cell>
          <cell r="K27">
            <v>0</v>
          </cell>
        </row>
        <row r="28">
          <cell r="I28">
            <v>0</v>
          </cell>
          <cell r="K28">
            <v>0</v>
          </cell>
        </row>
        <row r="29">
          <cell r="I29">
            <v>0</v>
          </cell>
          <cell r="K29">
            <v>0</v>
          </cell>
        </row>
        <row r="30">
          <cell r="I30">
            <v>0</v>
          </cell>
          <cell r="K30">
            <v>0</v>
          </cell>
        </row>
        <row r="31">
          <cell r="I31">
            <v>0</v>
          </cell>
          <cell r="K31">
            <v>0</v>
          </cell>
        </row>
        <row r="32">
          <cell r="I32">
            <v>0</v>
          </cell>
          <cell r="K32">
            <v>0</v>
          </cell>
        </row>
        <row r="33">
          <cell r="I33">
            <v>0</v>
          </cell>
          <cell r="K33">
            <v>0</v>
          </cell>
        </row>
        <row r="34">
          <cell r="I34">
            <v>0</v>
          </cell>
          <cell r="K34">
            <v>0</v>
          </cell>
        </row>
        <row r="35">
          <cell r="I35">
            <v>0</v>
          </cell>
          <cell r="K35">
            <v>0</v>
          </cell>
        </row>
        <row r="36">
          <cell r="I36">
            <v>0</v>
          </cell>
          <cell r="K36">
            <v>0</v>
          </cell>
        </row>
        <row r="37">
          <cell r="I37">
            <v>0</v>
          </cell>
          <cell r="K37">
            <v>0</v>
          </cell>
        </row>
        <row r="38">
          <cell r="I38">
            <v>0</v>
          </cell>
          <cell r="K38">
            <v>0</v>
          </cell>
        </row>
        <row r="39">
          <cell r="I39">
            <v>0</v>
          </cell>
          <cell r="K39">
            <v>0</v>
          </cell>
        </row>
        <row r="40">
          <cell r="I40">
            <v>0</v>
          </cell>
          <cell r="K40">
            <v>0</v>
          </cell>
        </row>
        <row r="41">
          <cell r="I41">
            <v>0</v>
          </cell>
          <cell r="K41">
            <v>0</v>
          </cell>
        </row>
        <row r="42">
          <cell r="I42">
            <v>0</v>
          </cell>
          <cell r="K42">
            <v>0</v>
          </cell>
        </row>
        <row r="43">
          <cell r="I43">
            <v>0</v>
          </cell>
          <cell r="K43">
            <v>0</v>
          </cell>
        </row>
        <row r="44">
          <cell r="I44">
            <v>0</v>
          </cell>
          <cell r="K44">
            <v>0</v>
          </cell>
        </row>
        <row r="45">
          <cell r="I45">
            <v>0</v>
          </cell>
          <cell r="K45">
            <v>0</v>
          </cell>
        </row>
        <row r="46">
          <cell r="I46">
            <v>0</v>
          </cell>
          <cell r="K46">
            <v>0</v>
          </cell>
        </row>
        <row r="47">
          <cell r="I47">
            <v>0</v>
          </cell>
          <cell r="K47">
            <v>0</v>
          </cell>
        </row>
        <row r="48">
          <cell r="I48">
            <v>0</v>
          </cell>
          <cell r="K48">
            <v>0</v>
          </cell>
        </row>
        <row r="49">
          <cell r="I49">
            <v>0</v>
          </cell>
          <cell r="K49">
            <v>0</v>
          </cell>
        </row>
        <row r="50">
          <cell r="I50">
            <v>0</v>
          </cell>
          <cell r="K50">
            <v>0</v>
          </cell>
        </row>
        <row r="51">
          <cell r="I51">
            <v>0</v>
          </cell>
          <cell r="K51">
            <v>0</v>
          </cell>
        </row>
        <row r="52">
          <cell r="I52">
            <v>0</v>
          </cell>
          <cell r="K52">
            <v>0</v>
          </cell>
        </row>
        <row r="53">
          <cell r="I53">
            <v>0</v>
          </cell>
          <cell r="K53">
            <v>0</v>
          </cell>
        </row>
        <row r="54">
          <cell r="I54">
            <v>0</v>
          </cell>
          <cell r="K54">
            <v>0</v>
          </cell>
        </row>
        <row r="55">
          <cell r="I55">
            <v>0</v>
          </cell>
          <cell r="K55">
            <v>0</v>
          </cell>
        </row>
        <row r="56">
          <cell r="I56">
            <v>0</v>
          </cell>
          <cell r="K56">
            <v>0</v>
          </cell>
        </row>
        <row r="57">
          <cell r="I57">
            <v>0</v>
          </cell>
          <cell r="K57">
            <v>0</v>
          </cell>
        </row>
        <row r="58">
          <cell r="I58">
            <v>0</v>
          </cell>
          <cell r="K58">
            <v>0</v>
          </cell>
        </row>
        <row r="59">
          <cell r="I59">
            <v>0</v>
          </cell>
          <cell r="K59">
            <v>0</v>
          </cell>
        </row>
        <row r="60">
          <cell r="I60">
            <v>0</v>
          </cell>
          <cell r="K60">
            <v>0</v>
          </cell>
        </row>
        <row r="61">
          <cell r="I61">
            <v>0</v>
          </cell>
          <cell r="K61">
            <v>0</v>
          </cell>
        </row>
        <row r="62">
          <cell r="I62">
            <v>0</v>
          </cell>
          <cell r="K62">
            <v>0</v>
          </cell>
        </row>
        <row r="63">
          <cell r="I63">
            <v>0</v>
          </cell>
          <cell r="K63">
            <v>0</v>
          </cell>
        </row>
        <row r="64">
          <cell r="I64">
            <v>0</v>
          </cell>
          <cell r="K64">
            <v>0</v>
          </cell>
        </row>
        <row r="65">
          <cell r="I65">
            <v>0</v>
          </cell>
          <cell r="K65">
            <v>0</v>
          </cell>
        </row>
        <row r="66">
          <cell r="I66">
            <v>0</v>
          </cell>
          <cell r="K66">
            <v>0</v>
          </cell>
        </row>
        <row r="67">
          <cell r="I67">
            <v>0</v>
          </cell>
          <cell r="K67">
            <v>0</v>
          </cell>
        </row>
        <row r="68">
          <cell r="I68">
            <v>0</v>
          </cell>
          <cell r="K68">
            <v>0</v>
          </cell>
        </row>
        <row r="69">
          <cell r="I69">
            <v>0</v>
          </cell>
          <cell r="K69">
            <v>0</v>
          </cell>
        </row>
        <row r="70">
          <cell r="I70">
            <v>0</v>
          </cell>
          <cell r="K70">
            <v>0</v>
          </cell>
        </row>
        <row r="71">
          <cell r="I71">
            <v>0</v>
          </cell>
          <cell r="K71">
            <v>0</v>
          </cell>
        </row>
        <row r="72">
          <cell r="I72">
            <v>0</v>
          </cell>
          <cell r="K72">
            <v>0</v>
          </cell>
        </row>
        <row r="73">
          <cell r="I73">
            <v>0</v>
          </cell>
          <cell r="K73">
            <v>0</v>
          </cell>
        </row>
        <row r="74">
          <cell r="I74">
            <v>0</v>
          </cell>
          <cell r="K74">
            <v>0</v>
          </cell>
        </row>
        <row r="75">
          <cell r="I75">
            <v>0</v>
          </cell>
          <cell r="K75">
            <v>0</v>
          </cell>
        </row>
        <row r="76">
          <cell r="I76">
            <v>0</v>
          </cell>
          <cell r="K76">
            <v>0</v>
          </cell>
        </row>
        <row r="77">
          <cell r="I77">
            <v>0</v>
          </cell>
          <cell r="K77">
            <v>0</v>
          </cell>
        </row>
        <row r="78">
          <cell r="I78">
            <v>0</v>
          </cell>
          <cell r="K78">
            <v>0</v>
          </cell>
        </row>
        <row r="79">
          <cell r="I79">
            <v>0</v>
          </cell>
          <cell r="K79">
            <v>0</v>
          </cell>
        </row>
        <row r="80">
          <cell r="I80">
            <v>0</v>
          </cell>
          <cell r="K80">
            <v>0</v>
          </cell>
        </row>
        <row r="81">
          <cell r="I81">
            <v>0</v>
          </cell>
          <cell r="K81">
            <v>0</v>
          </cell>
        </row>
        <row r="82">
          <cell r="I82">
            <v>0</v>
          </cell>
          <cell r="K82">
            <v>0</v>
          </cell>
        </row>
        <row r="83">
          <cell r="I83">
            <v>0</v>
          </cell>
          <cell r="K83">
            <v>0</v>
          </cell>
        </row>
        <row r="84">
          <cell r="I84">
            <v>0</v>
          </cell>
          <cell r="K84">
            <v>0</v>
          </cell>
        </row>
        <row r="85">
          <cell r="I85">
            <v>0</v>
          </cell>
          <cell r="K85">
            <v>0</v>
          </cell>
        </row>
        <row r="86">
          <cell r="I86">
            <v>0</v>
          </cell>
          <cell r="K86">
            <v>0</v>
          </cell>
        </row>
        <row r="87">
          <cell r="I87">
            <v>0</v>
          </cell>
          <cell r="K87">
            <v>0</v>
          </cell>
        </row>
        <row r="88">
          <cell r="I88">
            <v>0</v>
          </cell>
          <cell r="K88">
            <v>0</v>
          </cell>
        </row>
        <row r="89">
          <cell r="I89">
            <v>0</v>
          </cell>
          <cell r="K89">
            <v>0</v>
          </cell>
        </row>
        <row r="90">
          <cell r="I90">
            <v>0</v>
          </cell>
          <cell r="K90">
            <v>0</v>
          </cell>
        </row>
        <row r="91">
          <cell r="I91">
            <v>0</v>
          </cell>
          <cell r="K91">
            <v>0</v>
          </cell>
        </row>
        <row r="92">
          <cell r="I92">
            <v>0</v>
          </cell>
          <cell r="K92">
            <v>0</v>
          </cell>
        </row>
        <row r="93">
          <cell r="I93">
            <v>0</v>
          </cell>
          <cell r="K93">
            <v>0</v>
          </cell>
        </row>
        <row r="94">
          <cell r="I94">
            <v>0</v>
          </cell>
          <cell r="K94">
            <v>0</v>
          </cell>
        </row>
        <row r="95">
          <cell r="I95">
            <v>0</v>
          </cell>
          <cell r="K95">
            <v>0</v>
          </cell>
        </row>
        <row r="96">
          <cell r="I96">
            <v>0</v>
          </cell>
          <cell r="K96">
            <v>0</v>
          </cell>
        </row>
        <row r="97">
          <cell r="I97">
            <v>0</v>
          </cell>
          <cell r="K97">
            <v>0</v>
          </cell>
        </row>
        <row r="98">
          <cell r="I98">
            <v>0</v>
          </cell>
          <cell r="K98">
            <v>0</v>
          </cell>
        </row>
        <row r="99">
          <cell r="I99">
            <v>0</v>
          </cell>
          <cell r="K99">
            <v>0</v>
          </cell>
        </row>
        <row r="100">
          <cell r="I100">
            <v>0</v>
          </cell>
          <cell r="K100">
            <v>0</v>
          </cell>
        </row>
        <row r="101">
          <cell r="I101">
            <v>0</v>
          </cell>
          <cell r="K101">
            <v>0</v>
          </cell>
        </row>
        <row r="102">
          <cell r="I102">
            <v>0</v>
          </cell>
          <cell r="K102">
            <v>0</v>
          </cell>
        </row>
        <row r="103">
          <cell r="I103">
            <v>0</v>
          </cell>
          <cell r="K103">
            <v>0</v>
          </cell>
        </row>
        <row r="104">
          <cell r="I104">
            <v>0</v>
          </cell>
          <cell r="K104">
            <v>0</v>
          </cell>
        </row>
        <row r="105">
          <cell r="I105">
            <v>0</v>
          </cell>
          <cell r="K105">
            <v>0</v>
          </cell>
        </row>
        <row r="106">
          <cell r="I106">
            <v>0</v>
          </cell>
          <cell r="K106">
            <v>0</v>
          </cell>
        </row>
        <row r="107">
          <cell r="I107">
            <v>0</v>
          </cell>
          <cell r="K107">
            <v>0</v>
          </cell>
        </row>
        <row r="108">
          <cell r="I108">
            <v>0</v>
          </cell>
          <cell r="K108">
            <v>0</v>
          </cell>
        </row>
        <row r="109">
          <cell r="I109">
            <v>0</v>
          </cell>
          <cell r="K109">
            <v>0</v>
          </cell>
        </row>
        <row r="110">
          <cell r="I110">
            <v>0</v>
          </cell>
          <cell r="K110">
            <v>0</v>
          </cell>
        </row>
        <row r="111">
          <cell r="I111">
            <v>0</v>
          </cell>
          <cell r="K111">
            <v>0</v>
          </cell>
        </row>
        <row r="112">
          <cell r="I112">
            <v>0</v>
          </cell>
          <cell r="K112">
            <v>0</v>
          </cell>
        </row>
        <row r="113">
          <cell r="I113">
            <v>0</v>
          </cell>
          <cell r="K113">
            <v>0</v>
          </cell>
        </row>
        <row r="114">
          <cell r="I114">
            <v>0</v>
          </cell>
          <cell r="K114">
            <v>0</v>
          </cell>
        </row>
        <row r="115">
          <cell r="I115">
            <v>0</v>
          </cell>
          <cell r="K115">
            <v>0</v>
          </cell>
        </row>
        <row r="116">
          <cell r="I116">
            <v>0</v>
          </cell>
          <cell r="K116">
            <v>0</v>
          </cell>
        </row>
        <row r="117">
          <cell r="I117">
            <v>0</v>
          </cell>
          <cell r="K117">
            <v>0</v>
          </cell>
        </row>
        <row r="118">
          <cell r="I118">
            <v>0</v>
          </cell>
          <cell r="K118">
            <v>0</v>
          </cell>
        </row>
        <row r="119">
          <cell r="I119">
            <v>0</v>
          </cell>
          <cell r="K119">
            <v>0</v>
          </cell>
        </row>
        <row r="120">
          <cell r="I120">
            <v>0</v>
          </cell>
          <cell r="K120">
            <v>0</v>
          </cell>
        </row>
        <row r="121">
          <cell r="I121">
            <v>0</v>
          </cell>
          <cell r="K121">
            <v>0</v>
          </cell>
        </row>
        <row r="122">
          <cell r="I122">
            <v>0</v>
          </cell>
          <cell r="K122">
            <v>0</v>
          </cell>
        </row>
        <row r="123">
          <cell r="I123">
            <v>0</v>
          </cell>
          <cell r="K123">
            <v>0</v>
          </cell>
        </row>
        <row r="124">
          <cell r="I124">
            <v>0</v>
          </cell>
          <cell r="K124">
            <v>0</v>
          </cell>
        </row>
        <row r="125">
          <cell r="I125">
            <v>0</v>
          </cell>
          <cell r="K125">
            <v>0</v>
          </cell>
        </row>
        <row r="126">
          <cell r="I126">
            <v>0</v>
          </cell>
          <cell r="K126">
            <v>0</v>
          </cell>
        </row>
        <row r="127">
          <cell r="I127">
            <v>0</v>
          </cell>
          <cell r="K127">
            <v>0</v>
          </cell>
        </row>
        <row r="128">
          <cell r="I128">
            <v>0</v>
          </cell>
          <cell r="K128">
            <v>0</v>
          </cell>
        </row>
        <row r="129">
          <cell r="I129">
            <v>0</v>
          </cell>
          <cell r="K129">
            <v>0</v>
          </cell>
        </row>
        <row r="130">
          <cell r="I130">
            <v>0</v>
          </cell>
          <cell r="K130">
            <v>0</v>
          </cell>
        </row>
        <row r="131">
          <cell r="I131">
            <v>0</v>
          </cell>
          <cell r="K131">
            <v>0</v>
          </cell>
        </row>
        <row r="132">
          <cell r="I132">
            <v>0</v>
          </cell>
          <cell r="K132">
            <v>0</v>
          </cell>
        </row>
        <row r="133">
          <cell r="I133">
            <v>0</v>
          </cell>
          <cell r="K133">
            <v>0</v>
          </cell>
        </row>
        <row r="134">
          <cell r="I134">
            <v>0</v>
          </cell>
          <cell r="K134">
            <v>0</v>
          </cell>
        </row>
        <row r="135">
          <cell r="I135">
            <v>0</v>
          </cell>
          <cell r="K135">
            <v>0</v>
          </cell>
        </row>
        <row r="136">
          <cell r="I136">
            <v>0</v>
          </cell>
          <cell r="K136">
            <v>0</v>
          </cell>
        </row>
        <row r="137">
          <cell r="I137">
            <v>0</v>
          </cell>
          <cell r="K137">
            <v>0</v>
          </cell>
        </row>
        <row r="138">
          <cell r="I138">
            <v>0</v>
          </cell>
          <cell r="K138">
            <v>0</v>
          </cell>
        </row>
        <row r="139">
          <cell r="I139">
            <v>0</v>
          </cell>
          <cell r="K139">
            <v>0</v>
          </cell>
        </row>
        <row r="140">
          <cell r="I140">
            <v>0</v>
          </cell>
          <cell r="K140">
            <v>0</v>
          </cell>
        </row>
        <row r="141">
          <cell r="I141">
            <v>0</v>
          </cell>
          <cell r="K141">
            <v>0</v>
          </cell>
        </row>
        <row r="142">
          <cell r="I142">
            <v>0</v>
          </cell>
          <cell r="K142">
            <v>0</v>
          </cell>
        </row>
        <row r="143">
          <cell r="I143">
            <v>0</v>
          </cell>
          <cell r="K143">
            <v>0</v>
          </cell>
        </row>
        <row r="144">
          <cell r="I144">
            <v>0</v>
          </cell>
          <cell r="K144">
            <v>0</v>
          </cell>
        </row>
        <row r="145">
          <cell r="I145">
            <v>0</v>
          </cell>
          <cell r="K145">
            <v>0</v>
          </cell>
        </row>
        <row r="146">
          <cell r="I146">
            <v>0</v>
          </cell>
          <cell r="K146">
            <v>0</v>
          </cell>
        </row>
        <row r="147">
          <cell r="I147">
            <v>0</v>
          </cell>
          <cell r="K147">
            <v>0</v>
          </cell>
        </row>
        <row r="148">
          <cell r="I148">
            <v>0</v>
          </cell>
          <cell r="K148">
            <v>0</v>
          </cell>
        </row>
        <row r="149">
          <cell r="I149">
            <v>0</v>
          </cell>
          <cell r="K149">
            <v>0</v>
          </cell>
        </row>
        <row r="150">
          <cell r="I150">
            <v>0</v>
          </cell>
          <cell r="K150">
            <v>0</v>
          </cell>
        </row>
        <row r="151">
          <cell r="I151">
            <v>0</v>
          </cell>
          <cell r="K151">
            <v>0</v>
          </cell>
        </row>
        <row r="152">
          <cell r="I152">
            <v>0</v>
          </cell>
          <cell r="K152">
            <v>0</v>
          </cell>
        </row>
        <row r="153">
          <cell r="I153">
            <v>0</v>
          </cell>
          <cell r="K153">
            <v>0</v>
          </cell>
        </row>
        <row r="154">
          <cell r="I154">
            <v>0</v>
          </cell>
          <cell r="K154">
            <v>0</v>
          </cell>
        </row>
        <row r="155">
          <cell r="I155">
            <v>0</v>
          </cell>
          <cell r="K155">
            <v>0</v>
          </cell>
        </row>
        <row r="156">
          <cell r="I156">
            <v>0</v>
          </cell>
          <cell r="K156">
            <v>0</v>
          </cell>
        </row>
        <row r="157">
          <cell r="I157">
            <v>0</v>
          </cell>
          <cell r="K157">
            <v>0</v>
          </cell>
        </row>
        <row r="158">
          <cell r="I158">
            <v>0</v>
          </cell>
          <cell r="K158">
            <v>0</v>
          </cell>
        </row>
        <row r="159">
          <cell r="I159">
            <v>0</v>
          </cell>
          <cell r="K159">
            <v>0</v>
          </cell>
        </row>
        <row r="160">
          <cell r="I160">
            <v>0</v>
          </cell>
          <cell r="K160">
            <v>0</v>
          </cell>
        </row>
        <row r="161">
          <cell r="I161">
            <v>0</v>
          </cell>
          <cell r="K161">
            <v>0</v>
          </cell>
        </row>
        <row r="162">
          <cell r="I162">
            <v>0</v>
          </cell>
          <cell r="K162">
            <v>0</v>
          </cell>
        </row>
        <row r="163">
          <cell r="I163">
            <v>0</v>
          </cell>
          <cell r="K163">
            <v>0</v>
          </cell>
        </row>
        <row r="164">
          <cell r="I164">
            <v>0</v>
          </cell>
          <cell r="K164">
            <v>0</v>
          </cell>
        </row>
        <row r="165">
          <cell r="I165">
            <v>0</v>
          </cell>
          <cell r="K165">
            <v>0</v>
          </cell>
        </row>
        <row r="166">
          <cell r="I166">
            <v>0</v>
          </cell>
          <cell r="K166">
            <v>0</v>
          </cell>
        </row>
        <row r="167">
          <cell r="I167">
            <v>0</v>
          </cell>
          <cell r="K167">
            <v>0</v>
          </cell>
        </row>
        <row r="168">
          <cell r="I168">
            <v>0</v>
          </cell>
          <cell r="K168">
            <v>0</v>
          </cell>
        </row>
        <row r="169">
          <cell r="I169">
            <v>0</v>
          </cell>
          <cell r="K169">
            <v>0</v>
          </cell>
        </row>
        <row r="170">
          <cell r="I170">
            <v>0</v>
          </cell>
          <cell r="K170">
            <v>0</v>
          </cell>
        </row>
        <row r="171">
          <cell r="I171">
            <v>0</v>
          </cell>
          <cell r="K171">
            <v>0</v>
          </cell>
        </row>
        <row r="172">
          <cell r="I172">
            <v>0</v>
          </cell>
          <cell r="K172">
            <v>0</v>
          </cell>
        </row>
        <row r="173">
          <cell r="I173">
            <v>0</v>
          </cell>
          <cell r="K173">
            <v>0</v>
          </cell>
        </row>
        <row r="174">
          <cell r="I174">
            <v>0</v>
          </cell>
          <cell r="K174">
            <v>0</v>
          </cell>
        </row>
        <row r="175">
          <cell r="I175">
            <v>0</v>
          </cell>
          <cell r="K175">
            <v>0</v>
          </cell>
        </row>
        <row r="176">
          <cell r="I176">
            <v>0</v>
          </cell>
          <cell r="K176">
            <v>0</v>
          </cell>
        </row>
        <row r="177">
          <cell r="I177">
            <v>0</v>
          </cell>
          <cell r="K177">
            <v>0</v>
          </cell>
        </row>
        <row r="178">
          <cell r="I178">
            <v>0</v>
          </cell>
          <cell r="K178">
            <v>0</v>
          </cell>
        </row>
        <row r="179">
          <cell r="I179">
            <v>0</v>
          </cell>
          <cell r="K179">
            <v>0</v>
          </cell>
        </row>
        <row r="180">
          <cell r="I180">
            <v>0</v>
          </cell>
          <cell r="K180">
            <v>0</v>
          </cell>
        </row>
        <row r="181">
          <cell r="I181">
            <v>0</v>
          </cell>
          <cell r="K181">
            <v>0</v>
          </cell>
        </row>
        <row r="182">
          <cell r="I182">
            <v>0</v>
          </cell>
          <cell r="K182">
            <v>0</v>
          </cell>
        </row>
        <row r="183">
          <cell r="I183">
            <v>0</v>
          </cell>
          <cell r="K183">
            <v>0</v>
          </cell>
        </row>
        <row r="184">
          <cell r="I184">
            <v>0</v>
          </cell>
          <cell r="K184">
            <v>0</v>
          </cell>
        </row>
        <row r="185">
          <cell r="I185">
            <v>0</v>
          </cell>
          <cell r="K185">
            <v>0</v>
          </cell>
        </row>
        <row r="186">
          <cell r="I186">
            <v>0</v>
          </cell>
          <cell r="K186">
            <v>0</v>
          </cell>
        </row>
        <row r="187">
          <cell r="I187">
            <v>0</v>
          </cell>
          <cell r="K187">
            <v>0</v>
          </cell>
        </row>
        <row r="188">
          <cell r="I188">
            <v>0</v>
          </cell>
          <cell r="K188">
            <v>0</v>
          </cell>
        </row>
        <row r="189">
          <cell r="I189">
            <v>0</v>
          </cell>
          <cell r="K189">
            <v>0</v>
          </cell>
        </row>
        <row r="190">
          <cell r="I190">
            <v>0</v>
          </cell>
          <cell r="K190">
            <v>0</v>
          </cell>
        </row>
        <row r="191">
          <cell r="I191">
            <v>0</v>
          </cell>
          <cell r="K191">
            <v>0</v>
          </cell>
        </row>
        <row r="192">
          <cell r="I192">
            <v>0</v>
          </cell>
          <cell r="K192">
            <v>0</v>
          </cell>
        </row>
        <row r="193">
          <cell r="I193">
            <v>0</v>
          </cell>
          <cell r="K193">
            <v>0</v>
          </cell>
        </row>
        <row r="194">
          <cell r="I194">
            <v>0</v>
          </cell>
          <cell r="K194">
            <v>0</v>
          </cell>
        </row>
        <row r="195">
          <cell r="I195">
            <v>0</v>
          </cell>
          <cell r="K195">
            <v>0</v>
          </cell>
        </row>
        <row r="196">
          <cell r="I196">
            <v>0</v>
          </cell>
          <cell r="K196">
            <v>0</v>
          </cell>
        </row>
        <row r="197">
          <cell r="I197">
            <v>0</v>
          </cell>
          <cell r="K197">
            <v>0</v>
          </cell>
        </row>
        <row r="198">
          <cell r="I198">
            <v>0</v>
          </cell>
          <cell r="K198">
            <v>0</v>
          </cell>
        </row>
        <row r="199">
          <cell r="I199">
            <v>0</v>
          </cell>
          <cell r="K199">
            <v>0</v>
          </cell>
        </row>
        <row r="200">
          <cell r="I200">
            <v>0</v>
          </cell>
          <cell r="K200">
            <v>0</v>
          </cell>
        </row>
        <row r="201">
          <cell r="I201">
            <v>0</v>
          </cell>
          <cell r="K201">
            <v>0</v>
          </cell>
        </row>
        <row r="202">
          <cell r="I202">
            <v>0</v>
          </cell>
          <cell r="K202">
            <v>0</v>
          </cell>
        </row>
        <row r="203">
          <cell r="I203">
            <v>0</v>
          </cell>
          <cell r="K203">
            <v>0</v>
          </cell>
        </row>
        <row r="204">
          <cell r="I204">
            <v>0</v>
          </cell>
          <cell r="K204">
            <v>0</v>
          </cell>
        </row>
        <row r="205">
          <cell r="I205">
            <v>0</v>
          </cell>
          <cell r="K205">
            <v>0</v>
          </cell>
        </row>
        <row r="206">
          <cell r="I206">
            <v>0</v>
          </cell>
          <cell r="K206">
            <v>0</v>
          </cell>
        </row>
        <row r="207">
          <cell r="I207">
            <v>0</v>
          </cell>
          <cell r="K207">
            <v>0</v>
          </cell>
        </row>
        <row r="208">
          <cell r="I208">
            <v>0</v>
          </cell>
          <cell r="K208">
            <v>0</v>
          </cell>
        </row>
        <row r="209">
          <cell r="I209">
            <v>0</v>
          </cell>
          <cell r="K209">
            <v>0</v>
          </cell>
        </row>
        <row r="210">
          <cell r="I210">
            <v>0</v>
          </cell>
          <cell r="K210">
            <v>0</v>
          </cell>
        </row>
        <row r="211">
          <cell r="I211">
            <v>0</v>
          </cell>
          <cell r="K211">
            <v>0</v>
          </cell>
        </row>
        <row r="212">
          <cell r="I212">
            <v>0</v>
          </cell>
          <cell r="K212">
            <v>0</v>
          </cell>
        </row>
        <row r="213">
          <cell r="I213">
            <v>0</v>
          </cell>
          <cell r="K213">
            <v>0</v>
          </cell>
        </row>
        <row r="214">
          <cell r="I214">
            <v>0</v>
          </cell>
          <cell r="K214">
            <v>0</v>
          </cell>
        </row>
        <row r="215">
          <cell r="I215">
            <v>0</v>
          </cell>
          <cell r="K215">
            <v>0</v>
          </cell>
        </row>
        <row r="216">
          <cell r="I216">
            <v>0</v>
          </cell>
          <cell r="K216">
            <v>0</v>
          </cell>
        </row>
        <row r="217">
          <cell r="I217">
            <v>0</v>
          </cell>
          <cell r="K217">
            <v>0</v>
          </cell>
        </row>
        <row r="218">
          <cell r="I218">
            <v>0</v>
          </cell>
          <cell r="K218">
            <v>0</v>
          </cell>
        </row>
        <row r="219">
          <cell r="I219">
            <v>0</v>
          </cell>
          <cell r="K219">
            <v>0</v>
          </cell>
        </row>
        <row r="220">
          <cell r="I220">
            <v>0</v>
          </cell>
          <cell r="K220">
            <v>0</v>
          </cell>
        </row>
        <row r="221">
          <cell r="I221">
            <v>0</v>
          </cell>
          <cell r="K221">
            <v>0</v>
          </cell>
        </row>
        <row r="222">
          <cell r="I222">
            <v>0</v>
          </cell>
          <cell r="K222">
            <v>0</v>
          </cell>
        </row>
        <row r="223">
          <cell r="I223">
            <v>0</v>
          </cell>
          <cell r="K223">
            <v>0</v>
          </cell>
        </row>
        <row r="224">
          <cell r="I224">
            <v>0</v>
          </cell>
          <cell r="K224">
            <v>0</v>
          </cell>
        </row>
        <row r="225">
          <cell r="I225">
            <v>0</v>
          </cell>
          <cell r="K225">
            <v>0</v>
          </cell>
        </row>
        <row r="226">
          <cell r="I226">
            <v>0</v>
          </cell>
          <cell r="K226">
            <v>0</v>
          </cell>
        </row>
        <row r="227">
          <cell r="I227">
            <v>0</v>
          </cell>
          <cell r="K227">
            <v>0</v>
          </cell>
        </row>
        <row r="228">
          <cell r="I228">
            <v>0</v>
          </cell>
          <cell r="K228">
            <v>0</v>
          </cell>
        </row>
        <row r="229">
          <cell r="I229">
            <v>0</v>
          </cell>
          <cell r="K229">
            <v>0</v>
          </cell>
        </row>
        <row r="230">
          <cell r="I230">
            <v>0</v>
          </cell>
          <cell r="K230">
            <v>0</v>
          </cell>
        </row>
        <row r="231">
          <cell r="I231">
            <v>0</v>
          </cell>
          <cell r="K231">
            <v>0</v>
          </cell>
        </row>
        <row r="232">
          <cell r="I232">
            <v>0</v>
          </cell>
          <cell r="K232">
            <v>0</v>
          </cell>
        </row>
        <row r="233">
          <cell r="I233">
            <v>0</v>
          </cell>
          <cell r="K233">
            <v>0</v>
          </cell>
        </row>
        <row r="234">
          <cell r="I234">
            <v>0</v>
          </cell>
          <cell r="K234">
            <v>0</v>
          </cell>
        </row>
        <row r="235">
          <cell r="I235">
            <v>0</v>
          </cell>
          <cell r="K235">
            <v>0</v>
          </cell>
        </row>
        <row r="236">
          <cell r="I236">
            <v>0</v>
          </cell>
          <cell r="K236">
            <v>0</v>
          </cell>
        </row>
        <row r="237">
          <cell r="I237">
            <v>0</v>
          </cell>
          <cell r="K237">
            <v>0</v>
          </cell>
        </row>
        <row r="238">
          <cell r="I238">
            <v>0</v>
          </cell>
          <cell r="K238">
            <v>0</v>
          </cell>
        </row>
        <row r="239">
          <cell r="I239">
            <v>0</v>
          </cell>
          <cell r="K239">
            <v>0</v>
          </cell>
        </row>
        <row r="240">
          <cell r="I240">
            <v>0</v>
          </cell>
          <cell r="K240">
            <v>0</v>
          </cell>
        </row>
        <row r="241">
          <cell r="I241">
            <v>0</v>
          </cell>
          <cell r="K241">
            <v>0</v>
          </cell>
        </row>
        <row r="242">
          <cell r="I242">
            <v>0</v>
          </cell>
          <cell r="K242">
            <v>0</v>
          </cell>
        </row>
        <row r="243">
          <cell r="I243">
            <v>0</v>
          </cell>
          <cell r="K243">
            <v>0</v>
          </cell>
        </row>
        <row r="244">
          <cell r="I244">
            <v>0</v>
          </cell>
          <cell r="K244">
            <v>0</v>
          </cell>
        </row>
        <row r="245">
          <cell r="I245">
            <v>0</v>
          </cell>
          <cell r="K245">
            <v>0</v>
          </cell>
        </row>
        <row r="246">
          <cell r="I246">
            <v>0</v>
          </cell>
          <cell r="K246">
            <v>0</v>
          </cell>
        </row>
        <row r="247">
          <cell r="I247">
            <v>0</v>
          </cell>
          <cell r="K247">
            <v>0</v>
          </cell>
        </row>
        <row r="248">
          <cell r="I248">
            <v>0</v>
          </cell>
          <cell r="K248">
            <v>0</v>
          </cell>
        </row>
        <row r="249">
          <cell r="I249">
            <v>0</v>
          </cell>
          <cell r="K249">
            <v>0</v>
          </cell>
        </row>
        <row r="250">
          <cell r="I250">
            <v>0</v>
          </cell>
          <cell r="K250">
            <v>0</v>
          </cell>
        </row>
        <row r="251">
          <cell r="I251">
            <v>0</v>
          </cell>
          <cell r="K251">
            <v>0</v>
          </cell>
        </row>
        <row r="252">
          <cell r="I252">
            <v>0</v>
          </cell>
          <cell r="K252">
            <v>0</v>
          </cell>
        </row>
        <row r="253">
          <cell r="I253">
            <v>0</v>
          </cell>
          <cell r="K253">
            <v>0</v>
          </cell>
        </row>
        <row r="254">
          <cell r="I254">
            <v>0</v>
          </cell>
          <cell r="K254">
            <v>0</v>
          </cell>
        </row>
        <row r="255">
          <cell r="I255">
            <v>0</v>
          </cell>
          <cell r="K255">
            <v>0</v>
          </cell>
        </row>
        <row r="256">
          <cell r="I256">
            <v>0</v>
          </cell>
          <cell r="K256">
            <v>0</v>
          </cell>
        </row>
        <row r="257">
          <cell r="I257">
            <v>0</v>
          </cell>
          <cell r="K257">
            <v>0</v>
          </cell>
        </row>
        <row r="258">
          <cell r="I258">
            <v>0</v>
          </cell>
          <cell r="K258">
            <v>0</v>
          </cell>
        </row>
        <row r="259">
          <cell r="I259">
            <v>0</v>
          </cell>
          <cell r="K259">
            <v>0</v>
          </cell>
        </row>
        <row r="260">
          <cell r="I260">
            <v>0</v>
          </cell>
          <cell r="K260">
            <v>0</v>
          </cell>
        </row>
        <row r="261">
          <cell r="I261">
            <v>0</v>
          </cell>
          <cell r="K261">
            <v>0</v>
          </cell>
        </row>
        <row r="262">
          <cell r="I262">
            <v>0</v>
          </cell>
          <cell r="K262">
            <v>0</v>
          </cell>
        </row>
        <row r="263">
          <cell r="I263">
            <v>0</v>
          </cell>
          <cell r="K263">
            <v>0</v>
          </cell>
        </row>
        <row r="264">
          <cell r="I264">
            <v>0</v>
          </cell>
          <cell r="K264">
            <v>0</v>
          </cell>
        </row>
        <row r="265">
          <cell r="I265">
            <v>0</v>
          </cell>
          <cell r="K265">
            <v>0</v>
          </cell>
        </row>
        <row r="266">
          <cell r="I266">
            <v>0</v>
          </cell>
          <cell r="K266">
            <v>0</v>
          </cell>
        </row>
        <row r="267">
          <cell r="I267">
            <v>0</v>
          </cell>
          <cell r="K267">
            <v>0</v>
          </cell>
        </row>
        <row r="268">
          <cell r="I268">
            <v>0</v>
          </cell>
          <cell r="K268">
            <v>0</v>
          </cell>
        </row>
        <row r="269">
          <cell r="I269">
            <v>0</v>
          </cell>
          <cell r="K269">
            <v>0</v>
          </cell>
        </row>
        <row r="270">
          <cell r="I270">
            <v>0</v>
          </cell>
          <cell r="K270">
            <v>0</v>
          </cell>
        </row>
        <row r="271">
          <cell r="I271">
            <v>0</v>
          </cell>
          <cell r="K271">
            <v>0</v>
          </cell>
        </row>
        <row r="272">
          <cell r="I272">
            <v>0</v>
          </cell>
          <cell r="K272">
            <v>0</v>
          </cell>
        </row>
        <row r="273">
          <cell r="I273">
            <v>0</v>
          </cell>
          <cell r="K273">
            <v>0</v>
          </cell>
        </row>
        <row r="274">
          <cell r="I274">
            <v>0</v>
          </cell>
          <cell r="K274">
            <v>0</v>
          </cell>
        </row>
        <row r="275">
          <cell r="I275">
            <v>0</v>
          </cell>
          <cell r="K275">
            <v>0</v>
          </cell>
        </row>
        <row r="276">
          <cell r="I276">
            <v>0</v>
          </cell>
          <cell r="K276">
            <v>0</v>
          </cell>
        </row>
        <row r="277">
          <cell r="I277">
            <v>0</v>
          </cell>
          <cell r="K277">
            <v>0</v>
          </cell>
        </row>
        <row r="278">
          <cell r="I278">
            <v>0</v>
          </cell>
          <cell r="K278">
            <v>0</v>
          </cell>
        </row>
        <row r="279">
          <cell r="I279">
            <v>0</v>
          </cell>
          <cell r="K279">
            <v>0</v>
          </cell>
        </row>
        <row r="280">
          <cell r="I280">
            <v>0</v>
          </cell>
          <cell r="K280">
            <v>0</v>
          </cell>
        </row>
        <row r="281">
          <cell r="I281">
            <v>0</v>
          </cell>
          <cell r="K281">
            <v>0</v>
          </cell>
        </row>
        <row r="282">
          <cell r="I282">
            <v>0</v>
          </cell>
          <cell r="K282">
            <v>0</v>
          </cell>
        </row>
        <row r="283">
          <cell r="I283">
            <v>0</v>
          </cell>
          <cell r="K283">
            <v>0</v>
          </cell>
        </row>
        <row r="284">
          <cell r="I284">
            <v>0</v>
          </cell>
          <cell r="K284">
            <v>0</v>
          </cell>
        </row>
        <row r="285">
          <cell r="I285">
            <v>0</v>
          </cell>
          <cell r="K285">
            <v>0</v>
          </cell>
        </row>
        <row r="286">
          <cell r="I286">
            <v>0</v>
          </cell>
          <cell r="K286">
            <v>0</v>
          </cell>
        </row>
        <row r="287">
          <cell r="I287">
            <v>0</v>
          </cell>
          <cell r="K287">
            <v>0</v>
          </cell>
        </row>
        <row r="288">
          <cell r="I288">
            <v>0</v>
          </cell>
          <cell r="K288">
            <v>0</v>
          </cell>
        </row>
        <row r="289">
          <cell r="I289">
            <v>0</v>
          </cell>
          <cell r="K289">
            <v>0</v>
          </cell>
        </row>
        <row r="290">
          <cell r="I290">
            <v>0</v>
          </cell>
          <cell r="K290">
            <v>0</v>
          </cell>
        </row>
        <row r="291">
          <cell r="I291">
            <v>0</v>
          </cell>
          <cell r="K291">
            <v>0</v>
          </cell>
        </row>
        <row r="292">
          <cell r="I292">
            <v>0</v>
          </cell>
          <cell r="K292">
            <v>0</v>
          </cell>
        </row>
        <row r="293">
          <cell r="I293">
            <v>0</v>
          </cell>
          <cell r="K293">
            <v>0</v>
          </cell>
        </row>
      </sheetData>
      <sheetData sheetId="2"/>
      <sheetData sheetId="3">
        <row r="4">
          <cell r="B4" t="str">
            <v>DNTN SX TM XNK Khang Thịnh Phước</v>
          </cell>
        </row>
        <row r="5">
          <cell r="B5" t="str">
            <v>Cty TNHH Nhựa Duy Tân</v>
          </cell>
        </row>
        <row r="6">
          <cell r="B6" t="str">
            <v>Cty TNHH Tân Hải Việt</v>
          </cell>
        </row>
        <row r="7">
          <cell r="B7" t="str">
            <v>Cty TNHH MTV Muối Tân Thành</v>
          </cell>
        </row>
        <row r="8">
          <cell r="B8" t="str">
            <v>Cty TNHH TM DV Bao Bì Giấy Tân Minh Thư</v>
          </cell>
        </row>
        <row r="9">
          <cell r="B9" t="str">
            <v>Cty TNHH SX TM Nghị Hòa</v>
          </cell>
        </row>
        <row r="10">
          <cell r="B10" t="str">
            <v>Cty TNHH Tấn Dũng</v>
          </cell>
        </row>
        <row r="11">
          <cell r="B11" t="str">
            <v>Cty TNHH Bao Bì Nhựa Thành Phú</v>
          </cell>
        </row>
        <row r="12">
          <cell r="B12" t="str">
            <v>Cty TNHH Du Lịch và Thương Mại Thành Thành Phát</v>
          </cell>
        </row>
        <row r="13">
          <cell r="B13" t="str">
            <v>Cty TNHH Tân Hùng Thái</v>
          </cell>
        </row>
        <row r="14">
          <cell r="B14" t="str">
            <v>Công Ty TNHH In Và SX Bao Bì Đức Mỹ</v>
          </cell>
        </row>
        <row r="15">
          <cell r="B15" t="str">
            <v>CN Công Ty TNHH Tân Hy Xí Nghiệp In &amp; Bao Bì Duy Nhật</v>
          </cell>
        </row>
        <row r="16">
          <cell r="B16" t="str">
            <v>Cty TNHH Hóa Chất Thành Phương</v>
          </cell>
        </row>
        <row r="17">
          <cell r="B17" t="str">
            <v>Cty TNHH TM - DV Thanh Thanh</v>
          </cell>
        </row>
        <row r="18">
          <cell r="B18" t="str">
            <v>Nghĩa Thành Công</v>
          </cell>
        </row>
        <row r="19">
          <cell r="B19" t="str">
            <v>Cửa Hàng Xuân Thu</v>
          </cell>
        </row>
        <row r="20">
          <cell r="B20" t="str">
            <v>Cty TNHH Cơ Khí Nam Thành Công</v>
          </cell>
        </row>
        <row r="21">
          <cell r="B21" t="str">
            <v>Cty CP KD Thủy Hải Sản Sài Gòn</v>
          </cell>
        </row>
        <row r="22">
          <cell r="B22" t="str">
            <v>Cty TNHH TM DV Toàn Nguyễn</v>
          </cell>
        </row>
        <row r="23">
          <cell r="B23" t="str">
            <v>Cty CP Bảo Hiểm Viễn Đông (VASS)</v>
          </cell>
        </row>
        <row r="24">
          <cell r="B24" t="str">
            <v>Cty Bảo Minh Bến Tre</v>
          </cell>
        </row>
        <row r="25">
          <cell r="B25" t="str">
            <v>Trung Tâm Chất Lượng Nông Lâm Thủy Sản Vùng 4</v>
          </cell>
        </row>
        <row r="26">
          <cell r="B26" t="str">
            <v>Cty CP chiếu xạ An Phú</v>
          </cell>
        </row>
        <row r="27">
          <cell r="B27" t="str">
            <v>Trung Tâm Kỹ Thuật Tiêu Chuẩn Đo Lường Chất Lượng 3</v>
          </cell>
        </row>
        <row r="28">
          <cell r="B28" t="str">
            <v>Cty TNHH Tốc Độ</v>
          </cell>
        </row>
        <row r="29">
          <cell r="B29" t="str">
            <v>Cty CP Giao Nhận Vận Tải Song Tân</v>
          </cell>
        </row>
        <row r="30">
          <cell r="B30" t="str">
            <v>Cty TNHH Dịch Vụ Giao Nhận AAAS</v>
          </cell>
        </row>
        <row r="31">
          <cell r="B31" t="str">
            <v>Cty Điện Lực Long An</v>
          </cell>
        </row>
        <row r="32">
          <cell r="B32" t="str">
            <v>Cty TNHH Bảo Hiểm Liberty</v>
          </cell>
        </row>
        <row r="33">
          <cell r="B33" t="str">
            <v>Công Ty TNHH Cơ Khí Xây Dựng Đ &amp; T</v>
          </cell>
        </row>
        <row r="34">
          <cell r="B34" t="str">
            <v>Cty TNHH TM DV Công Nghệ Thông Tin G.O.L</v>
          </cell>
        </row>
        <row r="35">
          <cell r="B35" t="str">
            <v>Cty TNHH Dịch Vụ Hoàng Hải</v>
          </cell>
        </row>
        <row r="36">
          <cell r="B36" t="str">
            <v>Cty TNHH KMTC (Việt Nam)</v>
          </cell>
        </row>
        <row r="37">
          <cell r="B37" t="str">
            <v>DNTN Chín Tuy</v>
          </cell>
        </row>
        <row r="38">
          <cell r="B38" t="str">
            <v>Nguyễn Thị Hồng Hoa</v>
          </cell>
        </row>
        <row r="39">
          <cell r="B39" t="str">
            <v>Nguyễn Thành Phong</v>
          </cell>
        </row>
        <row r="40">
          <cell r="B40" t="str">
            <v>Nguyễn Văn Tha</v>
          </cell>
        </row>
        <row r="41">
          <cell r="B41" t="str">
            <v>Lý Thị Thảo</v>
          </cell>
        </row>
        <row r="42">
          <cell r="B42" t="str">
            <v>Nguyễn Thị Tuyết Đang</v>
          </cell>
        </row>
        <row r="43">
          <cell r="B43" t="str">
            <v>Võ Văn Thắng</v>
          </cell>
        </row>
        <row r="44">
          <cell r="B44" t="str">
            <v>Nguyễn Văn Phong</v>
          </cell>
        </row>
        <row r="45">
          <cell r="B45" t="str">
            <v>Lê Thị Diệu</v>
          </cell>
        </row>
        <row r="46">
          <cell r="B46" t="str">
            <v>Lê Thị Thiện Em</v>
          </cell>
        </row>
        <row r="47">
          <cell r="B47" t="str">
            <v>Trần Văn An</v>
          </cell>
        </row>
        <row r="48">
          <cell r="B48" t="str">
            <v>Nguyễn Thanh Bình</v>
          </cell>
        </row>
        <row r="49">
          <cell r="B49" t="str">
            <v>Nguyễn Thị Hội</v>
          </cell>
        </row>
        <row r="50">
          <cell r="B50" t="str">
            <v>Nguyễn Văn Hạnh</v>
          </cell>
        </row>
        <row r="51">
          <cell r="B51" t="str">
            <v>Trần Thị Thu Hiếu</v>
          </cell>
        </row>
        <row r="52">
          <cell r="B52" t="str">
            <v>Nguyễn Văn Nhân</v>
          </cell>
        </row>
        <row r="53">
          <cell r="B53" t="str">
            <v>Huỳnh Thị Kiều</v>
          </cell>
        </row>
        <row r="54">
          <cell r="B54" t="str">
            <v>Nguyễn Thị Kim Vân</v>
          </cell>
        </row>
        <row r="55">
          <cell r="B55" t="str">
            <v>Võ Thị Huyền</v>
          </cell>
        </row>
        <row r="56">
          <cell r="B56" t="str">
            <v>Nguyễn Thị Bé Hai</v>
          </cell>
        </row>
        <row r="57">
          <cell r="B57" t="str">
            <v>Lâm Thị Loan</v>
          </cell>
        </row>
        <row r="58">
          <cell r="B58" t="str">
            <v>Vũ Thị Lan</v>
          </cell>
        </row>
        <row r="59">
          <cell r="B59" t="str">
            <v>Trương Quốc Tuấn</v>
          </cell>
        </row>
        <row r="60">
          <cell r="B60" t="str">
            <v>Nguyễn Văn Hải</v>
          </cell>
        </row>
        <row r="61">
          <cell r="B61" t="str">
            <v>Nguyễn Văn Lắm</v>
          </cell>
        </row>
        <row r="62">
          <cell r="B62" t="str">
            <v>Lê Thị Kim Liên</v>
          </cell>
        </row>
        <row r="63">
          <cell r="B63" t="str">
            <v>Nguyễn Thị Mộng Tuyền</v>
          </cell>
        </row>
        <row r="64">
          <cell r="B64" t="str">
            <v>Đỗ Thị Hoàng Mai</v>
          </cell>
        </row>
        <row r="65">
          <cell r="B65" t="str">
            <v>Phạm Thị Chính</v>
          </cell>
        </row>
        <row r="66">
          <cell r="B66" t="str">
            <v>Trần Thị Lang</v>
          </cell>
        </row>
        <row r="67">
          <cell r="B67" t="str">
            <v>Lê Văn Thành</v>
          </cell>
        </row>
        <row r="68">
          <cell r="B68" t="str">
            <v>Lê Thị Kim Thanh</v>
          </cell>
        </row>
        <row r="69">
          <cell r="B69" t="str">
            <v>Võ Thị Bảy</v>
          </cell>
        </row>
        <row r="70">
          <cell r="B70" t="str">
            <v>Võ Văn Bá</v>
          </cell>
        </row>
        <row r="71">
          <cell r="B71" t="str">
            <v>Nguyễn Thanh Vân</v>
          </cell>
        </row>
        <row r="72">
          <cell r="B72" t="str">
            <v>Nguyễn Thanh Vinh</v>
          </cell>
        </row>
        <row r="73">
          <cell r="B73" t="str">
            <v>Hồ Thị Mỹ</v>
          </cell>
        </row>
        <row r="74">
          <cell r="B74" t="str">
            <v>Phạm Thị Ngọc</v>
          </cell>
        </row>
        <row r="75">
          <cell r="B75" t="str">
            <v>Nguyễn Đức Tiến</v>
          </cell>
        </row>
        <row r="76">
          <cell r="B76" t="str">
            <v>Đỗ Văn Tâm</v>
          </cell>
        </row>
        <row r="77">
          <cell r="B77" t="str">
            <v>Trương Văn Minh</v>
          </cell>
        </row>
      </sheetData>
      <sheetData sheetId="4">
        <row r="17">
          <cell r="G17">
            <v>7500000</v>
          </cell>
        </row>
        <row r="52">
          <cell r="G52">
            <v>14250000</v>
          </cell>
        </row>
        <row r="53">
          <cell r="G53">
            <v>15250000</v>
          </cell>
        </row>
        <row r="54">
          <cell r="G54">
            <v>38506000</v>
          </cell>
        </row>
        <row r="55">
          <cell r="G55">
            <v>39198830</v>
          </cell>
        </row>
        <row r="56">
          <cell r="G56">
            <v>27118300</v>
          </cell>
        </row>
        <row r="57">
          <cell r="G57">
            <v>56980000</v>
          </cell>
        </row>
        <row r="58">
          <cell r="G58">
            <v>1300000</v>
          </cell>
        </row>
        <row r="59">
          <cell r="G59">
            <v>4645000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 val="Ufunctions"/>
    </sheetNames>
    <definedNames>
      <definedName name="VND"/>
    </defined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5"/>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E38" sqref="E38"/>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6858920000</v>
      </c>
      <c r="F10" s="43">
        <f t="array" ref="F10">SUM(IF(A10=KHC,TH))</f>
        <v>2486098594</v>
      </c>
      <c r="G10" s="44">
        <f>MAX(C10+E10-D10-F10,0)</f>
        <v>8077860501</v>
      </c>
      <c r="H10" s="44">
        <f>MAX(D10+F10-E10-C10,0)</f>
        <v>0</v>
      </c>
      <c r="K10" s="45"/>
      <c r="L10" s="45"/>
    </row>
    <row r="11" spans="1:12" s="32" customFormat="1">
      <c r="A11" s="46" t="s">
        <v>18</v>
      </c>
      <c r="B11" s="47" t="s">
        <v>65</v>
      </c>
      <c r="C11" s="48">
        <v>3705039095</v>
      </c>
      <c r="D11" s="48">
        <v>0</v>
      </c>
      <c r="E11" s="48">
        <f>E10</f>
        <v>6858920000</v>
      </c>
      <c r="F11" s="48">
        <f>F10</f>
        <v>2486098594</v>
      </c>
      <c r="G11" s="48">
        <f>G10</f>
        <v>8077860501</v>
      </c>
      <c r="H11" s="48">
        <f>H10</f>
        <v>0</v>
      </c>
    </row>
    <row r="12" spans="1:12" s="32" customFormat="1">
      <c r="A12" s="49" t="s">
        <v>26</v>
      </c>
      <c r="B12" s="42" t="s">
        <v>66</v>
      </c>
      <c r="C12" s="43">
        <v>19829295</v>
      </c>
      <c r="D12" s="43">
        <v>0</v>
      </c>
      <c r="E12" s="43">
        <f t="array" ref="E12">SUM(IF(A12=KHN,TH))</f>
        <v>9259870713</v>
      </c>
      <c r="F12" s="43">
        <f t="array" ref="F12">SUM(IF(A12=KHC,TH))</f>
        <v>9274732812</v>
      </c>
      <c r="G12" s="44">
        <f>MAX(C12+E12-D12-F12,0)</f>
        <v>4967196</v>
      </c>
      <c r="H12" s="44">
        <f>MAX(D12+F12-E12-C12,0)</f>
        <v>0</v>
      </c>
      <c r="K12" s="45"/>
      <c r="L12" s="45"/>
    </row>
    <row r="13" spans="1:12" s="32" customFormat="1">
      <c r="A13" s="49" t="s">
        <v>282</v>
      </c>
      <c r="B13" s="42" t="s">
        <v>283</v>
      </c>
      <c r="C13" s="43">
        <v>2236796790</v>
      </c>
      <c r="D13" s="43">
        <v>0</v>
      </c>
      <c r="E13" s="43">
        <f t="array" ref="E13">SUM(IF(A13=KHN,TH))</f>
        <v>8200992923</v>
      </c>
      <c r="F13" s="43">
        <f t="array" ref="F13">SUM(IF(A13=KHC,TH))</f>
        <v>10437415222</v>
      </c>
      <c r="G13" s="44">
        <f>MAX(C13+E13-D13-F13,0)</f>
        <v>374491</v>
      </c>
      <c r="H13" s="44">
        <f>MAX(D13+F13-E13-C13,0)</f>
        <v>0</v>
      </c>
      <c r="K13" s="45"/>
      <c r="L13" s="45"/>
    </row>
    <row r="14" spans="1:12" s="32" customFormat="1">
      <c r="A14" s="46" t="s">
        <v>67</v>
      </c>
      <c r="B14" s="47" t="s">
        <v>68</v>
      </c>
      <c r="C14" s="48">
        <v>2256626085</v>
      </c>
      <c r="D14" s="48">
        <v>0</v>
      </c>
      <c r="E14" s="48">
        <f t="shared" ref="C14:H14" si="0">E12+E13</f>
        <v>17460863636</v>
      </c>
      <c r="F14" s="48">
        <f t="shared" si="0"/>
        <v>19712148034</v>
      </c>
      <c r="G14" s="48">
        <f t="shared" si="0"/>
        <v>5341687</v>
      </c>
      <c r="H14" s="48">
        <f t="shared" si="0"/>
        <v>0</v>
      </c>
    </row>
    <row r="15" spans="1:12" s="32" customFormat="1">
      <c r="A15" s="46" t="s">
        <v>639</v>
      </c>
      <c r="B15" s="47" t="s">
        <v>947</v>
      </c>
      <c r="C15" s="48">
        <v>3343381600</v>
      </c>
      <c r="D15" s="48">
        <v>0</v>
      </c>
      <c r="E15" s="89">
        <f t="array" ref="E15">SUM(IF(A15=KHN,TH))</f>
        <v>2712427200</v>
      </c>
      <c r="F15" s="89">
        <f t="array" ref="F15">SUM(IF(A15=KHC,TH))</f>
        <v>2587646423</v>
      </c>
      <c r="G15" s="48">
        <f>MAX(C15+E15-D15-F15,0)</f>
        <v>3468162377</v>
      </c>
      <c r="H15" s="48">
        <f>MAX(D15+F15-E15-C15,0)</f>
        <v>0</v>
      </c>
    </row>
    <row r="16" spans="1:12" s="32" customFormat="1">
      <c r="A16" s="49" t="s">
        <v>9</v>
      </c>
      <c r="B16" s="42" t="s">
        <v>69</v>
      </c>
      <c r="C16" s="43">
        <v>162420936</v>
      </c>
      <c r="D16" s="43">
        <v>0</v>
      </c>
      <c r="E16" s="43">
        <f t="array" ref="E16">SUM(IF(A16=KHN,TH))</f>
        <v>45225159</v>
      </c>
      <c r="F16" s="43">
        <f t="array" ref="F16">SUM(IF(A16=KHC,TH))</f>
        <v>0</v>
      </c>
      <c r="G16" s="44">
        <f>MAX(C16+E16-D16-F16,0)</f>
        <v>207646095</v>
      </c>
      <c r="H16" s="44">
        <f>MAX(D16+F16-E16-C16,0)</f>
        <v>0</v>
      </c>
    </row>
    <row r="17" spans="1:8" s="32" customFormat="1">
      <c r="A17" s="46" t="s">
        <v>70</v>
      </c>
      <c r="B17" s="47" t="s">
        <v>71</v>
      </c>
      <c r="C17" s="48">
        <v>162420936</v>
      </c>
      <c r="D17" s="48">
        <v>0</v>
      </c>
      <c r="E17" s="48">
        <f>E16</f>
        <v>45225159</v>
      </c>
      <c r="F17" s="48">
        <f>F16</f>
        <v>0</v>
      </c>
      <c r="G17" s="48">
        <f>G16</f>
        <v>207646095</v>
      </c>
      <c r="H17" s="48">
        <f>H16</f>
        <v>0</v>
      </c>
    </row>
    <row r="18" spans="1:8" s="32" customFormat="1">
      <c r="A18" s="49" t="s">
        <v>72</v>
      </c>
      <c r="B18" s="42" t="s">
        <v>73</v>
      </c>
      <c r="C18" s="43">
        <v>1500000000</v>
      </c>
      <c r="D18" s="43">
        <v>0</v>
      </c>
      <c r="E18" s="43">
        <f t="array" ref="E18">SUM(IF(A18=KHN,TH))</f>
        <v>0</v>
      </c>
      <c r="F18" s="43">
        <f t="array" ref="F18">SUM(IF(A18=KHC,TH))</f>
        <v>0</v>
      </c>
      <c r="G18" s="44">
        <f t="shared" ref="G18:G41" si="1">MAX(C18+E18-D18-F18,0)</f>
        <v>1500000000</v>
      </c>
      <c r="H18" s="44">
        <f t="shared" ref="H18:H41" si="2">MAX(D18+F18-E18-C18,0)</f>
        <v>0</v>
      </c>
    </row>
    <row r="19" spans="1:8" s="32" customFormat="1">
      <c r="A19" s="46" t="s">
        <v>74</v>
      </c>
      <c r="B19" s="47" t="s">
        <v>75</v>
      </c>
      <c r="C19" s="48">
        <v>1500000000</v>
      </c>
      <c r="D19" s="48">
        <v>0</v>
      </c>
      <c r="E19" s="48">
        <f>E18</f>
        <v>0</v>
      </c>
      <c r="F19" s="48">
        <f>F18</f>
        <v>0</v>
      </c>
      <c r="G19" s="48">
        <f t="shared" si="1"/>
        <v>1500000000</v>
      </c>
      <c r="H19" s="48">
        <f t="shared" si="2"/>
        <v>0</v>
      </c>
    </row>
    <row r="20" spans="1:8" s="32" customFormat="1">
      <c r="A20" s="46" t="s">
        <v>288</v>
      </c>
      <c r="B20" s="47" t="s">
        <v>289</v>
      </c>
      <c r="C20" s="48"/>
      <c r="D20" s="48">
        <v>0</v>
      </c>
      <c r="E20" s="89">
        <f t="array" ref="E20">SUM(IF(A20=KHN,TH))</f>
        <v>0</v>
      </c>
      <c r="F20" s="89">
        <f t="array" ref="F20">SUM(IF(A20=KHC,TH))</f>
        <v>0</v>
      </c>
      <c r="G20" s="48">
        <f t="shared" si="1"/>
        <v>0</v>
      </c>
      <c r="H20" s="48">
        <f t="shared" si="2"/>
        <v>0</v>
      </c>
    </row>
    <row r="21" spans="1:8" s="32" customFormat="1">
      <c r="A21" s="49" t="s">
        <v>290</v>
      </c>
      <c r="B21" s="42" t="s">
        <v>291</v>
      </c>
      <c r="C21" s="43">
        <v>2772400000</v>
      </c>
      <c r="D21" s="43">
        <v>0</v>
      </c>
      <c r="E21" s="43">
        <f t="array" ref="E21">SUM(IF(A21=KHN,TH))</f>
        <v>0</v>
      </c>
      <c r="F21" s="43">
        <f t="array" ref="F21">SUM(IF(A21=KHC,TH))</f>
        <v>2624400000</v>
      </c>
      <c r="G21" s="44">
        <f t="shared" si="1"/>
        <v>148000000</v>
      </c>
      <c r="H21" s="44">
        <f t="shared" si="2"/>
        <v>0</v>
      </c>
    </row>
    <row r="22" spans="1:8" s="32" customFormat="1">
      <c r="A22" s="49" t="s">
        <v>292</v>
      </c>
      <c r="B22" s="42" t="s">
        <v>293</v>
      </c>
      <c r="C22" s="43">
        <v>526519887</v>
      </c>
      <c r="D22" s="43">
        <v>0</v>
      </c>
      <c r="E22" s="43">
        <f t="array" ref="E22">SUM(IF(A22=KHN,TH))</f>
        <v>345710239</v>
      </c>
      <c r="F22" s="43">
        <f t="array" ref="F22">SUM(IF(A22=KHC,TH))</f>
        <v>56890299</v>
      </c>
      <c r="G22" s="43">
        <f t="shared" si="1"/>
        <v>815339827</v>
      </c>
      <c r="H22" s="43">
        <f t="shared" si="2"/>
        <v>0</v>
      </c>
    </row>
    <row r="23" spans="1:8" s="32" customFormat="1">
      <c r="A23" s="46" t="s">
        <v>294</v>
      </c>
      <c r="B23" s="47" t="s">
        <v>295</v>
      </c>
      <c r="C23" s="48">
        <f t="shared" ref="C23:D23" si="3">C21+C22</f>
        <v>3298919887</v>
      </c>
      <c r="D23" s="48">
        <f t="shared" si="3"/>
        <v>0</v>
      </c>
      <c r="E23" s="48">
        <f>E21+E22</f>
        <v>345710239</v>
      </c>
      <c r="F23" s="48">
        <f>F21+F22</f>
        <v>2681290299</v>
      </c>
      <c r="G23" s="48">
        <f t="shared" si="1"/>
        <v>963339827</v>
      </c>
      <c r="H23" s="48">
        <f t="shared" si="2"/>
        <v>0</v>
      </c>
    </row>
    <row r="24" spans="1:8" s="32" customFormat="1">
      <c r="A24" s="46" t="s">
        <v>296</v>
      </c>
      <c r="B24" s="47" t="s">
        <v>297</v>
      </c>
      <c r="C24" s="48"/>
      <c r="D24" s="48">
        <v>0</v>
      </c>
      <c r="E24" s="89">
        <f t="array" ref="E24">SUM(IF(A24=KHN,TH))</f>
        <v>0</v>
      </c>
      <c r="F24" s="89">
        <f t="array" ref="F24">SUM(IF(A24=KHC,TH))</f>
        <v>0</v>
      </c>
      <c r="G24" s="48">
        <f t="shared" si="1"/>
        <v>0</v>
      </c>
      <c r="H24" s="48">
        <f t="shared" si="2"/>
        <v>0</v>
      </c>
    </row>
    <row r="25" spans="1:8" s="32" customFormat="1">
      <c r="A25" s="46" t="s">
        <v>298</v>
      </c>
      <c r="B25" s="47" t="s">
        <v>299</v>
      </c>
      <c r="C25" s="48"/>
      <c r="D25" s="48">
        <v>0</v>
      </c>
      <c r="E25" s="89">
        <f t="array" ref="E25">SUM(IF(A25=KHN,TH))</f>
        <v>2821996942</v>
      </c>
      <c r="F25" s="89">
        <f t="array" ref="F25">SUM(IF(A25=KHC,TH))</f>
        <v>0</v>
      </c>
      <c r="G25" s="48">
        <f t="shared" si="1"/>
        <v>2821996942</v>
      </c>
      <c r="H25" s="48">
        <f t="shared" si="2"/>
        <v>0</v>
      </c>
    </row>
    <row r="26" spans="1:8" s="32" customFormat="1">
      <c r="A26" s="46" t="s">
        <v>300</v>
      </c>
      <c r="B26" s="47" t="s">
        <v>301</v>
      </c>
      <c r="C26" s="48">
        <v>9386323824</v>
      </c>
      <c r="D26" s="48">
        <v>0</v>
      </c>
      <c r="E26" s="89">
        <f t="array" ref="E26">SUM(IF(A26=KHN,TH))</f>
        <v>0</v>
      </c>
      <c r="F26" s="89">
        <f t="array" ref="F26">SUM(IF(A26=KHC,TH))</f>
        <v>0</v>
      </c>
      <c r="G26" s="48">
        <f t="shared" si="1"/>
        <v>9386323824</v>
      </c>
      <c r="H26" s="48">
        <f t="shared" si="2"/>
        <v>0</v>
      </c>
    </row>
    <row r="27" spans="1:8" s="32" customFormat="1">
      <c r="A27" s="531" t="s">
        <v>302</v>
      </c>
      <c r="B27" s="532" t="s">
        <v>303</v>
      </c>
      <c r="C27" s="533">
        <v>7490743648</v>
      </c>
      <c r="D27" s="533">
        <v>0</v>
      </c>
      <c r="E27" s="43">
        <f t="array" ref="E27">SUM(IF(A27=KHN,TH))</f>
        <v>0</v>
      </c>
      <c r="F27" s="43">
        <f t="array" ref="F27">SUM(IF(A27=KHC,TH))</f>
        <v>0</v>
      </c>
      <c r="G27" s="533">
        <f t="shared" si="1"/>
        <v>7490743648</v>
      </c>
      <c r="H27" s="533">
        <f t="shared" si="2"/>
        <v>0</v>
      </c>
    </row>
    <row r="28" spans="1:8" s="32" customFormat="1">
      <c r="A28" s="534" t="s">
        <v>304</v>
      </c>
      <c r="B28" s="535" t="s">
        <v>305</v>
      </c>
      <c r="C28" s="536">
        <v>3807898863</v>
      </c>
      <c r="D28" s="536">
        <v>0</v>
      </c>
      <c r="E28" s="43">
        <f t="array" ref="E28">SUM(IF(A28=KHN,TH))</f>
        <v>0</v>
      </c>
      <c r="F28" s="43">
        <f t="array" ref="F28">SUM(IF(A28=KHC,TH))</f>
        <v>0</v>
      </c>
      <c r="G28" s="536">
        <f t="shared" si="1"/>
        <v>3807898863</v>
      </c>
      <c r="H28" s="536">
        <f t="shared" si="2"/>
        <v>0</v>
      </c>
    </row>
    <row r="29" spans="1:8" s="32" customFormat="1">
      <c r="A29" s="534" t="s">
        <v>306</v>
      </c>
      <c r="B29" s="535" t="s">
        <v>307</v>
      </c>
      <c r="C29" s="536">
        <v>3790918485</v>
      </c>
      <c r="D29" s="536">
        <v>0</v>
      </c>
      <c r="E29" s="43">
        <f t="array" ref="E29">SUM(IF(A29=KHN,TH))</f>
        <v>0</v>
      </c>
      <c r="F29" s="43">
        <f t="array" ref="F29">SUM(IF(A29=KHC,TH))</f>
        <v>0</v>
      </c>
      <c r="G29" s="536">
        <f t="shared" si="1"/>
        <v>3790918485</v>
      </c>
      <c r="H29" s="536">
        <f t="shared" si="2"/>
        <v>0</v>
      </c>
    </row>
    <row r="30" spans="1:8" s="32" customFormat="1">
      <c r="A30" s="46" t="s">
        <v>308</v>
      </c>
      <c r="B30" s="47" t="s">
        <v>309</v>
      </c>
      <c r="C30" s="48">
        <v>15089560996</v>
      </c>
      <c r="D30" s="48">
        <v>0</v>
      </c>
      <c r="E30" s="48">
        <f>SUM(E27:E29)</f>
        <v>0</v>
      </c>
      <c r="F30" s="48">
        <f>SUM(F27:F29)</f>
        <v>0</v>
      </c>
      <c r="G30" s="48">
        <f>SUM(G27:G29)</f>
        <v>15089560996</v>
      </c>
      <c r="H30" s="48">
        <f>SUM(H27:H29)</f>
        <v>0</v>
      </c>
    </row>
    <row r="31" spans="1:8" s="32" customFormat="1">
      <c r="A31" s="534" t="s">
        <v>939</v>
      </c>
      <c r="B31" s="535" t="s">
        <v>940</v>
      </c>
      <c r="C31" s="536">
        <v>5405781300</v>
      </c>
      <c r="D31" s="536">
        <v>0</v>
      </c>
      <c r="E31" s="43">
        <f t="array" ref="E31">SUM(IF(A31=KHN,TH))</f>
        <v>0</v>
      </c>
      <c r="F31" s="43">
        <f t="array" ref="F31">SUM(IF(A31=KHC,TH))</f>
        <v>0</v>
      </c>
      <c r="G31" s="536">
        <f>MAX(C31+E31-D31-F31,0)</f>
        <v>5405781300</v>
      </c>
      <c r="H31" s="536">
        <f>MAX(D31+F31-E31-C31,0)</f>
        <v>0</v>
      </c>
    </row>
    <row r="32" spans="1:8" s="32" customFormat="1">
      <c r="A32" s="50" t="s">
        <v>941</v>
      </c>
      <c r="B32" s="47" t="s">
        <v>942</v>
      </c>
      <c r="C32" s="48">
        <f t="shared" ref="C32:H32" si="4">C31</f>
        <v>5405781300</v>
      </c>
      <c r="D32" s="48">
        <f t="shared" si="4"/>
        <v>0</v>
      </c>
      <c r="E32" s="48">
        <f t="shared" si="4"/>
        <v>0</v>
      </c>
      <c r="F32" s="48">
        <f t="shared" si="4"/>
        <v>0</v>
      </c>
      <c r="G32" s="48">
        <f t="shared" si="4"/>
        <v>5405781300</v>
      </c>
      <c r="H32" s="48">
        <f t="shared" si="4"/>
        <v>0</v>
      </c>
    </row>
    <row r="33" spans="1:9" s="32" customFormat="1">
      <c r="A33" s="49" t="s">
        <v>641</v>
      </c>
      <c r="B33" s="42" t="s">
        <v>943</v>
      </c>
      <c r="C33" s="43">
        <v>0</v>
      </c>
      <c r="D33" s="43">
        <v>9132359256</v>
      </c>
      <c r="E33" s="43">
        <f t="array" ref="E33">SUM(IF(A33=KHN,TH))</f>
        <v>0</v>
      </c>
      <c r="F33" s="43">
        <f t="array" ref="F33">SUM(IF(A33=KHC,TH))</f>
        <v>50799303</v>
      </c>
      <c r="G33" s="43">
        <f>MAX(C33+E33-D33-F33,0)</f>
        <v>0</v>
      </c>
      <c r="H33" s="43">
        <f>MAX(D33+F33-E33-C33,0)</f>
        <v>9183158559</v>
      </c>
    </row>
    <row r="34" spans="1:9" s="32" customFormat="1">
      <c r="A34" s="41" t="s">
        <v>640</v>
      </c>
      <c r="B34" s="42" t="s">
        <v>944</v>
      </c>
      <c r="C34" s="43">
        <v>0</v>
      </c>
      <c r="D34" s="43">
        <v>600642360</v>
      </c>
      <c r="E34" s="43">
        <f t="array" ref="E34">SUM(IF(A34=KHN,TH))</f>
        <v>0</v>
      </c>
      <c r="F34" s="43">
        <f t="array" ref="F34">SUM(IF(A34=KHC,TH))</f>
        <v>10010706</v>
      </c>
      <c r="G34" s="43">
        <f>MAX(C34+E34-D34-F34,0)</f>
        <v>0</v>
      </c>
      <c r="H34" s="43">
        <f>MAX(D34+F34-E34-C34,0)</f>
        <v>610653066</v>
      </c>
    </row>
    <row r="35" spans="1:9" s="32" customFormat="1" ht="12.75" customHeight="1">
      <c r="A35" s="46" t="s">
        <v>945</v>
      </c>
      <c r="B35" s="47" t="s">
        <v>946</v>
      </c>
      <c r="C35" s="48">
        <f t="shared" ref="C35:D35" si="5">C33+C34</f>
        <v>0</v>
      </c>
      <c r="D35" s="48">
        <f t="shared" si="5"/>
        <v>9733001616</v>
      </c>
      <c r="E35" s="48">
        <f>E33+E34</f>
        <v>0</v>
      </c>
      <c r="F35" s="48">
        <f>F33+F34</f>
        <v>60810009</v>
      </c>
      <c r="G35" s="48">
        <f>G33+G34</f>
        <v>0</v>
      </c>
      <c r="H35" s="48">
        <f>H33+H34</f>
        <v>9793811625</v>
      </c>
    </row>
    <row r="36" spans="1:9" s="32" customFormat="1">
      <c r="A36" s="41" t="s">
        <v>165</v>
      </c>
      <c r="B36" s="42" t="s">
        <v>166</v>
      </c>
      <c r="C36" s="43"/>
      <c r="D36" s="43">
        <v>0</v>
      </c>
      <c r="E36" s="43">
        <f t="array" ref="E36">SUM(IF(A36=KHN,TH))</f>
        <v>33540000</v>
      </c>
      <c r="F36" s="43">
        <f t="array" ref="F36">SUM(IF(A36=KHC,TH))</f>
        <v>0</v>
      </c>
      <c r="G36" s="44">
        <f t="shared" si="1"/>
        <v>33540000</v>
      </c>
      <c r="H36" s="44">
        <f t="shared" si="2"/>
        <v>0</v>
      </c>
    </row>
    <row r="37" spans="1:9" s="32" customFormat="1">
      <c r="A37" s="50" t="s">
        <v>240</v>
      </c>
      <c r="B37" s="47" t="s">
        <v>167</v>
      </c>
      <c r="C37" s="48"/>
      <c r="D37" s="48">
        <v>0</v>
      </c>
      <c r="E37" s="48">
        <f>E36</f>
        <v>33540000</v>
      </c>
      <c r="F37" s="48">
        <f>F36</f>
        <v>0</v>
      </c>
      <c r="G37" s="48">
        <f t="shared" si="1"/>
        <v>33540000</v>
      </c>
      <c r="H37" s="48">
        <f t="shared" si="2"/>
        <v>0</v>
      </c>
    </row>
    <row r="38" spans="1:9" s="32" customFormat="1">
      <c r="A38" s="46" t="s">
        <v>8</v>
      </c>
      <c r="B38" s="47" t="s">
        <v>76</v>
      </c>
      <c r="C38" s="48">
        <v>0</v>
      </c>
      <c r="D38" s="48">
        <v>476953252</v>
      </c>
      <c r="E38" s="89">
        <f t="array" ref="E38">SUM(IF(A38=KHN,TH))</f>
        <v>204748130</v>
      </c>
      <c r="F38" s="89">
        <f t="array" ref="F38">SUM(IF(A38=KHC,TH))</f>
        <v>535741058</v>
      </c>
      <c r="G38" s="48">
        <f t="shared" si="1"/>
        <v>0</v>
      </c>
      <c r="H38" s="48">
        <f t="shared" si="2"/>
        <v>807946180</v>
      </c>
    </row>
    <row r="39" spans="1:9" s="32" customFormat="1">
      <c r="A39" s="49" t="s">
        <v>77</v>
      </c>
      <c r="B39" s="42" t="s">
        <v>78</v>
      </c>
      <c r="C39" s="43">
        <v>0</v>
      </c>
      <c r="D39" s="43">
        <v>3313435</v>
      </c>
      <c r="E39" s="43">
        <f t="array" ref="E39">SUM(IF(A39=KHN,TH))</f>
        <v>0</v>
      </c>
      <c r="F39" s="43">
        <f t="array" ref="F39">SUM(IF(A39=KHC,TH))</f>
        <v>0</v>
      </c>
      <c r="G39" s="43">
        <f t="shared" si="1"/>
        <v>0</v>
      </c>
      <c r="H39" s="43">
        <f t="shared" si="2"/>
        <v>3313435</v>
      </c>
      <c r="I39" s="32">
        <f>E39-F39</f>
        <v>0</v>
      </c>
    </row>
    <row r="40" spans="1:9" s="32" customFormat="1">
      <c r="A40" s="49" t="s">
        <v>936</v>
      </c>
      <c r="B40" s="42" t="s">
        <v>937</v>
      </c>
      <c r="C40" s="43">
        <v>3389804</v>
      </c>
      <c r="D40" s="43">
        <v>0</v>
      </c>
      <c r="E40" s="43">
        <f t="array" ref="E40">SUM(IF(A40=KHN,TH))</f>
        <v>0</v>
      </c>
      <c r="F40" s="43">
        <f t="array" ref="F40">SUM(IF(A40=KHC,TH))</f>
        <v>0</v>
      </c>
      <c r="G40" s="43">
        <f t="shared" si="1"/>
        <v>3389804</v>
      </c>
      <c r="H40" s="43">
        <f t="shared" si="2"/>
        <v>0</v>
      </c>
    </row>
    <row r="41" spans="1:9" s="32" customFormat="1">
      <c r="A41" s="52" t="s">
        <v>79</v>
      </c>
      <c r="B41" s="53" t="s">
        <v>80</v>
      </c>
      <c r="C41" s="51">
        <v>0</v>
      </c>
      <c r="D41" s="51">
        <v>0</v>
      </c>
      <c r="E41" s="51">
        <f t="array" ref="E41">SUM(IF(A41=KHN,TH))</f>
        <v>2000000</v>
      </c>
      <c r="F41" s="51">
        <f t="array" ref="F41">SUM(IF(A41=KHC,TH))</f>
        <v>2000000</v>
      </c>
      <c r="G41" s="51">
        <f t="shared" si="1"/>
        <v>0</v>
      </c>
      <c r="H41" s="51">
        <f t="shared" si="2"/>
        <v>0</v>
      </c>
      <c r="I41" s="32">
        <f>E41-F41</f>
        <v>0</v>
      </c>
    </row>
    <row r="42" spans="1:9" s="32" customFormat="1">
      <c r="A42" s="49" t="s">
        <v>20</v>
      </c>
      <c r="B42" s="42" t="s">
        <v>81</v>
      </c>
      <c r="C42" s="43">
        <v>0</v>
      </c>
      <c r="D42" s="43">
        <v>0</v>
      </c>
      <c r="E42" s="43">
        <f>E41</f>
        <v>2000000</v>
      </c>
      <c r="F42" s="43">
        <f>F41</f>
        <v>2000000</v>
      </c>
      <c r="G42" s="43">
        <f>G41</f>
        <v>0</v>
      </c>
      <c r="H42" s="43">
        <f>H41</f>
        <v>0</v>
      </c>
      <c r="I42" s="32">
        <f>E42-F42</f>
        <v>0</v>
      </c>
    </row>
    <row r="43" spans="1:9" s="32" customFormat="1">
      <c r="A43" s="46" t="s">
        <v>82</v>
      </c>
      <c r="B43" s="47" t="s">
        <v>83</v>
      </c>
      <c r="C43" s="48">
        <f t="shared" ref="C43:D43" si="6">C39+C42+C40</f>
        <v>3389804</v>
      </c>
      <c r="D43" s="48">
        <f t="shared" si="6"/>
        <v>3313435</v>
      </c>
      <c r="E43" s="48">
        <f>E39+E42+E40</f>
        <v>2000000</v>
      </c>
      <c r="F43" s="48">
        <f t="shared" ref="F43:H43" si="7">F39+F42+F40</f>
        <v>2000000</v>
      </c>
      <c r="G43" s="48">
        <f t="shared" si="7"/>
        <v>3389804</v>
      </c>
      <c r="H43" s="48">
        <f t="shared" si="7"/>
        <v>3313435</v>
      </c>
      <c r="I43" s="32">
        <f>E43-F43</f>
        <v>0</v>
      </c>
    </row>
    <row r="44" spans="1:9" s="32" customFormat="1">
      <c r="A44" s="49" t="s">
        <v>643</v>
      </c>
      <c r="B44" s="42" t="s">
        <v>933</v>
      </c>
      <c r="C44" s="43">
        <v>0</v>
      </c>
      <c r="D44" s="43">
        <v>0</v>
      </c>
      <c r="E44" s="43">
        <f t="array" ref="E44">SUM(IF(A44=KHN,TH))</f>
        <v>0</v>
      </c>
      <c r="F44" s="43">
        <f t="array" ref="F44">SUM(IF(A44=KHC,TH))</f>
        <v>0</v>
      </c>
      <c r="G44" s="43">
        <f t="shared" ref="G44:G45" si="8">MAX(C44+E44-D44-F44,0)</f>
        <v>0</v>
      </c>
      <c r="H44" s="43">
        <f t="shared" ref="H44:H45" si="9">MAX(D44+F44-E44-C44,0)</f>
        <v>0</v>
      </c>
    </row>
    <row r="45" spans="1:9" s="32" customFormat="1">
      <c r="A45" s="46" t="s">
        <v>934</v>
      </c>
      <c r="B45" s="47" t="s">
        <v>935</v>
      </c>
      <c r="C45" s="48">
        <v>0</v>
      </c>
      <c r="D45" s="48">
        <v>0</v>
      </c>
      <c r="E45" s="48">
        <f>E44</f>
        <v>0</v>
      </c>
      <c r="F45" s="48">
        <f>F44</f>
        <v>0</v>
      </c>
      <c r="G45" s="48">
        <f t="shared" si="8"/>
        <v>0</v>
      </c>
      <c r="H45" s="48">
        <f t="shared" si="9"/>
        <v>0</v>
      </c>
    </row>
    <row r="46" spans="1:9" s="32" customFormat="1" ht="12.75" customHeight="1">
      <c r="A46" s="41" t="s">
        <v>644</v>
      </c>
      <c r="B46" s="42" t="s">
        <v>930</v>
      </c>
      <c r="C46" s="43">
        <v>0</v>
      </c>
      <c r="D46" s="43">
        <v>40272309</v>
      </c>
      <c r="E46" s="43">
        <f t="array" ref="E46">SUM(IF(A46=KHN,TH))</f>
        <v>0</v>
      </c>
      <c r="F46" s="43">
        <f t="array" ref="F46">SUM(IF(A46=KHC,TH))</f>
        <v>0</v>
      </c>
      <c r="G46" s="43">
        <f t="shared" ref="G46:G48" si="10">MAX(C46+E46-D46-F46,0)</f>
        <v>0</v>
      </c>
      <c r="H46" s="43">
        <f t="shared" ref="H46:H48" si="11">MAX(D46+F46-E46-C46,0)</f>
        <v>40272309</v>
      </c>
    </row>
    <row r="47" spans="1:9" s="32" customFormat="1">
      <c r="A47" s="49" t="s">
        <v>645</v>
      </c>
      <c r="B47" s="42" t="s">
        <v>931</v>
      </c>
      <c r="C47" s="43">
        <v>0</v>
      </c>
      <c r="D47" s="43">
        <v>6403142</v>
      </c>
      <c r="E47" s="43">
        <f t="array" ref="E47">SUM(IF(A47=KHN,TH))</f>
        <v>0</v>
      </c>
      <c r="F47" s="43">
        <f t="array" ref="F47">SUM(IF(A47=KHC,TH))</f>
        <v>0</v>
      </c>
      <c r="G47" s="43">
        <f t="shared" si="10"/>
        <v>0</v>
      </c>
      <c r="H47" s="43">
        <f t="shared" si="11"/>
        <v>6403142</v>
      </c>
    </row>
    <row r="48" spans="1:9" s="32" customFormat="1">
      <c r="A48" s="41" t="s">
        <v>646</v>
      </c>
      <c r="B48" s="42" t="s">
        <v>932</v>
      </c>
      <c r="C48" s="43">
        <v>0</v>
      </c>
      <c r="D48" s="43">
        <v>2761373</v>
      </c>
      <c r="E48" s="43">
        <f t="array" ref="E48">SUM(IF(A48=KHN,TH))</f>
        <v>0</v>
      </c>
      <c r="F48" s="43">
        <f t="array" ref="F48">SUM(IF(A48=KHC,TH))</f>
        <v>0</v>
      </c>
      <c r="G48" s="43">
        <f t="shared" si="10"/>
        <v>0</v>
      </c>
      <c r="H48" s="43">
        <f t="shared" si="11"/>
        <v>2761373</v>
      </c>
    </row>
    <row r="49" spans="1:9" s="32" customFormat="1">
      <c r="A49" s="49" t="s">
        <v>19</v>
      </c>
      <c r="B49" s="42" t="s">
        <v>84</v>
      </c>
      <c r="C49" s="43">
        <v>0</v>
      </c>
      <c r="D49" s="43">
        <v>0</v>
      </c>
      <c r="E49" s="43">
        <f t="array" ref="E49">SUM(IF(A49=KHN,TH))</f>
        <v>0</v>
      </c>
      <c r="F49" s="43">
        <f t="array" ref="F49">SUM(IF(A49=KHC,TH))</f>
        <v>0</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0</v>
      </c>
      <c r="F50" s="48">
        <f t="shared" si="14"/>
        <v>0</v>
      </c>
      <c r="G50" s="48">
        <f t="shared" si="14"/>
        <v>0</v>
      </c>
      <c r="H50" s="48">
        <f t="shared" si="14"/>
        <v>49436824</v>
      </c>
    </row>
    <row r="51" spans="1:9" s="32" customFormat="1">
      <c r="A51" s="41" t="s">
        <v>87</v>
      </c>
      <c r="B51" s="42" t="s">
        <v>277</v>
      </c>
      <c r="C51" s="43">
        <v>0</v>
      </c>
      <c r="D51" s="43">
        <v>2169121879</v>
      </c>
      <c r="E51" s="43">
        <f t="array" ref="E51">SUM(IF(A51=KHN,TH))</f>
        <v>0</v>
      </c>
      <c r="F51" s="43">
        <f t="array" ref="F51">SUM(IF(A51=KHC,TH))</f>
        <v>0</v>
      </c>
      <c r="G51" s="44">
        <f>MAX(C51+E51-D51-F51,0)</f>
        <v>0</v>
      </c>
      <c r="H51" s="44">
        <f>MAX(D51+F51-E51-C51,0)</f>
        <v>2169121879</v>
      </c>
    </row>
    <row r="52" spans="1:9" s="32" customFormat="1">
      <c r="A52" s="41" t="s">
        <v>276</v>
      </c>
      <c r="B52" s="42" t="s">
        <v>278</v>
      </c>
      <c r="C52" s="43">
        <v>0</v>
      </c>
      <c r="D52" s="43">
        <v>21202920500</v>
      </c>
      <c r="E52" s="43">
        <f t="array" ref="E52">SUM(IF(A52=KHN,TH))</f>
        <v>3345147000</v>
      </c>
      <c r="F52" s="43">
        <f t="array" ref="F52">SUM(IF(A52=KHC,TH))</f>
        <v>3404364000</v>
      </c>
      <c r="G52" s="44">
        <f>MAX(C52+E52-D52-F52,0)</f>
        <v>0</v>
      </c>
      <c r="H52" s="44">
        <f>MAX(D52+F52-E52-C52,0)</f>
        <v>21262137500</v>
      </c>
    </row>
    <row r="53" spans="1:9" s="32" customFormat="1">
      <c r="A53" s="50" t="s">
        <v>42</v>
      </c>
      <c r="B53" s="47" t="s">
        <v>88</v>
      </c>
      <c r="C53" s="48">
        <f t="shared" ref="C53:H53" si="15">SUM(C51:C52)</f>
        <v>0</v>
      </c>
      <c r="D53" s="48">
        <f t="shared" si="15"/>
        <v>23372042379</v>
      </c>
      <c r="E53" s="48">
        <f t="shared" si="15"/>
        <v>3345147000</v>
      </c>
      <c r="F53" s="48">
        <f t="shared" si="15"/>
        <v>3404364000</v>
      </c>
      <c r="G53" s="48">
        <f t="shared" si="15"/>
        <v>0</v>
      </c>
      <c r="H53" s="48">
        <f t="shared" si="15"/>
        <v>23431259379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0</v>
      </c>
      <c r="F56" s="43">
        <f t="array" ref="F56">SUM(IF(A56=KHC,TH))</f>
        <v>0</v>
      </c>
      <c r="G56" s="44">
        <f>MAX(C56+E56-D56-F56,0)</f>
        <v>0</v>
      </c>
      <c r="H56" s="44">
        <f>MAX(D56+F56-E56-C56,0)</f>
        <v>486535137</v>
      </c>
    </row>
    <row r="57" spans="1:9" s="32" customFormat="1">
      <c r="A57" s="49" t="s">
        <v>94</v>
      </c>
      <c r="B57" s="42" t="s">
        <v>95</v>
      </c>
      <c r="C57" s="43"/>
      <c r="D57" s="43">
        <v>30160884.000000477</v>
      </c>
      <c r="E57" s="43">
        <f t="array" ref="E57">SUM(IF(A57=TH!$N$10:$N$782,TH!$M$10:$M$782))</f>
        <v>275216749</v>
      </c>
      <c r="F57" s="43">
        <f t="array" ref="F57">SUM(IF(A57=TH!$O$10:$O$782,TH!$M$10:$M$782))</f>
        <v>0</v>
      </c>
      <c r="G57" s="43">
        <f>MAX(C57+E57-D57-F57,0)</f>
        <v>245055864.99999952</v>
      </c>
      <c r="H57" s="43">
        <f>MAX(D57+F57-E57-C57,0)</f>
        <v>0</v>
      </c>
    </row>
    <row r="58" spans="1:9" s="32" customFormat="1">
      <c r="A58" s="46" t="s">
        <v>96</v>
      </c>
      <c r="B58" s="47" t="s">
        <v>97</v>
      </c>
      <c r="C58" s="48"/>
      <c r="D58" s="48">
        <v>516696021.00000048</v>
      </c>
      <c r="E58" s="48">
        <f>E57+E56</f>
        <v>275216749</v>
      </c>
      <c r="F58" s="48">
        <f>F57+F56</f>
        <v>0</v>
      </c>
      <c r="G58" s="48">
        <f>G57+G56</f>
        <v>245055864.99999952</v>
      </c>
      <c r="H58" s="48">
        <f>H57+H56</f>
        <v>486535137</v>
      </c>
    </row>
    <row r="59" spans="1:9" s="32" customFormat="1" ht="12.75" customHeight="1">
      <c r="A59" s="537" t="s">
        <v>312</v>
      </c>
      <c r="B59" s="538" t="s">
        <v>313</v>
      </c>
      <c r="C59" s="539"/>
      <c r="D59" s="539"/>
      <c r="E59" s="540">
        <f t="array" ref="E59">SUM(IF(A59=KHN,TH))</f>
        <v>0</v>
      </c>
      <c r="F59" s="540">
        <f t="array" ref="F59">SUM(IF(A59=KHC,TH))</f>
        <v>0</v>
      </c>
      <c r="G59" s="539"/>
      <c r="H59" s="539"/>
      <c r="I59" s="32">
        <f>E59-F59</f>
        <v>0</v>
      </c>
    </row>
    <row r="60" spans="1:9" s="32" customFormat="1">
      <c r="A60" s="537" t="s">
        <v>314</v>
      </c>
      <c r="B60" s="538" t="s">
        <v>315</v>
      </c>
      <c r="C60" s="539"/>
      <c r="D60" s="539"/>
      <c r="E60" s="540">
        <f t="array" ref="E60">SUM(IF(A60=KHN,TH))</f>
        <v>0</v>
      </c>
      <c r="F60" s="540">
        <f t="array" ref="F60">SUM(IF(A60=KHC,TH))</f>
        <v>2712427200</v>
      </c>
      <c r="G60" s="539"/>
      <c r="H60" s="539"/>
      <c r="I60" s="32">
        <f>E60-F60</f>
        <v>-2712427200</v>
      </c>
    </row>
    <row r="61" spans="1:9" s="32" customFormat="1">
      <c r="A61" s="41" t="s">
        <v>316</v>
      </c>
      <c r="B61" s="42" t="s">
        <v>317</v>
      </c>
      <c r="C61" s="43"/>
      <c r="D61" s="43"/>
      <c r="E61" s="43">
        <f>E59+E60</f>
        <v>0</v>
      </c>
      <c r="F61" s="43">
        <f>F59+F60</f>
        <v>2712427200</v>
      </c>
      <c r="G61" s="43"/>
      <c r="H61" s="43"/>
      <c r="I61" s="32">
        <f>E61-F61</f>
        <v>-2712427200</v>
      </c>
    </row>
    <row r="62" spans="1:9" s="32" customFormat="1">
      <c r="A62" s="46" t="s">
        <v>318</v>
      </c>
      <c r="B62" s="47" t="s">
        <v>319</v>
      </c>
      <c r="C62" s="48"/>
      <c r="D62" s="48"/>
      <c r="E62" s="48">
        <f>E61</f>
        <v>0</v>
      </c>
      <c r="F62" s="48">
        <f>F61</f>
        <v>2712427200</v>
      </c>
      <c r="G62" s="48"/>
      <c r="H62" s="48"/>
      <c r="I62" s="32">
        <f>E62-F62</f>
        <v>-2712427200</v>
      </c>
    </row>
    <row r="63" spans="1:9" s="32" customFormat="1">
      <c r="A63" s="46" t="s">
        <v>43</v>
      </c>
      <c r="B63" s="47" t="s">
        <v>98</v>
      </c>
      <c r="C63" s="48"/>
      <c r="D63" s="48"/>
      <c r="E63" s="89">
        <f t="array" ref="E63">SUM(IF(A63=KHN,TH))</f>
        <v>9645794</v>
      </c>
      <c r="F63" s="89">
        <f t="array" ref="F63">SUM(IF(A63=KHC,TH))</f>
        <v>9645794</v>
      </c>
      <c r="G63" s="48"/>
      <c r="H63" s="48"/>
      <c r="I63" s="32">
        <f t="shared" ref="I63:I70" si="16">E63-F63</f>
        <v>0</v>
      </c>
    </row>
    <row r="64" spans="1:9" s="32" customFormat="1" ht="12.75" customHeight="1">
      <c r="A64" s="46" t="s">
        <v>310</v>
      </c>
      <c r="B64" s="47" t="s">
        <v>311</v>
      </c>
      <c r="C64" s="48"/>
      <c r="D64" s="48"/>
      <c r="E64" s="89">
        <f t="array" ref="E64">SUM(IF(A64=KHN,TH))</f>
        <v>0</v>
      </c>
      <c r="F64" s="89">
        <f t="array" ref="F64">SUM(IF(A64=KHC,TH))</f>
        <v>0</v>
      </c>
      <c r="G64" s="48"/>
      <c r="H64" s="48"/>
      <c r="I64" s="32">
        <f t="shared" si="16"/>
        <v>0</v>
      </c>
    </row>
    <row r="65" spans="1:9" s="32" customFormat="1" ht="12.75" customHeight="1">
      <c r="A65" s="46" t="s">
        <v>99</v>
      </c>
      <c r="B65" s="47" t="s">
        <v>100</v>
      </c>
      <c r="C65" s="48"/>
      <c r="D65" s="48"/>
      <c r="E65" s="89">
        <f t="array" ref="E65">SUM(IF(A65=KHN,TH))</f>
        <v>162146200</v>
      </c>
      <c r="F65" s="89">
        <f t="array" ref="F65">SUM(IF(A65=KHC,TH))</f>
        <v>162146200</v>
      </c>
      <c r="G65" s="48"/>
      <c r="H65" s="48"/>
      <c r="I65" s="32">
        <f t="shared" si="16"/>
        <v>0</v>
      </c>
    </row>
    <row r="66" spans="1:9" s="32" customFormat="1" ht="12.75" customHeight="1">
      <c r="A66" s="46" t="s">
        <v>101</v>
      </c>
      <c r="B66" s="47" t="s">
        <v>102</v>
      </c>
      <c r="C66" s="48"/>
      <c r="D66" s="48"/>
      <c r="E66" s="89">
        <f t="array" ref="E66">SUM(IF(A66=KHN,TH))</f>
        <v>122716343</v>
      </c>
      <c r="F66" s="89">
        <f t="array" ref="F66">SUM(IF(A66=KHC,TH))</f>
        <v>122716343</v>
      </c>
      <c r="G66" s="48"/>
      <c r="H66" s="48"/>
      <c r="I66" s="32">
        <f t="shared" si="16"/>
        <v>0</v>
      </c>
    </row>
    <row r="67" spans="1:9" s="32" customFormat="1" ht="12.75" customHeight="1">
      <c r="A67" s="50" t="s">
        <v>103</v>
      </c>
      <c r="B67" s="47" t="s">
        <v>104</v>
      </c>
      <c r="C67" s="48"/>
      <c r="D67" s="48"/>
      <c r="E67" s="89">
        <f t="array" ref="E67">SUM(IF(A67=KHN,TH))</f>
        <v>0</v>
      </c>
      <c r="F67" s="89">
        <f t="array" ref="F67">SUM(IF(A67=KHC,TH))</f>
        <v>0</v>
      </c>
      <c r="G67" s="48"/>
      <c r="H67" s="48"/>
      <c r="I67" s="32">
        <f t="shared" si="16"/>
        <v>0</v>
      </c>
    </row>
    <row r="68" spans="1:9" s="32" customFormat="1" ht="12.75" customHeight="1">
      <c r="A68" s="46" t="s">
        <v>105</v>
      </c>
      <c r="B68" s="47" t="s">
        <v>106</v>
      </c>
      <c r="C68" s="48"/>
      <c r="D68" s="48"/>
      <c r="E68" s="89">
        <f t="array" ref="E68">SUM(IF(A68=KHN,TH))</f>
        <v>0</v>
      </c>
      <c r="F68" s="89">
        <f t="array" ref="F68">SUM(IF(A68=KHC,TH))</f>
        <v>0</v>
      </c>
      <c r="G68" s="48"/>
      <c r="H68" s="48"/>
      <c r="I68" s="32">
        <f t="shared" si="16"/>
        <v>0</v>
      </c>
    </row>
    <row r="69" spans="1:9" s="32" customFormat="1" ht="12.75" customHeight="1">
      <c r="A69" s="50" t="s">
        <v>107</v>
      </c>
      <c r="B69" s="47" t="s">
        <v>108</v>
      </c>
      <c r="C69" s="48"/>
      <c r="D69" s="48"/>
      <c r="E69" s="89">
        <f t="array" ref="E69">SUM(IF(A69=KHN,TH))</f>
        <v>0</v>
      </c>
      <c r="F69" s="89">
        <f t="array" ref="F69">SUM(IF(A69=KHC,TH))</f>
        <v>0</v>
      </c>
      <c r="G69" s="48"/>
      <c r="H69" s="48"/>
      <c r="I69" s="32">
        <f t="shared" si="16"/>
        <v>0</v>
      </c>
    </row>
    <row r="70" spans="1:9" s="32" customFormat="1">
      <c r="A70" s="46" t="s">
        <v>109</v>
      </c>
      <c r="B70" s="47" t="s">
        <v>110</v>
      </c>
      <c r="C70" s="48"/>
      <c r="D70" s="48"/>
      <c r="E70" s="90">
        <f t="array" ref="E70">SUM(IF(A70=KHN,TH))</f>
        <v>284862543</v>
      </c>
      <c r="F70" s="90">
        <f t="array" ref="F70">SUM(IF(A70=TH!$O$10:$O$782,TH!$M$10:$M$782))</f>
        <v>284862543</v>
      </c>
      <c r="G70" s="48"/>
      <c r="H70" s="48"/>
      <c r="I70" s="32">
        <f t="shared" si="16"/>
        <v>0</v>
      </c>
    </row>
    <row r="71" spans="1:9" s="32" customFormat="1">
      <c r="A71" s="54" t="s">
        <v>111</v>
      </c>
      <c r="B71" s="54"/>
      <c r="C71" s="54">
        <f>C11+C14+C15+C17+C19+C20+C23+C24+C25+C26+C30+C32+C35+C37+C38+C43+C45+C50+C53+C55+C58+C62+C63+C64+C65+C66+C67+C68+C69+C70</f>
        <v>44151443527</v>
      </c>
      <c r="D71" s="54">
        <f t="shared" ref="D71:H71" si="17">D11+D14+D15+D17+D19+D20+D23+D24+D25+D26+D30+D32+D35+D37+D38+D43+D45+D50+D53+D55+D58+D62+D63+D64+D65+D66+D67+D68+D69+D70</f>
        <v>44151443527</v>
      </c>
      <c r="E71" s="54">
        <f t="shared" si="17"/>
        <v>34685165935</v>
      </c>
      <c r="F71" s="54">
        <f t="shared" si="17"/>
        <v>34761896497</v>
      </c>
      <c r="G71" s="54">
        <f t="shared" si="17"/>
        <v>47207999218</v>
      </c>
      <c r="H71" s="54">
        <f t="shared" si="17"/>
        <v>44572302580</v>
      </c>
    </row>
    <row r="72" spans="1:9">
      <c r="E72" s="55"/>
      <c r="F72" s="56"/>
    </row>
    <row r="73" spans="1:9">
      <c r="C73" s="32">
        <f>[3]CDPS!$G$69</f>
        <v>44151443527</v>
      </c>
      <c r="D73" s="32">
        <f>[3]CDPS!$G$69</f>
        <v>44151443527</v>
      </c>
      <c r="E73" s="56"/>
      <c r="H73" s="56">
        <f>G71-H71</f>
        <v>2635696638</v>
      </c>
    </row>
    <row r="74" spans="1:9">
      <c r="C74" s="32">
        <f>C71-C73</f>
        <v>0</v>
      </c>
      <c r="D74" s="32">
        <f>D71-D73</f>
        <v>0</v>
      </c>
      <c r="E74" s="57"/>
      <c r="F74" s="57"/>
    </row>
    <row r="75" spans="1:9">
      <c r="E75" s="57"/>
      <c r="F75"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J782"/>
  <sheetViews>
    <sheetView tabSelected="1" topLeftCell="A7" workbookViewId="0">
      <pane xSplit="15" ySplit="3" topLeftCell="AN256" activePane="bottomRight" state="frozen"/>
      <selection activeCell="A7" sqref="A7"/>
      <selection pane="topRight" activeCell="P7" sqref="P7"/>
      <selection pane="bottomLeft" activeCell="A10" sqref="A10"/>
      <selection pane="bottomRight" activeCell="F269" sqref="F269"/>
    </sheetView>
  </sheetViews>
  <sheetFormatPr defaultRowHeight="12.75"/>
  <cols>
    <col min="1" max="1" width="4.5703125" style="400" customWidth="1"/>
    <col min="2" max="2" width="4.85546875" style="388" customWidth="1"/>
    <col min="3" max="3" width="9.140625" style="388" customWidth="1"/>
    <col min="4" max="4" width="6.85546875" style="388" customWidth="1"/>
    <col min="5" max="5" width="9.140625" style="388" customWidth="1"/>
    <col min="6" max="6" width="33.7109375" style="388" customWidth="1"/>
    <col min="7" max="7" width="8" style="415" customWidth="1"/>
    <col min="8" max="8" width="28.42578125" style="416" customWidth="1"/>
    <col min="9" max="10" width="7.7109375" style="416" customWidth="1"/>
    <col min="11" max="11" width="8.85546875" style="416" customWidth="1"/>
    <col min="12" max="12" width="7.28515625" style="416" customWidth="1"/>
    <col min="13" max="13" width="13.140625" style="388" customWidth="1"/>
    <col min="14" max="15" width="7" style="388" customWidth="1"/>
    <col min="16" max="16" width="4.42578125" style="388" hidden="1" customWidth="1"/>
    <col min="17" max="19" width="2.7109375" style="388" hidden="1" customWidth="1"/>
    <col min="20" max="22" width="2.5703125" style="388" hidden="1" customWidth="1"/>
    <col min="23" max="25" width="2.7109375" style="388" hidden="1" customWidth="1"/>
    <col min="26" max="28" width="4.42578125" style="388" hidden="1" customWidth="1"/>
    <col min="29" max="29" width="4.140625" style="388" hidden="1" customWidth="1"/>
    <col min="30" max="33" width="2.7109375" style="388" hidden="1" customWidth="1"/>
    <col min="34" max="16384" width="9.140625" style="388"/>
  </cols>
  <sheetData>
    <row r="1" spans="1:33">
      <c r="B1" s="58"/>
      <c r="C1" s="58" t="s">
        <v>122</v>
      </c>
      <c r="D1" s="59"/>
      <c r="E1" s="59"/>
      <c r="F1" s="60"/>
      <c r="G1" s="59"/>
      <c r="H1" s="94"/>
      <c r="I1" s="94"/>
      <c r="J1" s="94"/>
      <c r="K1" s="94"/>
      <c r="L1" s="94"/>
      <c r="M1" s="72"/>
      <c r="N1" s="61"/>
      <c r="O1" s="61"/>
      <c r="P1" s="61"/>
      <c r="Q1" s="61"/>
      <c r="R1" s="61"/>
      <c r="S1" s="61"/>
      <c r="T1" s="61"/>
      <c r="U1" s="61"/>
      <c r="V1" s="61"/>
      <c r="W1" s="61"/>
      <c r="X1" s="61"/>
      <c r="Y1" s="61"/>
      <c r="Z1" s="61"/>
      <c r="AA1" s="61"/>
      <c r="AB1" s="61"/>
      <c r="AD1" s="61"/>
      <c r="AE1" s="61"/>
      <c r="AF1" s="61"/>
      <c r="AG1" s="61"/>
    </row>
    <row r="2" spans="1:33">
      <c r="B2" s="58"/>
      <c r="C2" s="58" t="s">
        <v>123</v>
      </c>
      <c r="D2" s="59"/>
      <c r="E2" s="59"/>
      <c r="F2" s="59"/>
      <c r="G2" s="59"/>
      <c r="H2" s="95"/>
      <c r="I2" s="95"/>
      <c r="J2" s="95"/>
      <c r="K2" s="95"/>
      <c r="L2" s="95"/>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5"/>
      <c r="I3" s="95"/>
      <c r="J3" s="95"/>
      <c r="K3" s="95"/>
      <c r="L3" s="95"/>
      <c r="M3" s="71"/>
      <c r="N3" s="62"/>
      <c r="O3" s="62"/>
      <c r="P3" s="62"/>
      <c r="Q3" s="62"/>
      <c r="R3" s="62"/>
      <c r="S3" s="62"/>
      <c r="T3" s="62"/>
      <c r="U3" s="62"/>
      <c r="V3" s="62"/>
      <c r="W3" s="62"/>
      <c r="X3" s="62"/>
      <c r="Y3" s="62"/>
      <c r="Z3" s="62"/>
      <c r="AA3" s="62"/>
      <c r="AB3" s="62"/>
      <c r="AD3" s="62"/>
      <c r="AE3" s="62"/>
      <c r="AF3" s="62"/>
      <c r="AG3" s="62"/>
    </row>
    <row r="4" spans="1:33" ht="22.5">
      <c r="B4" s="72"/>
      <c r="C4" s="1086" t="s">
        <v>112</v>
      </c>
      <c r="D4" s="1086"/>
      <c r="E4" s="1086"/>
      <c r="F4" s="1086"/>
      <c r="G4" s="1086"/>
      <c r="H4" s="1086"/>
      <c r="I4" s="1086"/>
      <c r="J4" s="1086"/>
      <c r="K4" s="1086"/>
      <c r="L4" s="1086"/>
      <c r="M4" s="1086"/>
      <c r="N4" s="1086"/>
      <c r="O4" s="1086"/>
    </row>
    <row r="5" spans="1:33" ht="14.25">
      <c r="B5" s="72"/>
      <c r="C5" s="1087"/>
      <c r="D5" s="1087"/>
      <c r="E5" s="1087"/>
      <c r="F5" s="1087"/>
      <c r="G5" s="1087"/>
      <c r="H5" s="1087"/>
      <c r="I5" s="1087"/>
      <c r="J5" s="1087"/>
      <c r="K5" s="1087"/>
      <c r="L5" s="1087"/>
      <c r="M5" s="1087"/>
      <c r="N5" s="1087"/>
      <c r="O5" s="1087"/>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66" t="s">
        <v>143</v>
      </c>
      <c r="B7" s="1068" t="s">
        <v>124</v>
      </c>
      <c r="C7" s="1071" t="s">
        <v>22</v>
      </c>
      <c r="D7" s="1088" t="s">
        <v>1</v>
      </c>
      <c r="E7" s="1089"/>
      <c r="F7" s="1071" t="s">
        <v>0</v>
      </c>
      <c r="G7" s="1091" t="s">
        <v>141</v>
      </c>
      <c r="H7" s="1070" t="s">
        <v>47</v>
      </c>
      <c r="I7" s="1084" t="s">
        <v>595</v>
      </c>
      <c r="J7" s="1085"/>
      <c r="K7" s="1071" t="s">
        <v>281</v>
      </c>
      <c r="L7" s="1071"/>
      <c r="M7" s="1071" t="s">
        <v>280</v>
      </c>
      <c r="N7" s="1090" t="s">
        <v>114</v>
      </c>
      <c r="O7" s="1090"/>
      <c r="P7" s="1076" t="s">
        <v>8</v>
      </c>
      <c r="Q7" s="1078" t="s">
        <v>63</v>
      </c>
      <c r="R7" s="1079"/>
      <c r="S7" s="1080"/>
      <c r="T7" s="1078" t="s">
        <v>67</v>
      </c>
      <c r="U7" s="1079"/>
      <c r="V7" s="1080"/>
      <c r="W7" s="1078" t="s">
        <v>9</v>
      </c>
      <c r="X7" s="1079"/>
      <c r="Y7" s="1080"/>
      <c r="Z7" s="1076" t="s">
        <v>42</v>
      </c>
      <c r="AA7" s="1074" t="str">
        <f>CTTK!$E$7</f>
        <v>515</v>
      </c>
      <c r="AB7" s="1074" t="s">
        <v>639</v>
      </c>
      <c r="AC7" s="1072" t="s">
        <v>239</v>
      </c>
      <c r="AD7" s="1078" t="s">
        <v>294</v>
      </c>
      <c r="AE7" s="1079"/>
      <c r="AF7" s="1079"/>
      <c r="AG7" s="1080"/>
    </row>
    <row r="8" spans="1:33" ht="24.75" customHeight="1">
      <c r="A8" s="1067"/>
      <c r="B8" s="1069"/>
      <c r="C8" s="1071"/>
      <c r="D8" s="397" t="s">
        <v>17</v>
      </c>
      <c r="E8" s="396" t="s">
        <v>34</v>
      </c>
      <c r="F8" s="1071"/>
      <c r="G8" s="1092"/>
      <c r="H8" s="1070"/>
      <c r="I8" s="527" t="s">
        <v>486</v>
      </c>
      <c r="J8" s="527" t="s">
        <v>487</v>
      </c>
      <c r="K8" s="504" t="s">
        <v>287</v>
      </c>
      <c r="L8" s="504" t="s">
        <v>285</v>
      </c>
      <c r="M8" s="1071"/>
      <c r="N8" s="398" t="s">
        <v>24</v>
      </c>
      <c r="O8" s="398" t="s">
        <v>25</v>
      </c>
      <c r="P8" s="1077"/>
      <c r="Q8" s="1081"/>
      <c r="R8" s="1082"/>
      <c r="S8" s="1083"/>
      <c r="T8" s="1081"/>
      <c r="U8" s="1082"/>
      <c r="V8" s="1083"/>
      <c r="W8" s="1081"/>
      <c r="X8" s="1082"/>
      <c r="Y8" s="1083"/>
      <c r="Z8" s="1077"/>
      <c r="AA8" s="1075"/>
      <c r="AB8" s="1075"/>
      <c r="AC8" s="1073"/>
      <c r="AD8" s="1081"/>
      <c r="AE8" s="1082"/>
      <c r="AF8" s="1082"/>
      <c r="AG8" s="1083"/>
    </row>
    <row r="9" spans="1:33">
      <c r="A9" s="401">
        <v>1</v>
      </c>
      <c r="B9" s="402">
        <v>2</v>
      </c>
      <c r="C9" s="402">
        <v>3</v>
      </c>
      <c r="D9" s="402">
        <v>4</v>
      </c>
      <c r="E9" s="402">
        <v>5</v>
      </c>
      <c r="F9" s="402">
        <v>6</v>
      </c>
      <c r="G9" s="403">
        <v>7</v>
      </c>
      <c r="H9" s="402">
        <v>8</v>
      </c>
      <c r="I9" s="403">
        <v>9</v>
      </c>
      <c r="J9" s="402">
        <v>10</v>
      </c>
      <c r="K9" s="403">
        <v>11</v>
      </c>
      <c r="L9" s="402">
        <v>12</v>
      </c>
      <c r="M9" s="403">
        <v>13</v>
      </c>
      <c r="N9" s="402">
        <v>14</v>
      </c>
      <c r="O9" s="403">
        <v>15</v>
      </c>
      <c r="P9" s="402">
        <v>16</v>
      </c>
      <c r="Q9" s="403">
        <v>17</v>
      </c>
      <c r="R9" s="402">
        <v>18</v>
      </c>
      <c r="S9" s="403">
        <v>19</v>
      </c>
      <c r="T9" s="402">
        <v>20</v>
      </c>
      <c r="U9" s="402"/>
      <c r="V9" s="402"/>
      <c r="W9" s="403">
        <v>23</v>
      </c>
      <c r="X9" s="402">
        <v>24</v>
      </c>
      <c r="Y9" s="403">
        <v>25</v>
      </c>
      <c r="Z9" s="402">
        <v>26</v>
      </c>
      <c r="AA9" s="403">
        <v>27</v>
      </c>
      <c r="AB9" s="403"/>
      <c r="AC9" s="402">
        <v>24</v>
      </c>
      <c r="AD9" s="402">
        <v>19</v>
      </c>
      <c r="AE9" s="402">
        <v>20</v>
      </c>
      <c r="AF9" s="402"/>
      <c r="AG9" s="402">
        <v>21</v>
      </c>
    </row>
    <row r="10" spans="1:33" s="404" customFormat="1" ht="15.75" customHeight="1">
      <c r="A10" s="399" t="str">
        <f>IF(B10&lt;&gt;"",IF(AND(B10&gt;=_TM1,B10&lt;=_TM2,OR(TH!N10="1111",TH!O10="1111")),TH!D10,""),"")</f>
        <v/>
      </c>
      <c r="B10" s="63">
        <f t="shared" ref="B10:B15" si="0">IF(C10&lt;&gt;"",MONTH(C10),"")</f>
        <v>12</v>
      </c>
      <c r="C10" s="83">
        <v>42369</v>
      </c>
      <c r="D10" s="83" t="s">
        <v>115</v>
      </c>
      <c r="E10" s="83">
        <v>42369</v>
      </c>
      <c r="F10" s="84" t="s">
        <v>118</v>
      </c>
      <c r="G10" s="377"/>
      <c r="H10" s="85"/>
      <c r="I10" s="516"/>
      <c r="J10" s="516"/>
      <c r="K10" s="507"/>
      <c r="L10" s="516"/>
      <c r="M10" s="86">
        <f>MAX(SUMIF(KHN,"911",TH)-SUMIF(KHC,"911",TH),SUMIF(KHC,"911",TH)-SUMIF(KHN,"911",TH))</f>
        <v>275216749</v>
      </c>
      <c r="N10" s="87" t="s">
        <v>94</v>
      </c>
      <c r="O10" s="87" t="s">
        <v>109</v>
      </c>
      <c r="P10" s="87" t="str">
        <f>IF(AND('331-CT'!$E$7=TH!H10,OR(N10="331",O10="331")),"x","")</f>
        <v/>
      </c>
      <c r="Q10" s="87" t="str">
        <f>IF(AND(B10='111'!$L$11,OR($N10=$Q$7,$O10=$Q$7)),"x","")</f>
        <v/>
      </c>
      <c r="R10" s="87" t="str">
        <f>IF(AND($N10=$Q$7,$B10&lt;'111'!$L$11),"x","")</f>
        <v/>
      </c>
      <c r="S10" s="87" t="str">
        <f>IF(AND($O10=$Q$7,$B10&lt;'111'!$L$11),"x","")</f>
        <v/>
      </c>
      <c r="T10" s="87" t="str">
        <f>IF(ISERROR(FIND('112'!$M$9,G10,1)),"",IF((AND(FIND('112'!$M$9,G10,1)&gt;=1,B10='112'!$K$9,OR($N10='112'!$I$6,$O10='112'!$I$6))),"x",""))</f>
        <v/>
      </c>
      <c r="U10" s="87" t="str">
        <f>IF(ISERROR(FIND('112'!$M$9,G10,1)),"",IF((AND(FIND('112'!$M$9,G10,1)&gt;=1,B10&lt;'112'!$K$9,$N10='112'!$I$6)),"x",""))</f>
        <v/>
      </c>
      <c r="V10" s="87" t="str">
        <f>IF(ISERROR(FIND('112'!$M$9,G10,1)),"",IF((AND(FIND('112'!$M$9,G10,1)&gt;=1,B10&lt;'112'!$K$9,$O10='112'!$I$6)),"x",""))</f>
        <v/>
      </c>
      <c r="W10" s="87" t="str">
        <f>IF(AND($B10&gt;='1331'!$I$9,$B10&lt;='1331'!$J$9,OR($N10=$W$7,$O10=$W$7)),"x","")</f>
        <v/>
      </c>
      <c r="X10" s="87" t="str">
        <f>IF(AND($N10=$W$7,$B10&lt;'1331'!$I$9),"x","")</f>
        <v/>
      </c>
      <c r="Y10" s="87" t="str">
        <f>IF(AND($O10=$W$7,$B10&lt;'1331'!$I$9),"x","")</f>
        <v/>
      </c>
      <c r="Z10" s="87" t="str">
        <f>IF(AND('341-CT'!$H$9=H10,OR(LEFT(N10,3)=$Z$7,LEFT(O10,3)=$Z$7)),"x","")</f>
        <v/>
      </c>
      <c r="AA10" s="87" t="str">
        <f>IF(OR(TH!N10=TH!$AA$7,O10=TH!$AA$7),"x","")</f>
        <v/>
      </c>
      <c r="AB10" s="87" t="str">
        <f>IF(AND(OR(N10="131",O10="131"),H10='131-CT'!$H$9),"x","")</f>
        <v/>
      </c>
      <c r="AC10" s="87"/>
      <c r="AD10" s="87" t="str">
        <f>IF(AND(MONTH(E10)='IN-NX'!$J$5,'IN-NX'!$D$7=D10),"x","")</f>
        <v/>
      </c>
      <c r="AE10" s="87" t="str">
        <f>IF(AND(OR(LEFT(TH!N10,2)="15",LEFT(TH!O10,2)="15"),'152-CT'!$J$8=TH!F10),"x","")</f>
        <v/>
      </c>
      <c r="AF10" s="87" t="str">
        <f>IF(AND(OR(LEFT(TH!N10,2)="15",LEFT(TH!O10,2)="15"),'THE KHO'!$E$7=TH!F10),"x","")</f>
        <v/>
      </c>
      <c r="AG10" s="87" t="str">
        <f>IF(AND(N10="1521",MONTH(C10)='BK NL'!$M$11),"x","")</f>
        <v/>
      </c>
    </row>
    <row r="11" spans="1:33" s="404" customFormat="1" ht="15.75" customHeight="1">
      <c r="A11" s="399" t="str">
        <f>IF(B11&lt;&gt;"",IF(AND(B11&gt;=_TM1,B11&lt;=_TM2,OR(TH!N11="1111",TH!O11="1111")),TH!D11,""),"")</f>
        <v/>
      </c>
      <c r="B11" s="63">
        <f t="shared" si="0"/>
        <v>12</v>
      </c>
      <c r="C11" s="83">
        <v>42369</v>
      </c>
      <c r="D11" s="83" t="s">
        <v>115</v>
      </c>
      <c r="E11" s="83">
        <v>42369</v>
      </c>
      <c r="F11" s="84" t="s">
        <v>116</v>
      </c>
      <c r="G11" s="377"/>
      <c r="H11" s="85"/>
      <c r="I11" s="516"/>
      <c r="J11" s="516"/>
      <c r="K11" s="507"/>
      <c r="L11" s="516"/>
      <c r="M11" s="86">
        <f>SUMIF(KHN,O11,TH)</f>
        <v>162146200</v>
      </c>
      <c r="N11" s="91" t="s">
        <v>109</v>
      </c>
      <c r="O11" s="87" t="s">
        <v>99</v>
      </c>
      <c r="P11" s="87" t="str">
        <f>IF(AND('331-CT'!$E$7=TH!H11,OR(N11="331",O11="331")),"x","")</f>
        <v/>
      </c>
      <c r="Q11" s="87" t="str">
        <f>IF(AND(B11='111'!$L$11,OR($N11=$Q$7,$O11=$Q$7)),"x","")</f>
        <v/>
      </c>
      <c r="R11" s="87" t="str">
        <f>IF(AND($N11=$Q$7,$B11&lt;'111'!$L$11),"x","")</f>
        <v/>
      </c>
      <c r="S11" s="87" t="str">
        <f>IF(AND($O11=$Q$7,$B11&lt;'111'!$L$11),"x","")</f>
        <v/>
      </c>
      <c r="T11" s="87" t="str">
        <f>IF(ISERROR(FIND('112'!$M$9,G11,1)),"",IF((AND(FIND('112'!$M$9,G11,1)&gt;=1,B11='112'!$K$9,OR($N11='112'!$I$6,$O11='112'!$I$6))),"x",""))</f>
        <v/>
      </c>
      <c r="U11" s="87" t="str">
        <f>IF(ISERROR(FIND('112'!$M$9,G11,1)),"",IF((AND(FIND('112'!$M$9,G11,1)&gt;=1,B11&lt;'112'!$K$9,$N11='112'!$I$6)),"x",""))</f>
        <v/>
      </c>
      <c r="V11" s="87" t="str">
        <f>IF(ISERROR(FIND('112'!$M$9,G11,1)),"",IF((AND(FIND('112'!$M$9,G11,1)&gt;=1,B11&lt;'112'!$K$9,$O11='112'!$I$6)),"x",""))</f>
        <v/>
      </c>
      <c r="W11" s="87" t="str">
        <f>IF(AND($B11&gt;='1331'!$I$9,$B11&lt;='1331'!$J$9,OR($N11=$W$7,$O11=$W$7)),"x","")</f>
        <v/>
      </c>
      <c r="X11" s="87" t="str">
        <f>IF(AND($N11=$W$7,$B11&lt;'1331'!$I$9),"x","")</f>
        <v/>
      </c>
      <c r="Y11" s="87" t="str">
        <f>IF(AND($O11=$W$7,$B11&lt;'1331'!$I$9),"x","")</f>
        <v/>
      </c>
      <c r="Z11" s="87" t="str">
        <f>IF(AND('341-CT'!$H$9=H11,OR(LEFT(N11,3)=$Z$7,LEFT(O11,3)=$Z$7)),"x","")</f>
        <v/>
      </c>
      <c r="AA11" s="87" t="str">
        <f>IF(OR(TH!N11=TH!$AA$7,O11=TH!$AA$7),"x","")</f>
        <v/>
      </c>
      <c r="AB11" s="87" t="str">
        <f>IF(AND(OR(N11="131",O11="131"),H11='131-CT'!$H$9),"x","")</f>
        <v/>
      </c>
      <c r="AC11" s="87"/>
      <c r="AD11" s="87" t="str">
        <f>IF(AND(MONTH(E11)='IN-NX'!$J$5,'IN-NX'!$D$7=D11),"x","")</f>
        <v/>
      </c>
      <c r="AE11" s="87" t="str">
        <f>IF(AND(OR(LEFT(TH!N11,2)="15",LEFT(TH!O11,2)="15"),'152-CT'!$J$8=TH!F11),"x","")</f>
        <v/>
      </c>
      <c r="AF11" s="87" t="str">
        <f>IF(AND(OR(LEFT(TH!N11,2)="15",LEFT(TH!O11,2)="15"),'THE KHO'!$E$7=TH!F11),"x","")</f>
        <v/>
      </c>
      <c r="AG11" s="87" t="str">
        <f>IF(AND(N11="1521",MONTH(C11)='BK NL'!$M$11),"x","")</f>
        <v/>
      </c>
    </row>
    <row r="12" spans="1:33" s="404" customFormat="1" ht="15.75" customHeight="1">
      <c r="A12" s="399" t="str">
        <f>IF(B12&lt;&gt;"",IF(AND(B12&gt;=_TM1,B12&lt;=_TM2,OR(TH!N12="1111",TH!O12="1111")),TH!D12,""),"")</f>
        <v/>
      </c>
      <c r="B12" s="63">
        <f t="shared" si="0"/>
        <v>12</v>
      </c>
      <c r="C12" s="83">
        <v>42369</v>
      </c>
      <c r="D12" s="83" t="s">
        <v>115</v>
      </c>
      <c r="E12" s="83">
        <v>42369</v>
      </c>
      <c r="F12" s="84" t="s">
        <v>117</v>
      </c>
      <c r="G12" s="377"/>
      <c r="H12" s="85"/>
      <c r="I12" s="516"/>
      <c r="J12" s="516"/>
      <c r="K12" s="507"/>
      <c r="L12" s="516"/>
      <c r="M12" s="86">
        <f>SUMIF(KHN,O12,TH)</f>
        <v>122716343</v>
      </c>
      <c r="N12" s="91" t="s">
        <v>109</v>
      </c>
      <c r="O12" s="87" t="s">
        <v>101</v>
      </c>
      <c r="P12" s="87" t="str">
        <f>IF(AND('331-CT'!$E$7=TH!H12,OR(N12="331",O12="331")),"x","")</f>
        <v/>
      </c>
      <c r="Q12" s="87" t="str">
        <f>IF(AND(B12='111'!$L$11,OR($N12=$Q$7,$O12=$Q$7)),"x","")</f>
        <v/>
      </c>
      <c r="R12" s="87" t="str">
        <f>IF(AND($N12=$Q$7,$B12&lt;'111'!$L$11),"x","")</f>
        <v/>
      </c>
      <c r="S12" s="87" t="str">
        <f>IF(AND($O12=$Q$7,$B12&lt;'111'!$L$11),"x","")</f>
        <v/>
      </c>
      <c r="T12" s="87" t="str">
        <f>IF(ISERROR(FIND('112'!$M$9,G12,1)),"",IF((AND(FIND('112'!$M$9,G12,1)&gt;=1,B12='112'!$K$9,OR($N12='112'!$I$6,$O12='112'!$I$6))),"x",""))</f>
        <v/>
      </c>
      <c r="U12" s="87" t="str">
        <f>IF(ISERROR(FIND('112'!$M$9,G12,1)),"",IF((AND(FIND('112'!$M$9,G12,1)&gt;=1,B12&lt;'112'!$K$9,$N12='112'!$I$6)),"x",""))</f>
        <v/>
      </c>
      <c r="V12" s="87" t="str">
        <f>IF(ISERROR(FIND('112'!$M$9,G12,1)),"",IF((AND(FIND('112'!$M$9,G12,1)&gt;=1,B12&lt;'112'!$K$9,$O12='112'!$I$6)),"x",""))</f>
        <v/>
      </c>
      <c r="W12" s="87" t="str">
        <f>IF(AND($B12&gt;='1331'!$I$9,$B12&lt;='1331'!$J$9,OR($N12=$W$7,$O12=$W$7)),"x","")</f>
        <v/>
      </c>
      <c r="X12" s="87" t="str">
        <f>IF(AND($N12=$W$7,$B12&lt;'1331'!$I$9),"x","")</f>
        <v/>
      </c>
      <c r="Y12" s="87" t="str">
        <f>IF(AND($O12=$W$7,$B12&lt;'1331'!$I$9),"x","")</f>
        <v/>
      </c>
      <c r="Z12" s="87" t="str">
        <f>IF(AND('341-CT'!$H$9=H12,OR(LEFT(N12,3)=$Z$7,LEFT(O12,3)=$Z$7)),"x","")</f>
        <v/>
      </c>
      <c r="AA12" s="87" t="str">
        <f>IF(OR(TH!N12=TH!$AA$7,O12=TH!$AA$7),"x","")</f>
        <v/>
      </c>
      <c r="AB12" s="87" t="str">
        <f>IF(AND(OR(N12="131",O12="131"),H12='131-CT'!$H$9),"x","")</f>
        <v/>
      </c>
      <c r="AC12" s="87"/>
      <c r="AD12" s="87" t="str">
        <f>IF(AND(MONTH(E12)='IN-NX'!$J$5,'IN-NX'!$D$7=D12),"x","")</f>
        <v/>
      </c>
      <c r="AE12" s="87" t="str">
        <f>IF(AND(OR(LEFT(TH!N12,2)="15",LEFT(TH!O12,2)="15"),'152-CT'!$J$8=TH!F12),"x","")</f>
        <v/>
      </c>
      <c r="AF12" s="87" t="str">
        <f>IF(AND(OR(LEFT(TH!N12,2)="15",LEFT(TH!O12,2)="15"),'THE KHO'!$E$7=TH!F12),"x","")</f>
        <v/>
      </c>
      <c r="AG12" s="87" t="str">
        <f>IF(AND(N12="1521",MONTH(C12)='BK NL'!$M$11),"x","")</f>
        <v/>
      </c>
    </row>
    <row r="13" spans="1:33" s="404" customFormat="1" ht="15.75" customHeight="1">
      <c r="A13" s="399" t="str">
        <f>IF(B13&lt;&gt;"",IF(AND(B13&gt;=_TM1,B13&lt;=_TM2,OR(TH!N13="1111",TH!O13="1111")),TH!D13,""),"")</f>
        <v/>
      </c>
      <c r="B13" s="63">
        <f t="shared" si="0"/>
        <v>12</v>
      </c>
      <c r="C13" s="83">
        <v>42369</v>
      </c>
      <c r="D13" s="83" t="s">
        <v>115</v>
      </c>
      <c r="E13" s="83">
        <v>42369</v>
      </c>
      <c r="F13" s="84" t="s">
        <v>119</v>
      </c>
      <c r="G13" s="377"/>
      <c r="H13" s="92"/>
      <c r="I13" s="517"/>
      <c r="J13" s="517"/>
      <c r="K13" s="508"/>
      <c r="L13" s="517"/>
      <c r="M13" s="86">
        <f>SUMIF(KHC,N13,TH)</f>
        <v>9645794</v>
      </c>
      <c r="N13" s="87" t="s">
        <v>43</v>
      </c>
      <c r="O13" s="87" t="s">
        <v>109</v>
      </c>
      <c r="P13" s="87" t="str">
        <f>IF(AND('331-CT'!$E$7=TH!H13,OR(N13="331",O13="331")),"x","")</f>
        <v/>
      </c>
      <c r="Q13" s="87" t="str">
        <f>IF(AND(B13='111'!$L$11,OR($N13=$Q$7,$O13=$Q$7)),"x","")</f>
        <v/>
      </c>
      <c r="R13" s="87" t="str">
        <f>IF(AND($N13=$Q$7,$B13&lt;'111'!$L$11),"x","")</f>
        <v/>
      </c>
      <c r="S13" s="87" t="str">
        <f>IF(AND($O13=$Q$7,$B13&lt;'111'!$L$11),"x","")</f>
        <v/>
      </c>
      <c r="T13" s="87" t="str">
        <f>IF(ISERROR(FIND('112'!$M$9,G13,1)),"",IF((AND(FIND('112'!$M$9,G13,1)&gt;=1,B13='112'!$K$9,OR($N13='112'!$I$6,$O13='112'!$I$6))),"x",""))</f>
        <v/>
      </c>
      <c r="U13" s="87" t="str">
        <f>IF(ISERROR(FIND('112'!$M$9,G13,1)),"",IF((AND(FIND('112'!$M$9,G13,1)&gt;=1,B13&lt;'112'!$K$9,$N13='112'!$I$6)),"x",""))</f>
        <v/>
      </c>
      <c r="V13" s="87" t="str">
        <f>IF(ISERROR(FIND('112'!$M$9,G13,1)),"",IF((AND(FIND('112'!$M$9,G13,1)&gt;=1,B13&lt;'112'!$K$9,$O13='112'!$I$6)),"x",""))</f>
        <v/>
      </c>
      <c r="W13" s="87" t="str">
        <f>IF(AND($B13&gt;='1331'!$I$9,$B13&lt;='1331'!$J$9,OR($N13=$W$7,$O13=$W$7)),"x","")</f>
        <v/>
      </c>
      <c r="X13" s="87" t="str">
        <f>IF(AND($N13=$W$7,$B13&lt;'1331'!$I$9),"x","")</f>
        <v/>
      </c>
      <c r="Y13" s="87" t="str">
        <f>IF(AND($O13=$W$7,$B13&lt;'1331'!$I$9),"x","")</f>
        <v/>
      </c>
      <c r="Z13" s="87" t="str">
        <f>IF(AND('341-CT'!$H$9=H13,OR(LEFT(N13,3)=$Z$7,LEFT(O13,3)=$Z$7)),"x","")</f>
        <v/>
      </c>
      <c r="AA13" s="87" t="str">
        <f>IF(OR(TH!N13=TH!$AA$7,O13=TH!$AA$7),"x","")</f>
        <v>x</v>
      </c>
      <c r="AB13" s="87" t="str">
        <f>IF(AND(OR(N13="131",O13="131"),H13='131-CT'!$H$9),"x","")</f>
        <v/>
      </c>
      <c r="AC13" s="87"/>
      <c r="AD13" s="87" t="str">
        <f>IF(AND(MONTH(E13)='IN-NX'!$J$5,'IN-NX'!$D$7=D13),"x","")</f>
        <v/>
      </c>
      <c r="AE13" s="87" t="str">
        <f>IF(AND(OR(LEFT(TH!N13,2)="15",LEFT(TH!O13,2)="15"),'152-CT'!$J$8=TH!F13),"x","")</f>
        <v/>
      </c>
      <c r="AF13" s="87" t="str">
        <f>IF(AND(OR(LEFT(TH!N13,2)="15",LEFT(TH!O13,2)="15"),'THE KHO'!$E$7=TH!F13),"x","")</f>
        <v/>
      </c>
      <c r="AG13" s="87" t="str">
        <f>IF(AND(N13="1521",MONTH(C13)='BK NL'!$M$11),"x","")</f>
        <v/>
      </c>
    </row>
    <row r="14" spans="1:33" s="404" customFormat="1" ht="15.75" customHeight="1">
      <c r="A14" s="399" t="str">
        <f>IF(B14&lt;&gt;"",IF(AND(B14&gt;=_TM1,B14&lt;=_TM2,OR(TH!N14="1111",TH!O14="1111")),TH!D14,""),"")</f>
        <v/>
      </c>
      <c r="B14" s="63">
        <f t="shared" si="0"/>
        <v>12</v>
      </c>
      <c r="C14" s="83">
        <v>42369</v>
      </c>
      <c r="D14" s="83" t="s">
        <v>115</v>
      </c>
      <c r="E14" s="83">
        <v>42369</v>
      </c>
      <c r="F14" s="84" t="s">
        <v>120</v>
      </c>
      <c r="G14" s="377"/>
      <c r="H14" s="85"/>
      <c r="I14" s="516"/>
      <c r="J14" s="516"/>
      <c r="K14" s="507"/>
      <c r="L14" s="516"/>
      <c r="M14" s="86">
        <f>SUMIF(KHC,N14,TH)</f>
        <v>0</v>
      </c>
      <c r="N14" s="87" t="s">
        <v>103</v>
      </c>
      <c r="O14" s="87" t="s">
        <v>109</v>
      </c>
      <c r="P14" s="87" t="str">
        <f>IF(AND('331-CT'!$E$7=TH!H14,OR(N14="331",O14="331")),"x","")</f>
        <v/>
      </c>
      <c r="Q14" s="87" t="str">
        <f>IF(AND(B14='111'!$L$11,OR($N14=$Q$7,$O14=$Q$7)),"x","")</f>
        <v/>
      </c>
      <c r="R14" s="87" t="str">
        <f>IF(AND($N14=$Q$7,$B14&lt;'111'!$L$11),"x","")</f>
        <v/>
      </c>
      <c r="S14" s="87" t="str">
        <f>IF(AND($O14=$Q$7,$B14&lt;'111'!$L$11),"x","")</f>
        <v/>
      </c>
      <c r="T14" s="87" t="str">
        <f>IF(ISERROR(FIND('112'!$M$9,G14,1)),"",IF((AND(FIND('112'!$M$9,G14,1)&gt;=1,B14='112'!$K$9,OR($N14='112'!$I$6,$O14='112'!$I$6))),"x",""))</f>
        <v/>
      </c>
      <c r="U14" s="87" t="str">
        <f>IF(ISERROR(FIND('112'!$M$9,G14,1)),"",IF((AND(FIND('112'!$M$9,G14,1)&gt;=1,B14&lt;'112'!$K$9,$N14='112'!$I$6)),"x",""))</f>
        <v/>
      </c>
      <c r="V14" s="87" t="str">
        <f>IF(ISERROR(FIND('112'!$M$9,G14,1)),"",IF((AND(FIND('112'!$M$9,G14,1)&gt;=1,B14&lt;'112'!$K$9,$O14='112'!$I$6)),"x",""))</f>
        <v/>
      </c>
      <c r="W14" s="87" t="str">
        <f>IF(AND($B14&gt;='1331'!$I$9,$B14&lt;='1331'!$J$9,OR($N14=$W$7,$O14=$W$7)),"x","")</f>
        <v/>
      </c>
      <c r="X14" s="87" t="str">
        <f>IF(AND($N14=$W$7,$B14&lt;'1331'!$I$9),"x","")</f>
        <v/>
      </c>
      <c r="Y14" s="87" t="str">
        <f>IF(AND($O14=$W$7,$B14&lt;'1331'!$I$9),"x","")</f>
        <v/>
      </c>
      <c r="Z14" s="87" t="str">
        <f>IF(AND('341-CT'!$H$9=H14,OR(LEFT(N14,3)=$Z$7,LEFT(O14,3)=$Z$7)),"x","")</f>
        <v/>
      </c>
      <c r="AA14" s="87" t="str">
        <f>IF(OR(TH!N14=TH!$AA$7,O14=TH!$AA$7),"x","")</f>
        <v/>
      </c>
      <c r="AB14" s="87" t="str">
        <f>IF(AND(OR(N14="131",O14="131"),H14='131-CT'!$H$9),"x","")</f>
        <v/>
      </c>
      <c r="AC14" s="87"/>
      <c r="AD14" s="87" t="str">
        <f>IF(AND(MONTH(E14)='IN-NX'!$J$5,'IN-NX'!$D$7=D14),"x","")</f>
        <v/>
      </c>
      <c r="AE14" s="87" t="str">
        <f>IF(AND(OR(LEFT(TH!N14,2)="15",LEFT(TH!O14,2)="15"),'152-CT'!$J$8=TH!F14),"x","")</f>
        <v/>
      </c>
      <c r="AF14" s="87" t="str">
        <f>IF(AND(OR(LEFT(TH!N14,2)="15",LEFT(TH!O14,2)="15"),'THE KHO'!$E$7=TH!F14),"x","")</f>
        <v/>
      </c>
      <c r="AG14" s="87" t="str">
        <f>IF(AND(N14="1521",MONTH(C14)='BK NL'!$M$11),"x","")</f>
        <v/>
      </c>
    </row>
    <row r="15" spans="1:33" s="404" customFormat="1" ht="15.75" customHeight="1">
      <c r="A15" s="399" t="str">
        <f>IF(B15&lt;&gt;"",IF(AND(B15&gt;=_TM1,B15&lt;=_TM2,OR(TH!N15="1111",TH!O15="1111")),TH!D15,""),"")</f>
        <v/>
      </c>
      <c r="B15" s="63">
        <f t="shared" si="0"/>
        <v>12</v>
      </c>
      <c r="C15" s="83">
        <v>42369</v>
      </c>
      <c r="D15" s="83" t="s">
        <v>115</v>
      </c>
      <c r="E15" s="83">
        <v>42369</v>
      </c>
      <c r="F15" s="84" t="s">
        <v>121</v>
      </c>
      <c r="G15" s="377"/>
      <c r="H15" s="85"/>
      <c r="I15" s="516"/>
      <c r="J15" s="516"/>
      <c r="K15" s="507"/>
      <c r="L15" s="516"/>
      <c r="M15" s="86">
        <f>SUMIF(KHN,"811",TH)</f>
        <v>0</v>
      </c>
      <c r="N15" s="87" t="s">
        <v>109</v>
      </c>
      <c r="O15" s="87" t="s">
        <v>105</v>
      </c>
      <c r="P15" s="87" t="str">
        <f>IF(AND('331-CT'!$E$7=TH!H15,OR(N15="331",O15="331")),"x","")</f>
        <v/>
      </c>
      <c r="Q15" s="87" t="str">
        <f>IF(AND(B15='111'!$L$11,OR($N15=$Q$7,$O15=$Q$7)),"x","")</f>
        <v/>
      </c>
      <c r="R15" s="87" t="str">
        <f>IF(AND($N15=$Q$7,$B15&lt;'111'!$L$11),"x","")</f>
        <v/>
      </c>
      <c r="S15" s="87" t="str">
        <f>IF(AND($O15=$Q$7,$B15&lt;'111'!$L$11),"x","")</f>
        <v/>
      </c>
      <c r="T15" s="87" t="str">
        <f>IF(ISERROR(FIND('112'!$M$9,G15,1)),"",IF((AND(FIND('112'!$M$9,G15,1)&gt;=1,B15='112'!$K$9,OR($N15='112'!$I$6,$O15='112'!$I$6))),"x",""))</f>
        <v/>
      </c>
      <c r="U15" s="87" t="str">
        <f>IF(ISERROR(FIND('112'!$M$9,G15,1)),"",IF((AND(FIND('112'!$M$9,G15,1)&gt;=1,B15&lt;'112'!$K$9,$N15='112'!$I$6)),"x",""))</f>
        <v/>
      </c>
      <c r="V15" s="87" t="str">
        <f>IF(ISERROR(FIND('112'!$M$9,G15,1)),"",IF((AND(FIND('112'!$M$9,G15,1)&gt;=1,B15&lt;'112'!$K$9,$O15='112'!$I$6)),"x",""))</f>
        <v/>
      </c>
      <c r="W15" s="87" t="str">
        <f>IF(AND($B15&gt;='1331'!$I$9,$B15&lt;='1331'!$J$9,OR($N15=$W$7,$O15=$W$7)),"x","")</f>
        <v/>
      </c>
      <c r="X15" s="87" t="str">
        <f>IF(AND($N15=$W$7,$B15&lt;'1331'!$I$9),"x","")</f>
        <v/>
      </c>
      <c r="Y15" s="87" t="str">
        <f>IF(AND($O15=$W$7,$B15&lt;'1331'!$I$9),"x","")</f>
        <v/>
      </c>
      <c r="Z15" s="87" t="str">
        <f>IF(AND('341-CT'!$H$9=H15,OR(LEFT(N15,3)=$Z$7,LEFT(O15,3)=$Z$7)),"x","")</f>
        <v/>
      </c>
      <c r="AA15" s="87" t="str">
        <f>IF(OR(TH!N15=TH!$AA$7,O15=TH!$AA$7),"x","")</f>
        <v/>
      </c>
      <c r="AB15" s="87" t="str">
        <f>IF(AND(OR(N15="131",O15="131"),H15='131-CT'!$H$9),"x","")</f>
        <v/>
      </c>
      <c r="AC15" s="87"/>
      <c r="AD15" s="87" t="str">
        <f>IF(AND(MONTH(E15)='IN-NX'!$J$5,'IN-NX'!$D$7=D15),"x","")</f>
        <v/>
      </c>
      <c r="AE15" s="87" t="str">
        <f>IF(AND(OR(LEFT(TH!N15,2)="15",LEFT(TH!O15,2)="15"),'152-CT'!$J$8=TH!F15),"x","")</f>
        <v/>
      </c>
      <c r="AF15" s="87" t="str">
        <f>IF(AND(OR(LEFT(TH!N15,2)="15",LEFT(TH!O15,2)="15"),'THE KHO'!$E$7=TH!F15),"x","")</f>
        <v/>
      </c>
      <c r="AG15" s="87" t="str">
        <f>IF(AND(N15="1521",MONTH(C15)='BK NL'!$M$11),"x","")</f>
        <v/>
      </c>
    </row>
    <row r="16" spans="1:33" s="404" customFormat="1" ht="15.75" customHeight="1">
      <c r="A16" s="399" t="str">
        <f>IF(B16&lt;&gt;"",IF(AND(B16&gt;=_TM1,B16&lt;=_TM2,OR(TH!N16="1111",TH!O16="1111")),TH!D16,""),"")</f>
        <v/>
      </c>
      <c r="B16" s="63">
        <f t="shared" ref="B16:B81" si="1">IF(C16&lt;&gt;"",MONTH(C16),"")</f>
        <v>12</v>
      </c>
      <c r="C16" s="83">
        <v>42369</v>
      </c>
      <c r="D16" s="83" t="s">
        <v>115</v>
      </c>
      <c r="E16" s="83">
        <v>42369</v>
      </c>
      <c r="F16" s="84" t="s">
        <v>227</v>
      </c>
      <c r="G16" s="377"/>
      <c r="H16" s="85"/>
      <c r="I16" s="516"/>
      <c r="J16" s="516"/>
      <c r="K16" s="507"/>
      <c r="L16" s="516"/>
      <c r="M16" s="86">
        <f>CDPS!$C$57</f>
        <v>0</v>
      </c>
      <c r="N16" s="91" t="s">
        <v>92</v>
      </c>
      <c r="O16" s="87" t="s">
        <v>94</v>
      </c>
      <c r="P16" s="87" t="str">
        <f>IF(AND('331-CT'!$E$7=TH!H16,OR(N16="331",O16="331")),"x","")</f>
        <v/>
      </c>
      <c r="Q16" s="87" t="str">
        <f>IF(AND(B16='111'!$L$11,OR($N16=$Q$7,$O16=$Q$7)),"x","")</f>
        <v/>
      </c>
      <c r="R16" s="87" t="str">
        <f>IF(AND($N16=$Q$7,$B16&lt;'111'!$L$11),"x","")</f>
        <v/>
      </c>
      <c r="S16" s="87" t="str">
        <f>IF(AND($O16=$Q$7,$B16&lt;'111'!$L$11),"x","")</f>
        <v/>
      </c>
      <c r="T16" s="87" t="str">
        <f>IF(ISERROR(FIND('112'!$M$9,G16,1)),"",IF((AND(FIND('112'!$M$9,G16,1)&gt;=1,B16='112'!$K$9,OR($N16='112'!$I$6,$O16='112'!$I$6))),"x",""))</f>
        <v/>
      </c>
      <c r="U16" s="87" t="str">
        <f>IF(ISERROR(FIND('112'!$M$9,G16,1)),"",IF((AND(FIND('112'!$M$9,G16,1)&gt;=1,B16&lt;'112'!$K$9,$N16='112'!$I$6)),"x",""))</f>
        <v/>
      </c>
      <c r="V16" s="87" t="str">
        <f>IF(ISERROR(FIND('112'!$M$9,G16,1)),"",IF((AND(FIND('112'!$M$9,G16,1)&gt;=1,B16&lt;'112'!$K$9,$O16='112'!$I$6)),"x",""))</f>
        <v/>
      </c>
      <c r="W16" s="87" t="str">
        <f>IF(AND($B16&gt;='1331'!$I$9,$B16&lt;='1331'!$J$9,OR($N16=$W$7,$O16=$W$7)),"x","")</f>
        <v/>
      </c>
      <c r="X16" s="87" t="str">
        <f>IF(AND($N16=$W$7,$B16&lt;'1331'!$I$9),"x","")</f>
        <v/>
      </c>
      <c r="Y16" s="87" t="str">
        <f>IF(AND($O16=$W$7,$B16&lt;'1331'!$I$9),"x","")</f>
        <v/>
      </c>
      <c r="Z16" s="87" t="str">
        <f>IF(AND('341-CT'!$H$9=H16,OR(LEFT(N16,3)=$Z$7,LEFT(O16,3)=$Z$7)),"x","")</f>
        <v/>
      </c>
      <c r="AA16" s="87" t="str">
        <f>IF(OR(TH!N16=TH!$AA$7,O16=TH!$AA$7),"x","")</f>
        <v/>
      </c>
      <c r="AB16" s="87" t="str">
        <f>IF(AND(OR(N16="131",O16="131"),H16='131-CT'!$H$9),"x","")</f>
        <v/>
      </c>
      <c r="AC16" s="87"/>
      <c r="AD16" s="87" t="str">
        <f>IF(AND(MONTH(E16)='IN-NX'!$J$5,'IN-NX'!$D$7=D16),"x","")</f>
        <v/>
      </c>
      <c r="AE16" s="87" t="str">
        <f>IF(AND(OR(LEFT(TH!N16,2)="15",LEFT(TH!O16,2)="15"),'152-CT'!$J$8=TH!F16),"x","")</f>
        <v/>
      </c>
      <c r="AF16" s="87" t="str">
        <f>IF(AND(OR(LEFT(TH!N16,2)="15",LEFT(TH!O16,2)="15"),'THE KHO'!$E$7=TH!F16),"x","")</f>
        <v/>
      </c>
      <c r="AG16" s="87" t="str">
        <f>IF(AND(N16="1521",MONTH(C16)='BK NL'!$M$11),"x","")</f>
        <v/>
      </c>
    </row>
    <row r="17" spans="1:33" s="404" customFormat="1" ht="15.75" customHeight="1">
      <c r="A17" s="399" t="str">
        <f>IF(B17&lt;&gt;"",IF(AND(B17&gt;=_TM1,B17&lt;=_TM2,OR(TH!N17="1111",TH!O17="1111")),TH!D17,""),"")</f>
        <v/>
      </c>
      <c r="B17" s="63">
        <f t="shared" si="1"/>
        <v>1</v>
      </c>
      <c r="C17" s="981">
        <v>42395</v>
      </c>
      <c r="D17" s="981" t="s">
        <v>647</v>
      </c>
      <c r="E17" s="981">
        <f>C17</f>
        <v>42395</v>
      </c>
      <c r="F17" s="982" t="s">
        <v>598</v>
      </c>
      <c r="G17" s="1064" t="s">
        <v>672</v>
      </c>
      <c r="H17" s="75" t="s">
        <v>655</v>
      </c>
      <c r="I17" s="518"/>
      <c r="J17" s="518"/>
      <c r="K17" s="509">
        <v>79520</v>
      </c>
      <c r="L17" s="518">
        <v>22365</v>
      </c>
      <c r="M17" s="983">
        <v>1778464800</v>
      </c>
      <c r="N17" s="992" t="s">
        <v>639</v>
      </c>
      <c r="O17" s="992" t="s">
        <v>314</v>
      </c>
      <c r="P17" s="87" t="str">
        <f>IF(AND('331-CT'!$E$7=TH!H17,OR(N17="331",O17="331")),"x","")</f>
        <v/>
      </c>
      <c r="Q17" s="87" t="str">
        <f>IF(AND(B17='111'!$L$11,OR($N17=$Q$7,$O17=$Q$7)),"x","")</f>
        <v/>
      </c>
      <c r="R17" s="87" t="str">
        <f>IF(AND($N17=$Q$7,$B17&lt;'111'!$L$11),"x","")</f>
        <v/>
      </c>
      <c r="S17" s="87" t="str">
        <f>IF(AND($O17=$Q$7,$B17&lt;'111'!$L$11),"x","")</f>
        <v/>
      </c>
      <c r="T17" s="87" t="str">
        <f>IF(ISERROR(FIND('112'!$M$9,G17,1)),"",IF((AND(FIND('112'!$M$9,G17,1)&gt;=1,B17='112'!$K$9,OR($N17='112'!$I$6,$O17='112'!$I$6))),"x",""))</f>
        <v/>
      </c>
      <c r="U17" s="87" t="str">
        <f>IF(ISERROR(FIND('112'!$M$9,G17,1)),"",IF((AND(FIND('112'!$M$9,G17,1)&gt;=1,B17&lt;'112'!$K$9,$N17='112'!$I$6)),"x",""))</f>
        <v/>
      </c>
      <c r="V17" s="87" t="str">
        <f>IF(ISERROR(FIND('112'!$M$9,G17,1)),"",IF((AND(FIND('112'!$M$9,G17,1)&gt;=1,B17&lt;'112'!$K$9,$O17='112'!$I$6)),"x",""))</f>
        <v/>
      </c>
      <c r="W17" s="87" t="str">
        <f>IF(AND($B17&gt;='1331'!$I$9,$B17&lt;='1331'!$J$9,OR($N17=$W$7,$O17=$W$7)),"x","")</f>
        <v/>
      </c>
      <c r="X17" s="87" t="str">
        <f>IF(AND($N17=$W$7,$B17&lt;'1331'!$I$9),"x","")</f>
        <v/>
      </c>
      <c r="Y17" s="87" t="str">
        <f>IF(AND($O17=$W$7,$B17&lt;'1331'!$I$9),"x","")</f>
        <v/>
      </c>
      <c r="Z17" s="87" t="str">
        <f>IF(AND('341-CT'!$H$9=H17,OR(LEFT(N17,3)=$Z$7,LEFT(O17,3)=$Z$7)),"x","")</f>
        <v/>
      </c>
      <c r="AA17" s="87" t="str">
        <f>IF(OR(TH!N17=TH!$AA$7,O17=TH!$AA$7),"x","")</f>
        <v/>
      </c>
      <c r="AB17" s="87" t="str">
        <f>IF(AND(OR(N17="131",O17="131"),H17='131-CT'!$H$9),"x","")</f>
        <v/>
      </c>
      <c r="AC17" s="87"/>
      <c r="AD17" s="87" t="str">
        <f>IF(AND(MONTH(E17)='IN-NX'!$J$5,'IN-NX'!$D$7=D17),"x","")</f>
        <v/>
      </c>
      <c r="AE17" s="87" t="str">
        <f>IF(AND(OR(LEFT(TH!N17,2)="15",LEFT(TH!O17,2)="15"),'152-CT'!$J$8=TH!F17),"x","")</f>
        <v/>
      </c>
      <c r="AF17" s="87" t="str">
        <f>IF(AND(OR(LEFT(TH!N17,2)="15",LEFT(TH!O17,2)="15"),'THE KHO'!$E$7=TH!F17),"x","")</f>
        <v/>
      </c>
      <c r="AG17" s="87" t="str">
        <f>IF(AND(N17="1521",MONTH(C17)='BK NL'!$M$11),"x","")</f>
        <v/>
      </c>
    </row>
    <row r="18" spans="1:33" s="404" customFormat="1" ht="15.75" customHeight="1">
      <c r="A18" s="399" t="str">
        <f>IF(B18&lt;&gt;"",IF(AND(B18&gt;=_TM1,B18&lt;=_TM2,OR(TH!N18="1111",TH!O18="1111")),TH!D18,""),"")</f>
        <v/>
      </c>
      <c r="B18" s="63">
        <f t="shared" si="1"/>
        <v>1</v>
      </c>
      <c r="C18" s="981">
        <v>42395</v>
      </c>
      <c r="D18" s="981" t="s">
        <v>648</v>
      </c>
      <c r="E18" s="981">
        <f>C18</f>
        <v>42395</v>
      </c>
      <c r="F18" s="982" t="s">
        <v>599</v>
      </c>
      <c r="G18" s="1064" t="s">
        <v>673</v>
      </c>
      <c r="H18" s="75" t="s">
        <v>649</v>
      </c>
      <c r="I18" s="518"/>
      <c r="J18" s="518"/>
      <c r="K18" s="509">
        <v>41760</v>
      </c>
      <c r="L18" s="518">
        <v>22365</v>
      </c>
      <c r="M18" s="983">
        <v>933962400</v>
      </c>
      <c r="N18" s="992" t="s">
        <v>639</v>
      </c>
      <c r="O18" s="992" t="s">
        <v>314</v>
      </c>
      <c r="P18" s="87" t="str">
        <f>IF(AND('331-CT'!$E$7=TH!H18,OR(N18="331",O18="331")),"x","")</f>
        <v/>
      </c>
      <c r="Q18" s="87" t="str">
        <f>IF(AND(B18='111'!$L$11,OR($N18=$Q$7,$O18=$Q$7)),"x","")</f>
        <v/>
      </c>
      <c r="R18" s="87" t="str">
        <f>IF(AND($N18=$Q$7,$B18&lt;'111'!$L$11),"x","")</f>
        <v/>
      </c>
      <c r="S18" s="87" t="str">
        <f>IF(AND($O18=$Q$7,$B18&lt;'111'!$L$11),"x","")</f>
        <v/>
      </c>
      <c r="T18" s="87" t="str">
        <f>IF(ISERROR(FIND('112'!$M$9,G18,1)),"",IF((AND(FIND('112'!$M$9,G18,1)&gt;=1,B18='112'!$K$9,OR($N18='112'!$I$6,$O18='112'!$I$6))),"x",""))</f>
        <v/>
      </c>
      <c r="U18" s="87" t="str">
        <f>IF(ISERROR(FIND('112'!$M$9,G18,1)),"",IF((AND(FIND('112'!$M$9,G18,1)&gt;=1,B18&lt;'112'!$K$9,$N18='112'!$I$6)),"x",""))</f>
        <v/>
      </c>
      <c r="V18" s="87" t="str">
        <f>IF(ISERROR(FIND('112'!$M$9,G18,1)),"",IF((AND(FIND('112'!$M$9,G18,1)&gt;=1,B18&lt;'112'!$K$9,$O18='112'!$I$6)),"x",""))</f>
        <v/>
      </c>
      <c r="W18" s="87" t="str">
        <f>IF(AND($B18&gt;='1331'!$I$9,$B18&lt;='1331'!$J$9,OR($N18=$W$7,$O18=$W$7)),"x","")</f>
        <v/>
      </c>
      <c r="X18" s="87" t="str">
        <f>IF(AND($N18=$W$7,$B18&lt;'1331'!$I$9),"x","")</f>
        <v/>
      </c>
      <c r="Y18" s="87" t="str">
        <f>IF(AND($O18=$W$7,$B18&lt;'1331'!$I$9),"x","")</f>
        <v/>
      </c>
      <c r="Z18" s="87" t="str">
        <f>IF(AND('341-CT'!$H$9=H18,OR(LEFT(N18,3)=$Z$7,LEFT(O18,3)=$Z$7)),"x","")</f>
        <v/>
      </c>
      <c r="AA18" s="87" t="str">
        <f>IF(OR(TH!N18=TH!$AA$7,O18=TH!$AA$7),"x","")</f>
        <v/>
      </c>
      <c r="AB18" s="87" t="str">
        <f>IF(AND(OR(N18="131",O18="131"),H18='131-CT'!$H$9),"x","")</f>
        <v>x</v>
      </c>
      <c r="AC18" s="87"/>
      <c r="AD18" s="87" t="str">
        <f>IF(AND(MONTH(E18)='IN-NX'!$J$5,'IN-NX'!$D$7=D18),"x","")</f>
        <v/>
      </c>
      <c r="AE18" s="87" t="str">
        <f>IF(AND(OR(LEFT(TH!N18,2)="15",LEFT(TH!O18,2)="15"),'152-CT'!$J$8=TH!F18),"x","")</f>
        <v/>
      </c>
      <c r="AF18" s="87" t="str">
        <f>IF(AND(OR(LEFT(TH!N18,2)="15",LEFT(TH!O18,2)="15"),'THE KHO'!$E$7=TH!F18),"x","")</f>
        <v/>
      </c>
      <c r="AG18" s="87" t="str">
        <f>IF(AND(N18="1521",MONTH(C18)='BK NL'!$M$11),"x","")</f>
        <v/>
      </c>
    </row>
    <row r="19" spans="1:33" s="404" customFormat="1" ht="15.75" customHeight="1">
      <c r="A19" s="399" t="str">
        <f>IF(B19&lt;&gt;"",IF(AND(B19&gt;=_TM1,B19&lt;=_TM2,OR(TH!N19="1111",TH!O19="1111")),TH!D19,""),"")</f>
        <v/>
      </c>
      <c r="B19" s="63">
        <f t="shared" si="1"/>
        <v>1</v>
      </c>
      <c r="C19" s="984">
        <v>42400</v>
      </c>
      <c r="D19" s="984" t="s">
        <v>600</v>
      </c>
      <c r="E19" s="984">
        <f t="shared" ref="E19:E30" si="2">C19</f>
        <v>42400</v>
      </c>
      <c r="F19" s="985" t="s">
        <v>601</v>
      </c>
      <c r="G19" s="986"/>
      <c r="H19" s="75"/>
      <c r="I19" s="518"/>
      <c r="J19" s="518"/>
      <c r="K19" s="509"/>
      <c r="L19" s="518"/>
      <c r="M19" s="987">
        <v>10010706</v>
      </c>
      <c r="N19" s="993" t="s">
        <v>298</v>
      </c>
      <c r="O19" s="994" t="s">
        <v>640</v>
      </c>
      <c r="P19" s="87" t="str">
        <f>IF(AND('331-CT'!$E$7=TH!H19,OR(N19="331",O19="331")),"x","")</f>
        <v/>
      </c>
      <c r="Q19" s="87" t="str">
        <f>IF(AND(B19='111'!$L$11,OR($N19=$Q$7,$O19=$Q$7)),"x","")</f>
        <v/>
      </c>
      <c r="R19" s="87" t="str">
        <f>IF(AND($N19=$Q$7,$B19&lt;'111'!$L$11),"x","")</f>
        <v/>
      </c>
      <c r="S19" s="87" t="str">
        <f>IF(AND($O19=$Q$7,$B19&lt;'111'!$L$11),"x","")</f>
        <v/>
      </c>
      <c r="T19" s="87" t="str">
        <f>IF(ISERROR(FIND('112'!$M$9,G19,1)),"",IF((AND(FIND('112'!$M$9,G19,1)&gt;=1,B19='112'!$K$9,OR($N19='112'!$I$6,$O19='112'!$I$6))),"x",""))</f>
        <v/>
      </c>
      <c r="U19" s="87" t="str">
        <f>IF(ISERROR(FIND('112'!$M$9,G19,1)),"",IF((AND(FIND('112'!$M$9,G19,1)&gt;=1,B19&lt;'112'!$K$9,$N19='112'!$I$6)),"x",""))</f>
        <v/>
      </c>
      <c r="V19" s="87" t="str">
        <f>IF(ISERROR(FIND('112'!$M$9,G19,1)),"",IF((AND(FIND('112'!$M$9,G19,1)&gt;=1,B19&lt;'112'!$K$9,$O19='112'!$I$6)),"x",""))</f>
        <v/>
      </c>
      <c r="W19" s="87" t="str">
        <f>IF(AND($B19&gt;='1331'!$I$9,$B19&lt;='1331'!$J$9,OR($N19=$W$7,$O19=$W$7)),"x","")</f>
        <v/>
      </c>
      <c r="X19" s="87" t="str">
        <f>IF(AND($N19=$W$7,$B19&lt;'1331'!$I$9),"x","")</f>
        <v/>
      </c>
      <c r="Y19" s="87" t="str">
        <f>IF(AND($O19=$W$7,$B19&lt;'1331'!$I$9),"x","")</f>
        <v/>
      </c>
      <c r="Z19" s="87" t="str">
        <f>IF(AND('341-CT'!$H$9=H19,OR(LEFT(N19,3)=$Z$7,LEFT(O19,3)=$Z$7)),"x","")</f>
        <v/>
      </c>
      <c r="AA19" s="87" t="str">
        <f>IF(OR(TH!N19=TH!$AA$7,O19=TH!$AA$7),"x","")</f>
        <v/>
      </c>
      <c r="AB19" s="87" t="str">
        <f>IF(AND(OR(N19="131",O19="131"),H19='131-CT'!$H$9),"x","")</f>
        <v/>
      </c>
      <c r="AC19" s="87"/>
      <c r="AD19" s="87" t="str">
        <f>IF(AND(MONTH(E19)='IN-NX'!$J$5,'IN-NX'!$D$7=D19),"x","")</f>
        <v/>
      </c>
      <c r="AE19" s="87" t="str">
        <f>IF(AND(OR(LEFT(TH!N19,2)="15",LEFT(TH!O19,2)="15"),'152-CT'!$J$8=TH!F19),"x","")</f>
        <v/>
      </c>
      <c r="AF19" s="87" t="str">
        <f>IF(AND(OR(LEFT(TH!N19,2)="15",LEFT(TH!O19,2)="15"),'THE KHO'!$E$7=TH!F19),"x","")</f>
        <v/>
      </c>
      <c r="AG19" s="87" t="str">
        <f>IF(AND(N19="1521",MONTH(C19)='BK NL'!$M$11),"x","")</f>
        <v/>
      </c>
    </row>
    <row r="20" spans="1:33" s="404" customFormat="1" ht="15.75" customHeight="1">
      <c r="A20" s="399" t="str">
        <f>IF(B20&lt;&gt;"",IF(AND(B20&gt;=_TM1,B20&lt;=_TM2,OR(TH!N20="1111",TH!O20="1111")),TH!D20,""),"")</f>
        <v/>
      </c>
      <c r="B20" s="63">
        <f t="shared" si="1"/>
        <v>1</v>
      </c>
      <c r="C20" s="984">
        <v>42400</v>
      </c>
      <c r="D20" s="984" t="s">
        <v>600</v>
      </c>
      <c r="E20" s="984">
        <f t="shared" si="2"/>
        <v>42400</v>
      </c>
      <c r="F20" s="985" t="s">
        <v>602</v>
      </c>
      <c r="G20" s="987"/>
      <c r="H20" s="74"/>
      <c r="I20" s="519"/>
      <c r="J20" s="519"/>
      <c r="K20" s="510"/>
      <c r="L20" s="519"/>
      <c r="M20" s="987">
        <v>3671166</v>
      </c>
      <c r="N20" s="995" t="s">
        <v>101</v>
      </c>
      <c r="O20" s="995" t="s">
        <v>641</v>
      </c>
      <c r="P20" s="87" t="str">
        <f>IF(AND('331-CT'!$E$7=TH!H20,OR(N20="331",O20="331")),"x","")</f>
        <v/>
      </c>
      <c r="Q20" s="87" t="str">
        <f>IF(AND(B20='111'!$L$11,OR($N20=$Q$7,$O20=$Q$7)),"x","")</f>
        <v/>
      </c>
      <c r="R20" s="87" t="str">
        <f>IF(AND($N20=$Q$7,$B20&lt;'111'!$L$11),"x","")</f>
        <v/>
      </c>
      <c r="S20" s="87" t="str">
        <f>IF(AND($O20=$Q$7,$B20&lt;'111'!$L$11),"x","")</f>
        <v/>
      </c>
      <c r="T20" s="87" t="str">
        <f>IF(ISERROR(FIND('112'!$M$9,G20,1)),"",IF((AND(FIND('112'!$M$9,G20,1)&gt;=1,B20='112'!$K$9,OR($N20='112'!$I$6,$O20='112'!$I$6))),"x",""))</f>
        <v/>
      </c>
      <c r="U20" s="87" t="str">
        <f>IF(ISERROR(FIND('112'!$M$9,G20,1)),"",IF((AND(FIND('112'!$M$9,G20,1)&gt;=1,B20&lt;'112'!$K$9,$N20='112'!$I$6)),"x",""))</f>
        <v/>
      </c>
      <c r="V20" s="87" t="str">
        <f>IF(ISERROR(FIND('112'!$M$9,G20,1)),"",IF((AND(FIND('112'!$M$9,G20,1)&gt;=1,B20&lt;'112'!$K$9,$O20='112'!$I$6)),"x",""))</f>
        <v/>
      </c>
      <c r="W20" s="87" t="str">
        <f>IF(AND($B20&gt;='1331'!$I$9,$B20&lt;='1331'!$J$9,OR($N20=$W$7,$O20=$W$7)),"x","")</f>
        <v/>
      </c>
      <c r="X20" s="87" t="str">
        <f>IF(AND($N20=$W$7,$B20&lt;'1331'!$I$9),"x","")</f>
        <v/>
      </c>
      <c r="Y20" s="87" t="str">
        <f>IF(AND($O20=$W$7,$B20&lt;'1331'!$I$9),"x","")</f>
        <v/>
      </c>
      <c r="Z20" s="87" t="str">
        <f>IF(AND('341-CT'!$H$9=H20,OR(LEFT(N20,3)=$Z$7,LEFT(O20,3)=$Z$7)),"x","")</f>
        <v/>
      </c>
      <c r="AA20" s="87" t="str">
        <f>IF(OR(TH!N20=TH!$AA$7,O20=TH!$AA$7),"x","")</f>
        <v/>
      </c>
      <c r="AB20" s="87" t="str">
        <f>IF(AND(OR(N20="131",O20="131"),H20='131-CT'!$H$9),"x","")</f>
        <v/>
      </c>
      <c r="AC20" s="87"/>
      <c r="AD20" s="87" t="str">
        <f>IF(AND(MONTH(E20)='IN-NX'!$J$5,'IN-NX'!$D$7=D20),"x","")</f>
        <v/>
      </c>
      <c r="AE20" s="87" t="str">
        <f>IF(AND(OR(LEFT(TH!N20,2)="15",LEFT(TH!O20,2)="15"),'152-CT'!$J$8=TH!F20),"x","")</f>
        <v/>
      </c>
      <c r="AF20" s="87" t="str">
        <f>IF(AND(OR(LEFT(TH!N20,2)="15",LEFT(TH!O20,2)="15"),'THE KHO'!$E$7=TH!F20),"x","")</f>
        <v/>
      </c>
      <c r="AG20" s="87" t="str">
        <f>IF(AND(N20="1521",MONTH(C20)='BK NL'!$M$11),"x","")</f>
        <v/>
      </c>
    </row>
    <row r="21" spans="1:33" s="404" customFormat="1" ht="15.75" customHeight="1">
      <c r="A21" s="399" t="str">
        <f>IF(B21&lt;&gt;"",IF(AND(B21&gt;=_TM1,B21&lt;=_TM2,OR(TH!N21="1111",TH!O21="1111")),TH!D21,""),"")</f>
        <v/>
      </c>
      <c r="B21" s="63">
        <f t="shared" si="1"/>
        <v>1</v>
      </c>
      <c r="C21" s="984">
        <v>42400</v>
      </c>
      <c r="D21" s="984" t="s">
        <v>600</v>
      </c>
      <c r="E21" s="984">
        <f t="shared" si="2"/>
        <v>42400</v>
      </c>
      <c r="F21" s="985" t="s">
        <v>603</v>
      </c>
      <c r="G21" s="986"/>
      <c r="H21" s="74"/>
      <c r="I21" s="519"/>
      <c r="J21" s="519"/>
      <c r="K21" s="510"/>
      <c r="L21" s="519"/>
      <c r="M21" s="987">
        <v>15225379</v>
      </c>
      <c r="N21" s="995" t="s">
        <v>298</v>
      </c>
      <c r="O21" s="995" t="s">
        <v>641</v>
      </c>
      <c r="P21" s="87" t="str">
        <f>IF(AND('331-CT'!$E$7=TH!H21,OR(N21="331",O21="331")),"x","")</f>
        <v/>
      </c>
      <c r="Q21" s="87" t="str">
        <f>IF(AND(B21='111'!$L$11,OR($N21=$Q$7,$O21=$Q$7)),"x","")</f>
        <v/>
      </c>
      <c r="R21" s="87" t="str">
        <f>IF(AND($N21=$Q$7,$B21&lt;'111'!$L$11),"x","")</f>
        <v/>
      </c>
      <c r="S21" s="87" t="str">
        <f>IF(AND($O21=$Q$7,$B21&lt;'111'!$L$11),"x","")</f>
        <v/>
      </c>
      <c r="T21" s="87" t="str">
        <f>IF(ISERROR(FIND('112'!$M$9,G21,1)),"",IF((AND(FIND('112'!$M$9,G21,1)&gt;=1,B21='112'!$K$9,OR($N21='112'!$I$6,$O21='112'!$I$6))),"x",""))</f>
        <v/>
      </c>
      <c r="U21" s="87" t="str">
        <f>IF(ISERROR(FIND('112'!$M$9,G21,1)),"",IF((AND(FIND('112'!$M$9,G21,1)&gt;=1,B21&lt;'112'!$K$9,$N21='112'!$I$6)),"x",""))</f>
        <v/>
      </c>
      <c r="V21" s="87" t="str">
        <f>IF(ISERROR(FIND('112'!$M$9,G21,1)),"",IF((AND(FIND('112'!$M$9,G21,1)&gt;=1,B21&lt;'112'!$K$9,$O21='112'!$I$6)),"x",""))</f>
        <v/>
      </c>
      <c r="W21" s="87" t="str">
        <f>IF(AND($B21&gt;='1331'!$I$9,$B21&lt;='1331'!$J$9,OR($N21=$W$7,$O21=$W$7)),"x","")</f>
        <v/>
      </c>
      <c r="X21" s="87" t="str">
        <f>IF(AND($N21=$W$7,$B21&lt;'1331'!$I$9),"x","")</f>
        <v/>
      </c>
      <c r="Y21" s="87" t="str">
        <f>IF(AND($O21=$W$7,$B21&lt;'1331'!$I$9),"x","")</f>
        <v/>
      </c>
      <c r="Z21" s="87" t="str">
        <f>IF(AND('341-CT'!$H$9=H21,OR(LEFT(N21,3)=$Z$7,LEFT(O21,3)=$Z$7)),"x","")</f>
        <v/>
      </c>
      <c r="AA21" s="87" t="str">
        <f>IF(OR(TH!N21=TH!$AA$7,O21=TH!$AA$7),"x","")</f>
        <v/>
      </c>
      <c r="AB21" s="87" t="str">
        <f>IF(AND(OR(N21="131",O21="131"),H21='131-CT'!$H$9),"x","")</f>
        <v/>
      </c>
      <c r="AC21" s="87"/>
      <c r="AD21" s="87" t="str">
        <f>IF(AND(MONTH(E21)='IN-NX'!$J$5,'IN-NX'!$D$7=D21),"x","")</f>
        <v/>
      </c>
      <c r="AE21" s="87" t="str">
        <f>IF(AND(OR(LEFT(TH!N21,2)="15",LEFT(TH!O21,2)="15"),'152-CT'!$J$8=TH!F21),"x","")</f>
        <v/>
      </c>
      <c r="AF21" s="87" t="str">
        <f>IF(AND(OR(LEFT(TH!N21,2)="15",LEFT(TH!O21,2)="15"),'THE KHO'!$E$7=TH!F21),"x","")</f>
        <v/>
      </c>
      <c r="AG21" s="87" t="str">
        <f>IF(AND(N21="1521",MONTH(C21)='BK NL'!$M$11),"x","")</f>
        <v/>
      </c>
    </row>
    <row r="22" spans="1:33" s="404" customFormat="1" ht="15.75" customHeight="1">
      <c r="A22" s="399" t="str">
        <f>IF(B22&lt;&gt;"",IF(AND(B22&gt;=_TM1,B22&lt;=_TM2,OR(TH!N22="1111",TH!O22="1111")),TH!D22,""),"")</f>
        <v/>
      </c>
      <c r="B22" s="63">
        <f t="shared" si="1"/>
        <v>1</v>
      </c>
      <c r="C22" s="984">
        <v>42400</v>
      </c>
      <c r="D22" s="984" t="s">
        <v>600</v>
      </c>
      <c r="E22" s="984">
        <f t="shared" si="2"/>
        <v>42400</v>
      </c>
      <c r="F22" s="985" t="s">
        <v>604</v>
      </c>
      <c r="G22" s="986"/>
      <c r="H22" s="75"/>
      <c r="I22" s="518"/>
      <c r="J22" s="518"/>
      <c r="K22" s="509"/>
      <c r="L22" s="518"/>
      <c r="M22" s="987">
        <v>10859839</v>
      </c>
      <c r="N22" s="993" t="s">
        <v>298</v>
      </c>
      <c r="O22" s="994" t="s">
        <v>641</v>
      </c>
      <c r="P22" s="87" t="str">
        <f>IF(AND('331-CT'!$E$7=TH!H22,OR(N22="331",O22="331")),"x","")</f>
        <v/>
      </c>
      <c r="Q22" s="87" t="str">
        <f>IF(AND(B22='111'!$L$11,OR($N22=$Q$7,$O22=$Q$7)),"x","")</f>
        <v/>
      </c>
      <c r="R22" s="87" t="str">
        <f>IF(AND($N22=$Q$7,$B22&lt;'111'!$L$11),"x","")</f>
        <v/>
      </c>
      <c r="S22" s="87" t="str">
        <f>IF(AND($O22=$Q$7,$B22&lt;'111'!$L$11),"x","")</f>
        <v/>
      </c>
      <c r="T22" s="87" t="str">
        <f>IF(ISERROR(FIND('112'!$M$9,G22,1)),"",IF((AND(FIND('112'!$M$9,G22,1)&gt;=1,B22='112'!$K$9,OR($N22='112'!$I$6,$O22='112'!$I$6))),"x",""))</f>
        <v/>
      </c>
      <c r="U22" s="87" t="str">
        <f>IF(ISERROR(FIND('112'!$M$9,G22,1)),"",IF((AND(FIND('112'!$M$9,G22,1)&gt;=1,B22&lt;'112'!$K$9,$N22='112'!$I$6)),"x",""))</f>
        <v/>
      </c>
      <c r="V22" s="87" t="str">
        <f>IF(ISERROR(FIND('112'!$M$9,G22,1)),"",IF((AND(FIND('112'!$M$9,G22,1)&gt;=1,B22&lt;'112'!$K$9,$O22='112'!$I$6)),"x",""))</f>
        <v/>
      </c>
      <c r="W22" s="87" t="str">
        <f>IF(AND($B22&gt;='1331'!$I$9,$B22&lt;='1331'!$J$9,OR($N22=$W$7,$O22=$W$7)),"x","")</f>
        <v/>
      </c>
      <c r="X22" s="87" t="str">
        <f>IF(AND($N22=$W$7,$B22&lt;'1331'!$I$9),"x","")</f>
        <v/>
      </c>
      <c r="Y22" s="87" t="str">
        <f>IF(AND($O22=$W$7,$B22&lt;'1331'!$I$9),"x","")</f>
        <v/>
      </c>
      <c r="Z22" s="87" t="str">
        <f>IF(AND('341-CT'!$H$9=H22,OR(LEFT(N22,3)=$Z$7,LEFT(O22,3)=$Z$7)),"x","")</f>
        <v/>
      </c>
      <c r="AA22" s="87" t="str">
        <f>IF(OR(TH!N22=TH!$AA$7,O22=TH!$AA$7),"x","")</f>
        <v/>
      </c>
      <c r="AB22" s="87" t="str">
        <f>IF(AND(OR(N22="131",O22="131"),H22='131-CT'!$H$9),"x","")</f>
        <v/>
      </c>
      <c r="AC22" s="87"/>
      <c r="AD22" s="87" t="str">
        <f>IF(AND(MONTH(E22)='IN-NX'!$J$5,'IN-NX'!$D$7=D22),"x","")</f>
        <v/>
      </c>
      <c r="AE22" s="87" t="str">
        <f>IF(AND(OR(LEFT(TH!N22,2)="15",LEFT(TH!O22,2)="15"),'152-CT'!$J$8=TH!F22),"x","")</f>
        <v/>
      </c>
      <c r="AF22" s="87" t="str">
        <f>IF(AND(OR(LEFT(TH!N22,2)="15",LEFT(TH!O22,2)="15"),'THE KHO'!$E$7=TH!F22),"x","")</f>
        <v/>
      </c>
      <c r="AG22" s="87" t="str">
        <f>IF(AND(N22="1521",MONTH(C22)='BK NL'!$M$11),"x","")</f>
        <v/>
      </c>
    </row>
    <row r="23" spans="1:33" s="404" customFormat="1" ht="15.75" customHeight="1">
      <c r="A23" s="399" t="str">
        <f>IF(B23&lt;&gt;"",IF(AND(B23&gt;=_TM1,B23&lt;=_TM2,OR(TH!N23="1111",TH!O23="1111")),TH!D23,""),"")</f>
        <v/>
      </c>
      <c r="B23" s="63">
        <f t="shared" si="1"/>
        <v>1</v>
      </c>
      <c r="C23" s="984">
        <v>42400</v>
      </c>
      <c r="D23" s="984" t="s">
        <v>600</v>
      </c>
      <c r="E23" s="984">
        <f t="shared" si="2"/>
        <v>42400</v>
      </c>
      <c r="F23" s="985" t="s">
        <v>605</v>
      </c>
      <c r="G23" s="986"/>
      <c r="H23" s="75"/>
      <c r="I23" s="518"/>
      <c r="J23" s="518"/>
      <c r="K23" s="509"/>
      <c r="L23" s="518"/>
      <c r="M23" s="987">
        <v>2615641</v>
      </c>
      <c r="N23" s="993" t="s">
        <v>298</v>
      </c>
      <c r="O23" s="994" t="s">
        <v>641</v>
      </c>
      <c r="P23" s="87" t="str">
        <f>IF(AND('331-CT'!$E$7=TH!H23,OR(N23="331",O23="331")),"x","")</f>
        <v/>
      </c>
      <c r="Q23" s="87" t="str">
        <f>IF(AND(B23='111'!$L$11,OR($N23=$Q$7,$O23=$Q$7)),"x","")</f>
        <v/>
      </c>
      <c r="R23" s="87" t="str">
        <f>IF(AND($N23=$Q$7,$B23&lt;'111'!$L$11),"x","")</f>
        <v/>
      </c>
      <c r="S23" s="87" t="str">
        <f>IF(AND($O23=$Q$7,$B23&lt;'111'!$L$11),"x","")</f>
        <v/>
      </c>
      <c r="T23" s="87" t="str">
        <f>IF(ISERROR(FIND('112'!$M$9,G23,1)),"",IF((AND(FIND('112'!$M$9,G23,1)&gt;=1,B23='112'!$K$9,OR($N23='112'!$I$6,$O23='112'!$I$6))),"x",""))</f>
        <v/>
      </c>
      <c r="U23" s="87" t="str">
        <f>IF(ISERROR(FIND('112'!$M$9,G23,1)),"",IF((AND(FIND('112'!$M$9,G23,1)&gt;=1,B23&lt;'112'!$K$9,$N23='112'!$I$6)),"x",""))</f>
        <v/>
      </c>
      <c r="V23" s="87" t="str">
        <f>IF(ISERROR(FIND('112'!$M$9,G23,1)),"",IF((AND(FIND('112'!$M$9,G23,1)&gt;=1,B23&lt;'112'!$K$9,$O23='112'!$I$6)),"x",""))</f>
        <v/>
      </c>
      <c r="W23" s="87" t="str">
        <f>IF(AND($B23&gt;='1331'!$I$9,$B23&lt;='1331'!$J$9,OR($N23=$W$7,$O23=$W$7)),"x","")</f>
        <v/>
      </c>
      <c r="X23" s="87" t="str">
        <f>IF(AND($N23=$W$7,$B23&lt;'1331'!$I$9),"x","")</f>
        <v/>
      </c>
      <c r="Y23" s="87" t="str">
        <f>IF(AND($O23=$W$7,$B23&lt;'1331'!$I$9),"x","")</f>
        <v/>
      </c>
      <c r="Z23" s="87" t="str">
        <f>IF(AND('341-CT'!$H$9=H23,OR(LEFT(N23,3)=$Z$7,LEFT(O23,3)=$Z$7)),"x","")</f>
        <v/>
      </c>
      <c r="AA23" s="87" t="str">
        <f>IF(OR(TH!N23=TH!$AA$7,O23=TH!$AA$7),"x","")</f>
        <v/>
      </c>
      <c r="AB23" s="87" t="str">
        <f>IF(AND(OR(N23="131",O23="131"),H23='131-CT'!$H$9),"x","")</f>
        <v/>
      </c>
      <c r="AC23" s="87"/>
      <c r="AD23" s="87" t="str">
        <f>IF(AND(MONTH(E23)='IN-NX'!$J$5,'IN-NX'!$D$7=D23),"x","")</f>
        <v/>
      </c>
      <c r="AE23" s="87" t="str">
        <f>IF(AND(OR(LEFT(TH!N23,2)="15",LEFT(TH!O23,2)="15"),'152-CT'!$J$8=TH!F23),"x","")</f>
        <v/>
      </c>
      <c r="AF23" s="87" t="str">
        <f>IF(AND(OR(LEFT(TH!N23,2)="15",LEFT(TH!O23,2)="15"),'THE KHO'!$E$7=TH!F23),"x","")</f>
        <v/>
      </c>
      <c r="AG23" s="87" t="str">
        <f>IF(AND(N23="1521",MONTH(C23)='BK NL'!$M$11),"x","")</f>
        <v/>
      </c>
    </row>
    <row r="24" spans="1:33" s="404" customFormat="1" ht="15.75" customHeight="1">
      <c r="A24" s="399" t="str">
        <f>IF(B24&lt;&gt;"",IF(AND(B24&gt;=_TM1,B24&lt;=_TM2,OR(TH!N24="1111",TH!O24="1111")),TH!D24,""),"")</f>
        <v/>
      </c>
      <c r="B24" s="63">
        <f t="shared" si="1"/>
        <v>1</v>
      </c>
      <c r="C24" s="984">
        <v>42400</v>
      </c>
      <c r="D24" s="984" t="s">
        <v>600</v>
      </c>
      <c r="E24" s="984">
        <f t="shared" si="2"/>
        <v>42400</v>
      </c>
      <c r="F24" s="985" t="s">
        <v>606</v>
      </c>
      <c r="G24" s="986"/>
      <c r="H24" s="75"/>
      <c r="I24" s="518"/>
      <c r="J24" s="518"/>
      <c r="K24" s="509"/>
      <c r="L24" s="518"/>
      <c r="M24" s="987">
        <v>1816167</v>
      </c>
      <c r="N24" s="993" t="s">
        <v>298</v>
      </c>
      <c r="O24" s="994" t="s">
        <v>641</v>
      </c>
      <c r="P24" s="87" t="str">
        <f>IF(AND('331-CT'!$E$7=TH!H24,OR(N24="331",O24="331")),"x","")</f>
        <v/>
      </c>
      <c r="Q24" s="87" t="str">
        <f>IF(AND(B24='111'!$L$11,OR($N24=$Q$7,$O24=$Q$7)),"x","")</f>
        <v/>
      </c>
      <c r="R24" s="87" t="str">
        <f>IF(AND($N24=$Q$7,$B24&lt;'111'!$L$11),"x","")</f>
        <v/>
      </c>
      <c r="S24" s="87" t="str">
        <f>IF(AND($O24=$Q$7,$B24&lt;'111'!$L$11),"x","")</f>
        <v/>
      </c>
      <c r="T24" s="87" t="str">
        <f>IF(ISERROR(FIND('112'!$M$9,G24,1)),"",IF((AND(FIND('112'!$M$9,G24,1)&gt;=1,B24='112'!$K$9,OR($N24='112'!$I$6,$O24='112'!$I$6))),"x",""))</f>
        <v/>
      </c>
      <c r="U24" s="87" t="str">
        <f>IF(ISERROR(FIND('112'!$M$9,G24,1)),"",IF((AND(FIND('112'!$M$9,G24,1)&gt;=1,B24&lt;'112'!$K$9,$N24='112'!$I$6)),"x",""))</f>
        <v/>
      </c>
      <c r="V24" s="87" t="str">
        <f>IF(ISERROR(FIND('112'!$M$9,G24,1)),"",IF((AND(FIND('112'!$M$9,G24,1)&gt;=1,B24&lt;'112'!$K$9,$O24='112'!$I$6)),"x",""))</f>
        <v/>
      </c>
      <c r="W24" s="87" t="str">
        <f>IF(AND($B24&gt;='1331'!$I$9,$B24&lt;='1331'!$J$9,OR($N24=$W$7,$O24=$W$7)),"x","")</f>
        <v/>
      </c>
      <c r="X24" s="87" t="str">
        <f>IF(AND($N24=$W$7,$B24&lt;'1331'!$I$9),"x","")</f>
        <v/>
      </c>
      <c r="Y24" s="87" t="str">
        <f>IF(AND($O24=$W$7,$B24&lt;'1331'!$I$9),"x","")</f>
        <v/>
      </c>
      <c r="Z24" s="87" t="str">
        <f>IF(AND('341-CT'!$H$9=H24,OR(LEFT(N24,3)=$Z$7,LEFT(O24,3)=$Z$7)),"x","")</f>
        <v/>
      </c>
      <c r="AA24" s="87" t="str">
        <f>IF(OR(TH!N24=TH!$AA$7,O24=TH!$AA$7),"x","")</f>
        <v/>
      </c>
      <c r="AB24" s="87" t="str">
        <f>IF(AND(OR(N24="131",O24="131"),H24='131-CT'!$H$9),"x","")</f>
        <v/>
      </c>
      <c r="AC24" s="87"/>
      <c r="AD24" s="87" t="str">
        <f>IF(AND(MONTH(E24)='IN-NX'!$J$5,'IN-NX'!$D$7=D24),"x","")</f>
        <v/>
      </c>
      <c r="AE24" s="87" t="str">
        <f>IF(AND(OR(LEFT(TH!N24,2)="15",LEFT(TH!O24,2)="15"),'152-CT'!$J$8=TH!F24),"x","")</f>
        <v/>
      </c>
      <c r="AF24" s="87" t="str">
        <f>IF(AND(OR(LEFT(TH!N24,2)="15",LEFT(TH!O24,2)="15"),'THE KHO'!$E$7=TH!F24),"x","")</f>
        <v/>
      </c>
      <c r="AG24" s="87" t="str">
        <f>IF(AND(N24="1521",MONTH(C24)='BK NL'!$M$11),"x","")</f>
        <v/>
      </c>
    </row>
    <row r="25" spans="1:33" s="404" customFormat="1" ht="15.75" customHeight="1">
      <c r="A25" s="399" t="str">
        <f>IF(B25&lt;&gt;"",IF(AND(B25&gt;=_TM1,B25&lt;=_TM2,OR(TH!N25="1111",TH!O25="1111")),TH!D25,""),"")</f>
        <v/>
      </c>
      <c r="B25" s="63">
        <f t="shared" si="1"/>
        <v>1</v>
      </c>
      <c r="C25" s="984">
        <v>42400</v>
      </c>
      <c r="D25" s="984" t="s">
        <v>600</v>
      </c>
      <c r="E25" s="984">
        <f t="shared" si="2"/>
        <v>42400</v>
      </c>
      <c r="F25" s="985" t="s">
        <v>607</v>
      </c>
      <c r="G25" s="986"/>
      <c r="H25" s="75"/>
      <c r="I25" s="518"/>
      <c r="J25" s="518"/>
      <c r="K25" s="509"/>
      <c r="L25" s="518"/>
      <c r="M25" s="987">
        <v>4166667</v>
      </c>
      <c r="N25" s="995" t="s">
        <v>298</v>
      </c>
      <c r="O25" s="995" t="s">
        <v>641</v>
      </c>
      <c r="P25" s="87" t="str">
        <f>IF(AND('331-CT'!$E$7=TH!H25,OR(N25="331",O25="331")),"x","")</f>
        <v/>
      </c>
      <c r="Q25" s="87" t="str">
        <f>IF(AND(B25='111'!$L$11,OR($N25=$Q$7,$O25=$Q$7)),"x","")</f>
        <v/>
      </c>
      <c r="R25" s="87" t="str">
        <f>IF(AND($N25=$Q$7,$B25&lt;'111'!$L$11),"x","")</f>
        <v/>
      </c>
      <c r="S25" s="87" t="str">
        <f>IF(AND($O25=$Q$7,$B25&lt;'111'!$L$11),"x","")</f>
        <v/>
      </c>
      <c r="T25" s="87" t="str">
        <f>IF(ISERROR(FIND('112'!$M$9,G25,1)),"",IF((AND(FIND('112'!$M$9,G25,1)&gt;=1,B25='112'!$K$9,OR($N25='112'!$I$6,$O25='112'!$I$6))),"x",""))</f>
        <v/>
      </c>
      <c r="U25" s="87" t="str">
        <f>IF(ISERROR(FIND('112'!$M$9,G25,1)),"",IF((AND(FIND('112'!$M$9,G25,1)&gt;=1,B25&lt;'112'!$K$9,$N25='112'!$I$6)),"x",""))</f>
        <v/>
      </c>
      <c r="V25" s="87" t="str">
        <f>IF(ISERROR(FIND('112'!$M$9,G25,1)),"",IF((AND(FIND('112'!$M$9,G25,1)&gt;=1,B25&lt;'112'!$K$9,$O25='112'!$I$6)),"x",""))</f>
        <v/>
      </c>
      <c r="W25" s="87" t="str">
        <f>IF(AND($B25&gt;='1331'!$I$9,$B25&lt;='1331'!$J$9,OR($N25=$W$7,$O25=$W$7)),"x","")</f>
        <v/>
      </c>
      <c r="X25" s="87" t="str">
        <f>IF(AND($N25=$W$7,$B25&lt;'1331'!$I$9),"x","")</f>
        <v/>
      </c>
      <c r="Y25" s="87" t="str">
        <f>IF(AND($O25=$W$7,$B25&lt;'1331'!$I$9),"x","")</f>
        <v/>
      </c>
      <c r="Z25" s="87" t="str">
        <f>IF(AND('341-CT'!$H$9=H25,OR(LEFT(N25,3)=$Z$7,LEFT(O25,3)=$Z$7)),"x","")</f>
        <v/>
      </c>
      <c r="AA25" s="87" t="str">
        <f>IF(OR(TH!N25=TH!$AA$7,O25=TH!$AA$7),"x","")</f>
        <v/>
      </c>
      <c r="AB25" s="87" t="str">
        <f>IF(AND(OR(N25="131",O25="131"),H25='131-CT'!$H$9),"x","")</f>
        <v/>
      </c>
      <c r="AC25" s="87"/>
      <c r="AD25" s="87" t="str">
        <f>IF(AND(MONTH(E25)='IN-NX'!$J$5,'IN-NX'!$D$7=D25),"x","")</f>
        <v/>
      </c>
      <c r="AE25" s="87" t="str">
        <f>IF(AND(OR(LEFT(TH!N25,2)="15",LEFT(TH!O25,2)="15"),'152-CT'!$J$8=TH!F25),"x","")</f>
        <v/>
      </c>
      <c r="AF25" s="87" t="str">
        <f>IF(AND(OR(LEFT(TH!N25,2)="15",LEFT(TH!O25,2)="15"),'THE KHO'!$E$7=TH!F25),"x","")</f>
        <v/>
      </c>
      <c r="AG25" s="87" t="str">
        <f>IF(AND(N25="1521",MONTH(C25)='BK NL'!$M$11),"x","")</f>
        <v/>
      </c>
    </row>
    <row r="26" spans="1:33" s="404" customFormat="1" ht="15.75" customHeight="1">
      <c r="A26" s="399" t="str">
        <f>IF(B26&lt;&gt;"",IF(AND(B26&gt;=_TM1,B26&lt;=_TM2,OR(TH!N26="1111",TH!O26="1111")),TH!D26,""),"")</f>
        <v/>
      </c>
      <c r="B26" s="63">
        <f t="shared" si="1"/>
        <v>1</v>
      </c>
      <c r="C26" s="984">
        <v>42400</v>
      </c>
      <c r="D26" s="984" t="s">
        <v>600</v>
      </c>
      <c r="E26" s="984">
        <f t="shared" si="2"/>
        <v>42400</v>
      </c>
      <c r="F26" s="985" t="s">
        <v>608</v>
      </c>
      <c r="G26" s="986"/>
      <c r="H26" s="75"/>
      <c r="I26" s="518"/>
      <c r="J26" s="518"/>
      <c r="K26" s="509"/>
      <c r="L26" s="518"/>
      <c r="M26" s="987">
        <v>2222222</v>
      </c>
      <c r="N26" s="995" t="s">
        <v>298</v>
      </c>
      <c r="O26" s="995" t="s">
        <v>641</v>
      </c>
      <c r="P26" s="87" t="str">
        <f>IF(AND('331-CT'!$E$7=TH!H26,OR(N26="331",O26="331")),"x","")</f>
        <v/>
      </c>
      <c r="Q26" s="87" t="str">
        <f>IF(AND(B26='111'!$L$11,OR($N26=$Q$7,$O26=$Q$7)),"x","")</f>
        <v/>
      </c>
      <c r="R26" s="87" t="str">
        <f>IF(AND($N26=$Q$7,$B26&lt;'111'!$L$11),"x","")</f>
        <v/>
      </c>
      <c r="S26" s="87" t="str">
        <f>IF(AND($O26=$Q$7,$B26&lt;'111'!$L$11),"x","")</f>
        <v/>
      </c>
      <c r="T26" s="87" t="str">
        <f>IF(ISERROR(FIND('112'!$M$9,G26,1)),"",IF((AND(FIND('112'!$M$9,G26,1)&gt;=1,B26='112'!$K$9,OR($N26='112'!$I$6,$O26='112'!$I$6))),"x",""))</f>
        <v/>
      </c>
      <c r="U26" s="87" t="str">
        <f>IF(ISERROR(FIND('112'!$M$9,G26,1)),"",IF((AND(FIND('112'!$M$9,G26,1)&gt;=1,B26&lt;'112'!$K$9,$N26='112'!$I$6)),"x",""))</f>
        <v/>
      </c>
      <c r="V26" s="87" t="str">
        <f>IF(ISERROR(FIND('112'!$M$9,G26,1)),"",IF((AND(FIND('112'!$M$9,G26,1)&gt;=1,B26&lt;'112'!$K$9,$O26='112'!$I$6)),"x",""))</f>
        <v/>
      </c>
      <c r="W26" s="87" t="str">
        <f>IF(AND($B26&gt;='1331'!$I$9,$B26&lt;='1331'!$J$9,OR($N26=$W$7,$O26=$W$7)),"x","")</f>
        <v/>
      </c>
      <c r="X26" s="87" t="str">
        <f>IF(AND($N26=$W$7,$B26&lt;'1331'!$I$9),"x","")</f>
        <v/>
      </c>
      <c r="Y26" s="87" t="str">
        <f>IF(AND($O26=$W$7,$B26&lt;'1331'!$I$9),"x","")</f>
        <v/>
      </c>
      <c r="Z26" s="87" t="str">
        <f>IF(AND('341-CT'!$H$9=H26,OR(LEFT(N26,3)=$Z$7,LEFT(O26,3)=$Z$7)),"x","")</f>
        <v/>
      </c>
      <c r="AA26" s="87" t="str">
        <f>IF(OR(TH!N26=TH!$AA$7,O26=TH!$AA$7),"x","")</f>
        <v/>
      </c>
      <c r="AB26" s="87" t="str">
        <f>IF(AND(OR(N26="131",O26="131"),H26='131-CT'!$H$9),"x","")</f>
        <v/>
      </c>
      <c r="AC26" s="87"/>
      <c r="AD26" s="87" t="str">
        <f>IF(AND(MONTH(E26)='IN-NX'!$J$5,'IN-NX'!$D$7=D26),"x","")</f>
        <v/>
      </c>
      <c r="AE26" s="87" t="str">
        <f>IF(AND(OR(LEFT(TH!N26,2)="15",LEFT(TH!O26,2)="15"),'152-CT'!$J$8=TH!F26),"x","")</f>
        <v/>
      </c>
      <c r="AF26" s="87" t="str">
        <f>IF(AND(OR(LEFT(TH!N26,2)="15",LEFT(TH!O26,2)="15"),'THE KHO'!$E$7=TH!F26),"x","")</f>
        <v/>
      </c>
      <c r="AG26" s="87" t="str">
        <f>IF(AND(N26="1521",MONTH(C26)='BK NL'!$M$11),"x","")</f>
        <v/>
      </c>
    </row>
    <row r="27" spans="1:33" s="404" customFormat="1" ht="15.75" customHeight="1">
      <c r="A27" s="399" t="str">
        <f>IF(B27&lt;&gt;"",IF(AND(B27&gt;=_TM1,B27&lt;=_TM2,OR(TH!N27="1111",TH!O27="1111")),TH!D27,""),"")</f>
        <v/>
      </c>
      <c r="B27" s="63">
        <f t="shared" si="1"/>
        <v>1</v>
      </c>
      <c r="C27" s="984">
        <v>42400</v>
      </c>
      <c r="D27" s="984" t="s">
        <v>600</v>
      </c>
      <c r="E27" s="984">
        <f t="shared" si="2"/>
        <v>42400</v>
      </c>
      <c r="F27" s="985" t="s">
        <v>609</v>
      </c>
      <c r="G27" s="986"/>
      <c r="H27" s="75"/>
      <c r="I27" s="518"/>
      <c r="J27" s="518"/>
      <c r="K27" s="509"/>
      <c r="L27" s="518"/>
      <c r="M27" s="987">
        <v>1388889</v>
      </c>
      <c r="N27" s="993" t="s">
        <v>298</v>
      </c>
      <c r="O27" s="994" t="s">
        <v>641</v>
      </c>
      <c r="P27" s="87" t="str">
        <f>IF(AND('331-CT'!$E$7=TH!H27,OR(N27="331",O27="331")),"x","")</f>
        <v/>
      </c>
      <c r="Q27" s="87" t="str">
        <f>IF(AND(B27='111'!$L$11,OR($N27=$Q$7,$O27=$Q$7)),"x","")</f>
        <v/>
      </c>
      <c r="R27" s="87" t="str">
        <f>IF(AND($N27=$Q$7,$B27&lt;'111'!$L$11),"x","")</f>
        <v/>
      </c>
      <c r="S27" s="87" t="str">
        <f>IF(AND($O27=$Q$7,$B27&lt;'111'!$L$11),"x","")</f>
        <v/>
      </c>
      <c r="T27" s="87" t="str">
        <f>IF(ISERROR(FIND('112'!$M$9,G27,1)),"",IF((AND(FIND('112'!$M$9,G27,1)&gt;=1,B27='112'!$K$9,OR($N27='112'!$I$6,$O27='112'!$I$6))),"x",""))</f>
        <v/>
      </c>
      <c r="U27" s="87" t="str">
        <f>IF(ISERROR(FIND('112'!$M$9,G27,1)),"",IF((AND(FIND('112'!$M$9,G27,1)&gt;=1,B27&lt;'112'!$K$9,$N27='112'!$I$6)),"x",""))</f>
        <v/>
      </c>
      <c r="V27" s="87" t="str">
        <f>IF(ISERROR(FIND('112'!$M$9,G27,1)),"",IF((AND(FIND('112'!$M$9,G27,1)&gt;=1,B27&lt;'112'!$K$9,$O27='112'!$I$6)),"x",""))</f>
        <v/>
      </c>
      <c r="W27" s="87" t="str">
        <f>IF(AND($B27&gt;='1331'!$I$9,$B27&lt;='1331'!$J$9,OR($N27=$W$7,$O27=$W$7)),"x","")</f>
        <v/>
      </c>
      <c r="X27" s="87" t="str">
        <f>IF(AND($N27=$W$7,$B27&lt;'1331'!$I$9),"x","")</f>
        <v/>
      </c>
      <c r="Y27" s="87" t="str">
        <f>IF(AND($O27=$W$7,$B27&lt;'1331'!$I$9),"x","")</f>
        <v/>
      </c>
      <c r="Z27" s="87" t="str">
        <f>IF(AND('341-CT'!$H$9=H27,OR(LEFT(N27,3)=$Z$7,LEFT(O27,3)=$Z$7)),"x","")</f>
        <v/>
      </c>
      <c r="AA27" s="87" t="str">
        <f>IF(OR(TH!N27=TH!$AA$7,O27=TH!$AA$7),"x","")</f>
        <v/>
      </c>
      <c r="AB27" s="87" t="str">
        <f>IF(AND(OR(N27="131",O27="131"),H27='131-CT'!$H$9),"x","")</f>
        <v/>
      </c>
      <c r="AC27" s="87"/>
      <c r="AD27" s="87" t="str">
        <f>IF(AND(MONTH(E27)='IN-NX'!$J$5,'IN-NX'!$D$7=D27),"x","")</f>
        <v/>
      </c>
      <c r="AE27" s="87" t="str">
        <f>IF(AND(OR(LEFT(TH!N27,2)="15",LEFT(TH!O27,2)="15"),'152-CT'!$J$8=TH!F27),"x","")</f>
        <v/>
      </c>
      <c r="AF27" s="87" t="str">
        <f>IF(AND(OR(LEFT(TH!N27,2)="15",LEFT(TH!O27,2)="15"),'THE KHO'!$E$7=TH!F27),"x","")</f>
        <v/>
      </c>
      <c r="AG27" s="87" t="str">
        <f>IF(AND(N27="1521",MONTH(C27)='BK NL'!$M$11),"x","")</f>
        <v/>
      </c>
    </row>
    <row r="28" spans="1:33" s="404" customFormat="1" ht="15.75" customHeight="1">
      <c r="A28" s="399" t="str">
        <f>IF(B28&lt;&gt;"",IF(AND(B28&gt;=_TM1,B28&lt;=_TM2,OR(TH!N28="1111",TH!O28="1111")),TH!D28,""),"")</f>
        <v/>
      </c>
      <c r="B28" s="63">
        <f t="shared" si="1"/>
        <v>1</v>
      </c>
      <c r="C28" s="984">
        <v>42400</v>
      </c>
      <c r="D28" s="984" t="s">
        <v>600</v>
      </c>
      <c r="E28" s="984">
        <f t="shared" si="2"/>
        <v>42400</v>
      </c>
      <c r="F28" s="985" t="s">
        <v>610</v>
      </c>
      <c r="G28" s="986"/>
      <c r="H28" s="75"/>
      <c r="I28" s="518"/>
      <c r="J28" s="518"/>
      <c r="K28" s="509"/>
      <c r="L28" s="518"/>
      <c r="M28" s="987">
        <v>1666667</v>
      </c>
      <c r="N28" s="993" t="s">
        <v>298</v>
      </c>
      <c r="O28" s="994" t="s">
        <v>641</v>
      </c>
      <c r="P28" s="87" t="str">
        <f>IF(AND('331-CT'!$E$7=TH!H28,OR(N28="331",O28="331")),"x","")</f>
        <v/>
      </c>
      <c r="Q28" s="87" t="str">
        <f>IF(AND(B28='111'!$L$11,OR($N28=$Q$7,$O28=$Q$7)),"x","")</f>
        <v/>
      </c>
      <c r="R28" s="87" t="str">
        <f>IF(AND($N28=$Q$7,$B28&lt;'111'!$L$11),"x","")</f>
        <v/>
      </c>
      <c r="S28" s="87" t="str">
        <f>IF(AND($O28=$Q$7,$B28&lt;'111'!$L$11),"x","")</f>
        <v/>
      </c>
      <c r="T28" s="87" t="str">
        <f>IF(ISERROR(FIND('112'!$M$9,G28,1)),"",IF((AND(FIND('112'!$M$9,G28,1)&gt;=1,B28='112'!$K$9,OR($N28='112'!$I$6,$O28='112'!$I$6))),"x",""))</f>
        <v/>
      </c>
      <c r="U28" s="87" t="str">
        <f>IF(ISERROR(FIND('112'!$M$9,G28,1)),"",IF((AND(FIND('112'!$M$9,G28,1)&gt;=1,B28&lt;'112'!$K$9,$N28='112'!$I$6)),"x",""))</f>
        <v/>
      </c>
      <c r="V28" s="87" t="str">
        <f>IF(ISERROR(FIND('112'!$M$9,G28,1)),"",IF((AND(FIND('112'!$M$9,G28,1)&gt;=1,B28&lt;'112'!$K$9,$O28='112'!$I$6)),"x",""))</f>
        <v/>
      </c>
      <c r="W28" s="87" t="str">
        <f>IF(AND($B28&gt;='1331'!$I$9,$B28&lt;='1331'!$J$9,OR($N28=$W$7,$O28=$W$7)),"x","")</f>
        <v/>
      </c>
      <c r="X28" s="87" t="str">
        <f>IF(AND($N28=$W$7,$B28&lt;'1331'!$I$9),"x","")</f>
        <v/>
      </c>
      <c r="Y28" s="87" t="str">
        <f>IF(AND($O28=$W$7,$B28&lt;'1331'!$I$9),"x","")</f>
        <v/>
      </c>
      <c r="Z28" s="87" t="str">
        <f>IF(AND('341-CT'!$H$9=H28,OR(LEFT(N28,3)=$Z$7,LEFT(O28,3)=$Z$7)),"x","")</f>
        <v/>
      </c>
      <c r="AA28" s="87" t="str">
        <f>IF(OR(TH!N28=TH!$AA$7,O28=TH!$AA$7),"x","")</f>
        <v/>
      </c>
      <c r="AB28" s="87" t="str">
        <f>IF(AND(OR(N28="131",O28="131"),H28='131-CT'!$H$9),"x","")</f>
        <v/>
      </c>
      <c r="AC28" s="87"/>
      <c r="AD28" s="87" t="str">
        <f>IF(AND(MONTH(E28)='IN-NX'!$J$5,'IN-NX'!$D$7=D28),"x","")</f>
        <v/>
      </c>
      <c r="AE28" s="87" t="str">
        <f>IF(AND(OR(LEFT(TH!N28,2)="15",LEFT(TH!O28,2)="15"),'152-CT'!$J$8=TH!F28),"x","")</f>
        <v/>
      </c>
      <c r="AF28" s="87" t="str">
        <f>IF(AND(OR(LEFT(TH!N28,2)="15",LEFT(TH!O28,2)="15"),'THE KHO'!$E$7=TH!F28),"x","")</f>
        <v/>
      </c>
      <c r="AG28" s="87" t="str">
        <f>IF(AND(N28="1521",MONTH(C28)='BK NL'!$M$11),"x","")</f>
        <v/>
      </c>
    </row>
    <row r="29" spans="1:33" s="404" customFormat="1" ht="15.75" customHeight="1">
      <c r="A29" s="399" t="str">
        <f>IF(B29&lt;&gt;"",IF(AND(B29&gt;=_TM1,B29&lt;=_TM2,OR(TH!N29="1111",TH!O29="1111")),TH!D29,""),"")</f>
        <v/>
      </c>
      <c r="B29" s="63">
        <f t="shared" si="1"/>
        <v>1</v>
      </c>
      <c r="C29" s="984">
        <v>42400</v>
      </c>
      <c r="D29" s="984" t="s">
        <v>600</v>
      </c>
      <c r="E29" s="984">
        <f t="shared" si="2"/>
        <v>42400</v>
      </c>
      <c r="F29" s="985" t="s">
        <v>611</v>
      </c>
      <c r="G29" s="986"/>
      <c r="H29" s="75"/>
      <c r="I29" s="518"/>
      <c r="J29" s="518"/>
      <c r="K29" s="509"/>
      <c r="L29" s="518"/>
      <c r="M29" s="987">
        <v>1666667</v>
      </c>
      <c r="N29" s="993" t="s">
        <v>298</v>
      </c>
      <c r="O29" s="994" t="s">
        <v>641</v>
      </c>
      <c r="P29" s="87" t="str">
        <f>IF(AND('331-CT'!$E$7=TH!H29,OR(N29="331",O29="331")),"x","")</f>
        <v/>
      </c>
      <c r="Q29" s="87" t="str">
        <f>IF(AND(B29='111'!$L$11,OR($N29=$Q$7,$O29=$Q$7)),"x","")</f>
        <v/>
      </c>
      <c r="R29" s="87" t="str">
        <f>IF(AND($N29=$Q$7,$B29&lt;'111'!$L$11),"x","")</f>
        <v/>
      </c>
      <c r="S29" s="87" t="str">
        <f>IF(AND($O29=$Q$7,$B29&lt;'111'!$L$11),"x","")</f>
        <v/>
      </c>
      <c r="T29" s="87" t="str">
        <f>IF(ISERROR(FIND('112'!$M$9,G29,1)),"",IF((AND(FIND('112'!$M$9,G29,1)&gt;=1,B29='112'!$K$9,OR($N29='112'!$I$6,$O29='112'!$I$6))),"x",""))</f>
        <v/>
      </c>
      <c r="U29" s="87" t="str">
        <f>IF(ISERROR(FIND('112'!$M$9,G29,1)),"",IF((AND(FIND('112'!$M$9,G29,1)&gt;=1,B29&lt;'112'!$K$9,$N29='112'!$I$6)),"x",""))</f>
        <v/>
      </c>
      <c r="V29" s="87" t="str">
        <f>IF(ISERROR(FIND('112'!$M$9,G29,1)),"",IF((AND(FIND('112'!$M$9,G29,1)&gt;=1,B29&lt;'112'!$K$9,$O29='112'!$I$6)),"x",""))</f>
        <v/>
      </c>
      <c r="W29" s="87" t="str">
        <f>IF(AND($B29&gt;='1331'!$I$9,$B29&lt;='1331'!$J$9,OR($N29=$W$7,$O29=$W$7)),"x","")</f>
        <v/>
      </c>
      <c r="X29" s="87" t="str">
        <f>IF(AND($N29=$W$7,$B29&lt;'1331'!$I$9),"x","")</f>
        <v/>
      </c>
      <c r="Y29" s="87" t="str">
        <f>IF(AND($O29=$W$7,$B29&lt;'1331'!$I$9),"x","")</f>
        <v/>
      </c>
      <c r="Z29" s="87" t="str">
        <f>IF(AND('341-CT'!$H$9=H29,OR(LEFT(N29,3)=$Z$7,LEFT(O29,3)=$Z$7)),"x","")</f>
        <v/>
      </c>
      <c r="AA29" s="87" t="str">
        <f>IF(OR(TH!N29=TH!$AA$7,O29=TH!$AA$7),"x","")</f>
        <v/>
      </c>
      <c r="AB29" s="87" t="str">
        <f>IF(AND(OR(N29="131",O29="131"),H29='131-CT'!$H$9),"x","")</f>
        <v/>
      </c>
      <c r="AC29" s="87"/>
      <c r="AD29" s="87" t="str">
        <f>IF(AND(MONTH(E29)='IN-NX'!$J$5,'IN-NX'!$D$7=D29),"x","")</f>
        <v/>
      </c>
      <c r="AE29" s="87" t="str">
        <f>IF(AND(OR(LEFT(TH!N29,2)="15",LEFT(TH!O29,2)="15"),'152-CT'!$J$8=TH!F29),"x","")</f>
        <v/>
      </c>
      <c r="AF29" s="87" t="str">
        <f>IF(AND(OR(LEFT(TH!N29,2)="15",LEFT(TH!O29,2)="15"),'THE KHO'!$E$7=TH!F29),"x","")</f>
        <v/>
      </c>
      <c r="AG29" s="87" t="str">
        <f>IF(AND(N29="1521",MONTH(C29)='BK NL'!$M$11),"x","")</f>
        <v/>
      </c>
    </row>
    <row r="30" spans="1:33" s="404" customFormat="1" ht="15.75" customHeight="1">
      <c r="A30" s="399" t="str">
        <f>IF(B30&lt;&gt;"",IF(AND(B30&gt;=_TM1,B30&lt;=_TM2,OR(TH!N30="1111",TH!O30="1111")),TH!D30,""),"")</f>
        <v/>
      </c>
      <c r="B30" s="63">
        <f t="shared" si="1"/>
        <v>1</v>
      </c>
      <c r="C30" s="984">
        <v>42400</v>
      </c>
      <c r="D30" s="984" t="s">
        <v>600</v>
      </c>
      <c r="E30" s="984">
        <f t="shared" si="2"/>
        <v>42400</v>
      </c>
      <c r="F30" s="985" t="s">
        <v>612</v>
      </c>
      <c r="G30" s="986"/>
      <c r="H30" s="75"/>
      <c r="I30" s="518"/>
      <c r="J30" s="518"/>
      <c r="K30" s="509"/>
      <c r="L30" s="518"/>
      <c r="M30" s="987">
        <v>5499999</v>
      </c>
      <c r="N30" s="993" t="s">
        <v>298</v>
      </c>
      <c r="O30" s="994" t="s">
        <v>641</v>
      </c>
      <c r="P30" s="87" t="str">
        <f>IF(AND('331-CT'!$E$7=TH!H30,OR(N30="331",O30="331")),"x","")</f>
        <v/>
      </c>
      <c r="Q30" s="87" t="str">
        <f>IF(AND(B30='111'!$L$11,OR($N30=$Q$7,$O30=$Q$7)),"x","")</f>
        <v/>
      </c>
      <c r="R30" s="87" t="str">
        <f>IF(AND($N30=$Q$7,$B30&lt;'111'!$L$11),"x","")</f>
        <v/>
      </c>
      <c r="S30" s="87" t="str">
        <f>IF(AND($O30=$Q$7,$B30&lt;'111'!$L$11),"x","")</f>
        <v/>
      </c>
      <c r="T30" s="87" t="str">
        <f>IF(ISERROR(FIND('112'!$M$9,G30,1)),"",IF((AND(FIND('112'!$M$9,G30,1)&gt;=1,B30='112'!$K$9,OR($N30='112'!$I$6,$O30='112'!$I$6))),"x",""))</f>
        <v/>
      </c>
      <c r="U30" s="87" t="str">
        <f>IF(ISERROR(FIND('112'!$M$9,G30,1)),"",IF((AND(FIND('112'!$M$9,G30,1)&gt;=1,B30&lt;'112'!$K$9,$N30='112'!$I$6)),"x",""))</f>
        <v/>
      </c>
      <c r="V30" s="87" t="str">
        <f>IF(ISERROR(FIND('112'!$M$9,G30,1)),"",IF((AND(FIND('112'!$M$9,G30,1)&gt;=1,B30&lt;'112'!$K$9,$O30='112'!$I$6)),"x",""))</f>
        <v/>
      </c>
      <c r="W30" s="87" t="str">
        <f>IF(AND($B30&gt;='1331'!$I$9,$B30&lt;='1331'!$J$9,OR($N30=$W$7,$O30=$W$7)),"x","")</f>
        <v/>
      </c>
      <c r="X30" s="87" t="str">
        <f>IF(AND($N30=$W$7,$B30&lt;'1331'!$I$9),"x","")</f>
        <v/>
      </c>
      <c r="Y30" s="87" t="str">
        <f>IF(AND($O30=$W$7,$B30&lt;'1331'!$I$9),"x","")</f>
        <v/>
      </c>
      <c r="Z30" s="87" t="str">
        <f>IF(AND('341-CT'!$H$9=H30,OR(LEFT(N30,3)=$Z$7,LEFT(O30,3)=$Z$7)),"x","")</f>
        <v/>
      </c>
      <c r="AA30" s="87" t="str">
        <f>IF(OR(TH!N30=TH!$AA$7,O30=TH!$AA$7),"x","")</f>
        <v/>
      </c>
      <c r="AB30" s="87" t="str">
        <f>IF(AND(OR(N30="131",O30="131"),H30='131-CT'!$H$9),"x","")</f>
        <v/>
      </c>
      <c r="AC30" s="87"/>
      <c r="AD30" s="87" t="str">
        <f>IF(AND(MONTH(E30)='IN-NX'!$J$5,'IN-NX'!$D$7=D30),"x","")</f>
        <v/>
      </c>
      <c r="AE30" s="87" t="str">
        <f>IF(AND(OR(LEFT(TH!N30,2)="15",LEFT(TH!O30,2)="15"),'152-CT'!$J$8=TH!F30),"x","")</f>
        <v/>
      </c>
      <c r="AF30" s="87" t="str">
        <f>IF(AND(OR(LEFT(TH!N30,2)="15",LEFT(TH!O30,2)="15"),'THE KHO'!$E$7=TH!F30),"x","")</f>
        <v/>
      </c>
      <c r="AG30" s="87" t="str">
        <f>IF(AND(N30="1521",MONTH(C30)='BK NL'!$M$11),"x","")</f>
        <v/>
      </c>
    </row>
    <row r="31" spans="1:33" s="404" customFormat="1" ht="15.75" customHeight="1">
      <c r="A31" s="399" t="str">
        <f>IF(B31&lt;&gt;"",IF(AND(B31&gt;=_TM1,B31&lt;=_TM2,OR(TH!N31="1111",TH!O31="1111")),TH!D31,""),"")</f>
        <v/>
      </c>
      <c r="B31" s="63">
        <f t="shared" si="1"/>
        <v>1</v>
      </c>
      <c r="C31" s="988">
        <v>42400</v>
      </c>
      <c r="D31" s="988" t="s">
        <v>600</v>
      </c>
      <c r="E31" s="988">
        <f>C31</f>
        <v>42400</v>
      </c>
      <c r="F31" s="989" t="s">
        <v>613</v>
      </c>
      <c r="G31" s="990"/>
      <c r="H31" s="75"/>
      <c r="I31" s="518"/>
      <c r="J31" s="518"/>
      <c r="K31" s="509"/>
      <c r="L31" s="518"/>
      <c r="M31" s="996"/>
      <c r="N31" s="997" t="s">
        <v>642</v>
      </c>
      <c r="O31" s="997" t="s">
        <v>643</v>
      </c>
      <c r="P31" s="87" t="str">
        <f>IF(AND('331-CT'!$E$7=TH!H31,OR(N31="331",O31="331")),"x","")</f>
        <v/>
      </c>
      <c r="Q31" s="87" t="str">
        <f>IF(AND(B31='111'!$L$11,OR($N31=$Q$7,$O31=$Q$7)),"x","")</f>
        <v/>
      </c>
      <c r="R31" s="87" t="str">
        <f>IF(AND($N31=$Q$7,$B31&lt;'111'!$L$11),"x","")</f>
        <v/>
      </c>
      <c r="S31" s="87" t="str">
        <f>IF(AND($O31=$Q$7,$B31&lt;'111'!$L$11),"x","")</f>
        <v/>
      </c>
      <c r="T31" s="87" t="str">
        <f>IF(ISERROR(FIND('112'!$M$9,G31,1)),"",IF((AND(FIND('112'!$M$9,G31,1)&gt;=1,B31='112'!$K$9,OR($N31='112'!$I$6,$O31='112'!$I$6))),"x",""))</f>
        <v/>
      </c>
      <c r="U31" s="87" t="str">
        <f>IF(ISERROR(FIND('112'!$M$9,G31,1)),"",IF((AND(FIND('112'!$M$9,G31,1)&gt;=1,B31&lt;'112'!$K$9,$N31='112'!$I$6)),"x",""))</f>
        <v/>
      </c>
      <c r="V31" s="87" t="str">
        <f>IF(ISERROR(FIND('112'!$M$9,G31,1)),"",IF((AND(FIND('112'!$M$9,G31,1)&gt;=1,B31&lt;'112'!$K$9,$O31='112'!$I$6)),"x",""))</f>
        <v/>
      </c>
      <c r="W31" s="87" t="str">
        <f>IF(AND($B31&gt;='1331'!$I$9,$B31&lt;='1331'!$J$9,OR($N31=$W$7,$O31=$W$7)),"x","")</f>
        <v/>
      </c>
      <c r="X31" s="87" t="str">
        <f>IF(AND($N31=$W$7,$B31&lt;'1331'!$I$9),"x","")</f>
        <v/>
      </c>
      <c r="Y31" s="87" t="str">
        <f>IF(AND($O31=$W$7,$B31&lt;'1331'!$I$9),"x","")</f>
        <v/>
      </c>
      <c r="Z31" s="87" t="str">
        <f>IF(AND('341-CT'!$H$9=H31,OR(LEFT(N31,3)=$Z$7,LEFT(O31,3)=$Z$7)),"x","")</f>
        <v/>
      </c>
      <c r="AA31" s="87" t="str">
        <f>IF(OR(TH!N31=TH!$AA$7,O31=TH!$AA$7),"x","")</f>
        <v/>
      </c>
      <c r="AB31" s="87" t="str">
        <f>IF(AND(OR(N31="131",O31="131"),H31='131-CT'!$H$9),"x","")</f>
        <v/>
      </c>
      <c r="AC31" s="87"/>
      <c r="AD31" s="87" t="str">
        <f>IF(AND(MONTH(E31)='IN-NX'!$J$5,'IN-NX'!$D$7=D31),"x","")</f>
        <v/>
      </c>
      <c r="AE31" s="87" t="str">
        <f>IF(AND(OR(LEFT(TH!N31,2)="15",LEFT(TH!O31,2)="15"),'152-CT'!$J$8=TH!F31),"x","")</f>
        <v/>
      </c>
      <c r="AF31" s="87" t="str">
        <f>IF(AND(OR(LEFT(TH!N31,2)="15",LEFT(TH!O31,2)="15"),'THE KHO'!$E$7=TH!F31),"x","")</f>
        <v/>
      </c>
      <c r="AG31" s="87" t="str">
        <f>IF(AND(N31="1521",MONTH(C31)='BK NL'!$M$11),"x","")</f>
        <v/>
      </c>
    </row>
    <row r="32" spans="1:33" s="404" customFormat="1" ht="15.75" customHeight="1">
      <c r="A32" s="399" t="str">
        <f>IF(B32&lt;&gt;"",IF(AND(B32&gt;=_TM1,B32&lt;=_TM2,OR(TH!N32="1111",TH!O32="1111")),TH!D32,""),"")</f>
        <v/>
      </c>
      <c r="B32" s="63">
        <f t="shared" si="1"/>
        <v>1</v>
      </c>
      <c r="C32" s="988">
        <v>42400</v>
      </c>
      <c r="D32" s="988" t="s">
        <v>600</v>
      </c>
      <c r="E32" s="988">
        <f t="shared" ref="E32:E51" si="3">C32</f>
        <v>42400</v>
      </c>
      <c r="F32" s="989" t="s">
        <v>614</v>
      </c>
      <c r="G32" s="990"/>
      <c r="H32" s="75"/>
      <c r="I32" s="518"/>
      <c r="J32" s="518"/>
      <c r="K32" s="509"/>
      <c r="L32" s="518"/>
      <c r="M32" s="996"/>
      <c r="N32" s="997" t="s">
        <v>298</v>
      </c>
      <c r="O32" s="997" t="s">
        <v>643</v>
      </c>
      <c r="P32" s="87" t="str">
        <f>IF(AND('331-CT'!$E$7=TH!H32,OR(N32="331",O32="331")),"x","")</f>
        <v/>
      </c>
      <c r="Q32" s="87" t="str">
        <f>IF(AND(B32='111'!$L$11,OR($N32=$Q$7,$O32=$Q$7)),"x","")</f>
        <v/>
      </c>
      <c r="R32" s="87" t="str">
        <f>IF(AND($N32=$Q$7,$B32&lt;'111'!$L$11),"x","")</f>
        <v/>
      </c>
      <c r="S32" s="87" t="str">
        <f>IF(AND($O32=$Q$7,$B32&lt;'111'!$L$11),"x","")</f>
        <v/>
      </c>
      <c r="T32" s="87" t="str">
        <f>IF(ISERROR(FIND('112'!$M$9,G32,1)),"",IF((AND(FIND('112'!$M$9,G32,1)&gt;=1,B32='112'!$K$9,OR($N32='112'!$I$6,$O32='112'!$I$6))),"x",""))</f>
        <v/>
      </c>
      <c r="U32" s="87" t="str">
        <f>IF(ISERROR(FIND('112'!$M$9,G32,1)),"",IF((AND(FIND('112'!$M$9,G32,1)&gt;=1,B32&lt;'112'!$K$9,$N32='112'!$I$6)),"x",""))</f>
        <v/>
      </c>
      <c r="V32" s="87" t="str">
        <f>IF(ISERROR(FIND('112'!$M$9,G32,1)),"",IF((AND(FIND('112'!$M$9,G32,1)&gt;=1,B32&lt;'112'!$K$9,$O32='112'!$I$6)),"x",""))</f>
        <v/>
      </c>
      <c r="W32" s="87" t="str">
        <f>IF(AND($B32&gt;='1331'!$I$9,$B32&lt;='1331'!$J$9,OR($N32=$W$7,$O32=$W$7)),"x","")</f>
        <v/>
      </c>
      <c r="X32" s="87" t="str">
        <f>IF(AND($N32=$W$7,$B32&lt;'1331'!$I$9),"x","")</f>
        <v/>
      </c>
      <c r="Y32" s="87" t="str">
        <f>IF(AND($O32=$W$7,$B32&lt;'1331'!$I$9),"x","")</f>
        <v/>
      </c>
      <c r="Z32" s="87" t="str">
        <f>IF(AND('341-CT'!$H$9=H32,OR(LEFT(N32,3)=$Z$7,LEFT(O32,3)=$Z$7)),"x","")</f>
        <v/>
      </c>
      <c r="AA32" s="87" t="str">
        <f>IF(OR(TH!N32=TH!$AA$7,O32=TH!$AA$7),"x","")</f>
        <v/>
      </c>
      <c r="AB32" s="87" t="str">
        <f>IF(AND(OR(N32="131",O32="131"),H32='131-CT'!$H$9),"x","")</f>
        <v/>
      </c>
      <c r="AC32" s="87"/>
      <c r="AD32" s="87" t="str">
        <f>IF(AND(MONTH(E32)='IN-NX'!$J$5,'IN-NX'!$D$7=D32),"x","")</f>
        <v/>
      </c>
      <c r="AE32" s="87" t="str">
        <f>IF(AND(OR(LEFT(TH!N32,2)="15",LEFT(TH!O32,2)="15"),'152-CT'!$J$8=TH!F32),"x","")</f>
        <v/>
      </c>
      <c r="AF32" s="87" t="str">
        <f>IF(AND(OR(LEFT(TH!N32,2)="15",LEFT(TH!O32,2)="15"),'THE KHO'!$E$7=TH!F32),"x","")</f>
        <v/>
      </c>
      <c r="AG32" s="87" t="str">
        <f>IF(AND(N32="1521",MONTH(C32)='BK NL'!$M$11),"x","")</f>
        <v/>
      </c>
    </row>
    <row r="33" spans="1:33" s="404" customFormat="1" ht="15.75" customHeight="1">
      <c r="A33" s="399" t="str">
        <f>IF(B33&lt;&gt;"",IF(AND(B33&gt;=_TM1,B33&lt;=_TM2,OR(TH!N33="1111",TH!O33="1111")),TH!D33,""),"")</f>
        <v/>
      </c>
      <c r="B33" s="63">
        <f t="shared" si="1"/>
        <v>1</v>
      </c>
      <c r="C33" s="988">
        <v>42400</v>
      </c>
      <c r="D33" s="988" t="s">
        <v>600</v>
      </c>
      <c r="E33" s="988">
        <f t="shared" si="3"/>
        <v>42400</v>
      </c>
      <c r="F33" s="989" t="s">
        <v>615</v>
      </c>
      <c r="G33" s="990"/>
      <c r="H33" s="75"/>
      <c r="I33" s="518"/>
      <c r="J33" s="518"/>
      <c r="K33" s="509"/>
      <c r="L33" s="518"/>
      <c r="M33" s="996"/>
      <c r="N33" s="997" t="s">
        <v>298</v>
      </c>
      <c r="O33" s="997" t="s">
        <v>643</v>
      </c>
      <c r="P33" s="87" t="str">
        <f>IF(AND('331-CT'!$E$7=TH!H33,OR(N33="331",O33="331")),"x","")</f>
        <v/>
      </c>
      <c r="Q33" s="87" t="str">
        <f>IF(AND(B33='111'!$L$11,OR($N33=$Q$7,$O33=$Q$7)),"x","")</f>
        <v/>
      </c>
      <c r="R33" s="87" t="str">
        <f>IF(AND($N33=$Q$7,$B33&lt;'111'!$L$11),"x","")</f>
        <v/>
      </c>
      <c r="S33" s="87" t="str">
        <f>IF(AND($O33=$Q$7,$B33&lt;'111'!$L$11),"x","")</f>
        <v/>
      </c>
      <c r="T33" s="87" t="str">
        <f>IF(ISERROR(FIND('112'!$M$9,G33,1)),"",IF((AND(FIND('112'!$M$9,G33,1)&gt;=1,B33='112'!$K$9,OR($N33='112'!$I$6,$O33='112'!$I$6))),"x",""))</f>
        <v/>
      </c>
      <c r="U33" s="87" t="str">
        <f>IF(ISERROR(FIND('112'!$M$9,G33,1)),"",IF((AND(FIND('112'!$M$9,G33,1)&gt;=1,B33&lt;'112'!$K$9,$N33='112'!$I$6)),"x",""))</f>
        <v/>
      </c>
      <c r="V33" s="87" t="str">
        <f>IF(ISERROR(FIND('112'!$M$9,G33,1)),"",IF((AND(FIND('112'!$M$9,G33,1)&gt;=1,B33&lt;'112'!$K$9,$O33='112'!$I$6)),"x",""))</f>
        <v/>
      </c>
      <c r="W33" s="87" t="str">
        <f>IF(AND($B33&gt;='1331'!$I$9,$B33&lt;='1331'!$J$9,OR($N33=$W$7,$O33=$W$7)),"x","")</f>
        <v/>
      </c>
      <c r="X33" s="87" t="str">
        <f>IF(AND($N33=$W$7,$B33&lt;'1331'!$I$9),"x","")</f>
        <v/>
      </c>
      <c r="Y33" s="87" t="str">
        <f>IF(AND($O33=$W$7,$B33&lt;'1331'!$I$9),"x","")</f>
        <v/>
      </c>
      <c r="Z33" s="87" t="str">
        <f>IF(AND('341-CT'!$H$9=H33,OR(LEFT(N33,3)=$Z$7,LEFT(O33,3)=$Z$7)),"x","")</f>
        <v/>
      </c>
      <c r="AA33" s="87" t="str">
        <f>IF(OR(TH!N33=TH!$AA$7,O33=TH!$AA$7),"x","")</f>
        <v/>
      </c>
      <c r="AB33" s="87" t="str">
        <f>IF(AND(OR(N33="131",O33="131"),H33='131-CT'!$H$9),"x","")</f>
        <v/>
      </c>
      <c r="AC33" s="87"/>
      <c r="AD33" s="87" t="str">
        <f>IF(AND(MONTH(E33)='IN-NX'!$J$5,'IN-NX'!$D$7=D33),"x","")</f>
        <v/>
      </c>
      <c r="AE33" s="87" t="str">
        <f>IF(AND(OR(LEFT(TH!N33,2)="15",LEFT(TH!O33,2)="15"),'152-CT'!$J$8=TH!F33),"x","")</f>
        <v/>
      </c>
      <c r="AF33" s="87" t="str">
        <f>IF(AND(OR(LEFT(TH!N33,2)="15",LEFT(TH!O33,2)="15"),'THE KHO'!$E$7=TH!F33),"x","")</f>
        <v/>
      </c>
      <c r="AG33" s="87" t="str">
        <f>IF(AND(N33="1521",MONTH(C33)='BK NL'!$M$11),"x","")</f>
        <v/>
      </c>
    </row>
    <row r="34" spans="1:33" s="404" customFormat="1" ht="15.75" customHeight="1">
      <c r="A34" s="399" t="str">
        <f>IF(B34&lt;&gt;"",IF(AND(B34&gt;=_TM1,B34&lt;=_TM2,OR(TH!N34="1111",TH!O34="1111")),TH!D34,""),"")</f>
        <v/>
      </c>
      <c r="B34" s="63">
        <f t="shared" si="1"/>
        <v>1</v>
      </c>
      <c r="C34" s="988">
        <v>42400</v>
      </c>
      <c r="D34" s="988" t="s">
        <v>600</v>
      </c>
      <c r="E34" s="988">
        <f t="shared" si="3"/>
        <v>42400</v>
      </c>
      <c r="F34" s="989" t="s">
        <v>616</v>
      </c>
      <c r="G34" s="991" t="s">
        <v>617</v>
      </c>
      <c r="H34" s="75"/>
      <c r="I34" s="518"/>
      <c r="J34" s="518"/>
      <c r="K34" s="509"/>
      <c r="L34" s="518"/>
      <c r="M34" s="996">
        <f>G31*$F$351</f>
        <v>0</v>
      </c>
      <c r="N34" s="997" t="s">
        <v>643</v>
      </c>
      <c r="O34" s="997" t="s">
        <v>644</v>
      </c>
      <c r="P34" s="87" t="str">
        <f>IF(AND('331-CT'!$E$7=TH!H34,OR(N34="331",O34="331")),"x","")</f>
        <v/>
      </c>
      <c r="Q34" s="87" t="str">
        <f>IF(AND(B34='111'!$L$11,OR($N34=$Q$7,$O34=$Q$7)),"x","")</f>
        <v/>
      </c>
      <c r="R34" s="87" t="str">
        <f>IF(AND($N34=$Q$7,$B34&lt;'111'!$L$11),"x","")</f>
        <v/>
      </c>
      <c r="S34" s="87" t="str">
        <f>IF(AND($O34=$Q$7,$B34&lt;'111'!$L$11),"x","")</f>
        <v/>
      </c>
      <c r="T34" s="87" t="str">
        <f>IF(ISERROR(FIND('112'!$M$9,G34,1)),"",IF((AND(FIND('112'!$M$9,G34,1)&gt;=1,B34='112'!$K$9,OR($N34='112'!$I$6,$O34='112'!$I$6))),"x",""))</f>
        <v/>
      </c>
      <c r="U34" s="87" t="str">
        <f>IF(ISERROR(FIND('112'!$M$9,G34,1)),"",IF((AND(FIND('112'!$M$9,G34,1)&gt;=1,B34&lt;'112'!$K$9,$N34='112'!$I$6)),"x",""))</f>
        <v/>
      </c>
      <c r="V34" s="87" t="str">
        <f>IF(ISERROR(FIND('112'!$M$9,G34,1)),"",IF((AND(FIND('112'!$M$9,G34,1)&gt;=1,B34&lt;'112'!$K$9,$O34='112'!$I$6)),"x",""))</f>
        <v/>
      </c>
      <c r="W34" s="87" t="str">
        <f>IF(AND($B34&gt;='1331'!$I$9,$B34&lt;='1331'!$J$9,OR($N34=$W$7,$O34=$W$7)),"x","")</f>
        <v/>
      </c>
      <c r="X34" s="87" t="str">
        <f>IF(AND($N34=$W$7,$B34&lt;'1331'!$I$9),"x","")</f>
        <v/>
      </c>
      <c r="Y34" s="87" t="str">
        <f>IF(AND($O34=$W$7,$B34&lt;'1331'!$I$9),"x","")</f>
        <v/>
      </c>
      <c r="Z34" s="87" t="str">
        <f>IF(AND('341-CT'!$H$9=H34,OR(LEFT(N34,3)=$Z$7,LEFT(O34,3)=$Z$7)),"x","")</f>
        <v/>
      </c>
      <c r="AA34" s="87" t="str">
        <f>IF(OR(TH!N34=TH!$AA$7,O34=TH!$AA$7),"x","")</f>
        <v/>
      </c>
      <c r="AB34" s="87" t="str">
        <f>IF(AND(OR(N34="131",O34="131"),H34='131-CT'!$H$9),"x","")</f>
        <v/>
      </c>
      <c r="AC34" s="87"/>
      <c r="AD34" s="87" t="str">
        <f>IF(AND(MONTH(E34)='IN-NX'!$J$5,'IN-NX'!$D$7=D34),"x","")</f>
        <v/>
      </c>
      <c r="AE34" s="87" t="str">
        <f>IF(AND(OR(LEFT(TH!N34,2)="15",LEFT(TH!O34,2)="15"),'152-CT'!$J$8=TH!F34),"x","")</f>
        <v/>
      </c>
      <c r="AF34" s="87" t="str">
        <f>IF(AND(OR(LEFT(TH!N34,2)="15",LEFT(TH!O34,2)="15"),'THE KHO'!$E$7=TH!F34),"x","")</f>
        <v/>
      </c>
      <c r="AG34" s="87" t="str">
        <f>IF(AND(N34="1521",MONTH(C34)='BK NL'!$M$11),"x","")</f>
        <v/>
      </c>
    </row>
    <row r="35" spans="1:33" s="404" customFormat="1" ht="15.75" customHeight="1">
      <c r="A35" s="399" t="str">
        <f>IF(B35&lt;&gt;"",IF(AND(B35&gt;=_TM1,B35&lt;=_TM2,OR(TH!N35="1111",TH!O35="1111")),TH!D35,""),"")</f>
        <v/>
      </c>
      <c r="B35" s="63">
        <f t="shared" si="1"/>
        <v>1</v>
      </c>
      <c r="C35" s="988">
        <v>42400</v>
      </c>
      <c r="D35" s="988" t="s">
        <v>600</v>
      </c>
      <c r="E35" s="988">
        <f t="shared" si="3"/>
        <v>42400</v>
      </c>
      <c r="F35" s="989" t="s">
        <v>618</v>
      </c>
      <c r="G35" s="990"/>
      <c r="H35" s="75"/>
      <c r="I35" s="518"/>
      <c r="J35" s="518"/>
      <c r="K35" s="509"/>
      <c r="L35" s="518"/>
      <c r="M35" s="996">
        <f>G32*$F$351</f>
        <v>0</v>
      </c>
      <c r="N35" s="998" t="s">
        <v>643</v>
      </c>
      <c r="O35" s="999" t="s">
        <v>644</v>
      </c>
      <c r="P35" s="87" t="str">
        <f>IF(AND('331-CT'!$E$7=TH!H35,OR(N35="331",O35="331")),"x","")</f>
        <v/>
      </c>
      <c r="Q35" s="87" t="str">
        <f>IF(AND(B35='111'!$L$11,OR($N35=$Q$7,$O35=$Q$7)),"x","")</f>
        <v/>
      </c>
      <c r="R35" s="87" t="str">
        <f>IF(AND($N35=$Q$7,$B35&lt;'111'!$L$11),"x","")</f>
        <v/>
      </c>
      <c r="S35" s="87" t="str">
        <f>IF(AND($O35=$Q$7,$B35&lt;'111'!$L$11),"x","")</f>
        <v/>
      </c>
      <c r="T35" s="87" t="str">
        <f>IF(ISERROR(FIND('112'!$M$9,G35,1)),"",IF((AND(FIND('112'!$M$9,G35,1)&gt;=1,B35='112'!$K$9,OR($N35='112'!$I$6,$O35='112'!$I$6))),"x",""))</f>
        <v/>
      </c>
      <c r="U35" s="87" t="str">
        <f>IF(ISERROR(FIND('112'!$M$9,G35,1)),"",IF((AND(FIND('112'!$M$9,G35,1)&gt;=1,B35&lt;'112'!$K$9,$N35='112'!$I$6)),"x",""))</f>
        <v/>
      </c>
      <c r="V35" s="87" t="str">
        <f>IF(ISERROR(FIND('112'!$M$9,G35,1)),"",IF((AND(FIND('112'!$M$9,G35,1)&gt;=1,B35&lt;'112'!$K$9,$O35='112'!$I$6)),"x",""))</f>
        <v/>
      </c>
      <c r="W35" s="87" t="str">
        <f>IF(AND($B35&gt;='1331'!$I$9,$B35&lt;='1331'!$J$9,OR($N35=$W$7,$O35=$W$7)),"x","")</f>
        <v/>
      </c>
      <c r="X35" s="87" t="str">
        <f>IF(AND($N35=$W$7,$B35&lt;'1331'!$I$9),"x","")</f>
        <v/>
      </c>
      <c r="Y35" s="87" t="str">
        <f>IF(AND($O35=$W$7,$B35&lt;'1331'!$I$9),"x","")</f>
        <v/>
      </c>
      <c r="Z35" s="87" t="str">
        <f>IF(AND('341-CT'!$H$9=H35,OR(LEFT(N35,3)=$Z$7,LEFT(O35,3)=$Z$7)),"x","")</f>
        <v/>
      </c>
      <c r="AA35" s="87" t="str">
        <f>IF(OR(TH!N35=TH!$AA$7,O35=TH!$AA$7),"x","")</f>
        <v/>
      </c>
      <c r="AB35" s="87" t="str">
        <f>IF(AND(OR(N35="131",O35="131"),H35='131-CT'!$H$9),"x","")</f>
        <v/>
      </c>
      <c r="AC35" s="87"/>
      <c r="AD35" s="87" t="str">
        <f>IF(AND(MONTH(E35)='IN-NX'!$J$5,'IN-NX'!$D$7=D35),"x","")</f>
        <v/>
      </c>
      <c r="AE35" s="87" t="str">
        <f>IF(AND(OR(LEFT(TH!N35,2)="15",LEFT(TH!O35,2)="15"),'152-CT'!$J$8=TH!F35),"x","")</f>
        <v/>
      </c>
      <c r="AF35" s="87" t="str">
        <f>IF(AND(OR(LEFT(TH!N35,2)="15",LEFT(TH!O35,2)="15"),'THE KHO'!$E$7=TH!F35),"x","")</f>
        <v/>
      </c>
      <c r="AG35" s="87" t="str">
        <f>IF(AND(N35="1521",MONTH(C35)='BK NL'!$M$11),"x","")</f>
        <v/>
      </c>
    </row>
    <row r="36" spans="1:33" s="404" customFormat="1" ht="15.75" customHeight="1">
      <c r="A36" s="399" t="str">
        <f>IF(B36&lt;&gt;"",IF(AND(B36&gt;=_TM1,B36&lt;=_TM2,OR(TH!N36="1111",TH!O36="1111")),TH!D36,""),"")</f>
        <v/>
      </c>
      <c r="B36" s="63">
        <f t="shared" si="1"/>
        <v>1</v>
      </c>
      <c r="C36" s="988">
        <v>42400</v>
      </c>
      <c r="D36" s="988" t="s">
        <v>600</v>
      </c>
      <c r="E36" s="988">
        <f t="shared" si="3"/>
        <v>42400</v>
      </c>
      <c r="F36" s="989" t="s">
        <v>619</v>
      </c>
      <c r="G36" s="990"/>
      <c r="H36" s="75"/>
      <c r="I36" s="518"/>
      <c r="J36" s="518"/>
      <c r="K36" s="509"/>
      <c r="L36" s="518"/>
      <c r="M36" s="996">
        <f>G33*$F$351</f>
        <v>0</v>
      </c>
      <c r="N36" s="998" t="s">
        <v>643</v>
      </c>
      <c r="O36" s="999" t="s">
        <v>644</v>
      </c>
      <c r="P36" s="87" t="str">
        <f>IF(AND('331-CT'!$E$7=TH!H36,OR(N36="331",O36="331")),"x","")</f>
        <v/>
      </c>
      <c r="Q36" s="87" t="str">
        <f>IF(AND(B36='111'!$L$11,OR($N36=$Q$7,$O36=$Q$7)),"x","")</f>
        <v/>
      </c>
      <c r="R36" s="87" t="str">
        <f>IF(AND($N36=$Q$7,$B36&lt;'111'!$L$11),"x","")</f>
        <v/>
      </c>
      <c r="S36" s="87" t="str">
        <f>IF(AND($O36=$Q$7,$B36&lt;'111'!$L$11),"x","")</f>
        <v/>
      </c>
      <c r="T36" s="87" t="str">
        <f>IF(ISERROR(FIND('112'!$M$9,G36,1)),"",IF((AND(FIND('112'!$M$9,G36,1)&gt;=1,B36='112'!$K$9,OR($N36='112'!$I$6,$O36='112'!$I$6))),"x",""))</f>
        <v/>
      </c>
      <c r="U36" s="87" t="str">
        <f>IF(ISERROR(FIND('112'!$M$9,G36,1)),"",IF((AND(FIND('112'!$M$9,G36,1)&gt;=1,B36&lt;'112'!$K$9,$N36='112'!$I$6)),"x",""))</f>
        <v/>
      </c>
      <c r="V36" s="87" t="str">
        <f>IF(ISERROR(FIND('112'!$M$9,G36,1)),"",IF((AND(FIND('112'!$M$9,G36,1)&gt;=1,B36&lt;'112'!$K$9,$O36='112'!$I$6)),"x",""))</f>
        <v/>
      </c>
      <c r="W36" s="87" t="str">
        <f>IF(AND($B36&gt;='1331'!$I$9,$B36&lt;='1331'!$J$9,OR($N36=$W$7,$O36=$W$7)),"x","")</f>
        <v/>
      </c>
      <c r="X36" s="87" t="str">
        <f>IF(AND($N36=$W$7,$B36&lt;'1331'!$I$9),"x","")</f>
        <v/>
      </c>
      <c r="Y36" s="87" t="str">
        <f>IF(AND($O36=$W$7,$B36&lt;'1331'!$I$9),"x","")</f>
        <v/>
      </c>
      <c r="Z36" s="87" t="str">
        <f>IF(AND('341-CT'!$H$9=H36,OR(LEFT(N36,3)=$Z$7,LEFT(O36,3)=$Z$7)),"x","")</f>
        <v/>
      </c>
      <c r="AA36" s="87" t="str">
        <f>IF(OR(TH!N36=TH!$AA$7,O36=TH!$AA$7),"x","")</f>
        <v/>
      </c>
      <c r="AB36" s="87" t="str">
        <f>IF(AND(OR(N36="131",O36="131"),H36='131-CT'!$H$9),"x","")</f>
        <v/>
      </c>
      <c r="AC36" s="87"/>
      <c r="AD36" s="87" t="str">
        <f>IF(AND(MONTH(E36)='IN-NX'!$J$5,'IN-NX'!$D$7=D36),"x","")</f>
        <v/>
      </c>
      <c r="AE36" s="87" t="str">
        <f>IF(AND(OR(LEFT(TH!N36,2)="15",LEFT(TH!O36,2)="15"),'152-CT'!$J$8=TH!F36),"x","")</f>
        <v/>
      </c>
      <c r="AF36" s="87" t="str">
        <f>IF(AND(OR(LEFT(TH!N36,2)="15",LEFT(TH!O36,2)="15"),'THE KHO'!$E$7=TH!F36),"x","")</f>
        <v/>
      </c>
      <c r="AG36" s="87" t="str">
        <f>IF(AND(N36="1521",MONTH(C36)='BK NL'!$M$11),"x","")</f>
        <v/>
      </c>
    </row>
    <row r="37" spans="1:33" s="404" customFormat="1" ht="15.75" customHeight="1">
      <c r="A37" s="399" t="str">
        <f>IF(B37&lt;&gt;"",IF(AND(B37&gt;=_TM1,B37&lt;=_TM2,OR(TH!N37="1111",TH!O37="1111")),TH!D37,""),"")</f>
        <v/>
      </c>
      <c r="B37" s="63">
        <f t="shared" si="1"/>
        <v>1</v>
      </c>
      <c r="C37" s="988">
        <v>42400</v>
      </c>
      <c r="D37" s="988" t="s">
        <v>600</v>
      </c>
      <c r="E37" s="988">
        <f t="shared" si="3"/>
        <v>42400</v>
      </c>
      <c r="F37" s="989" t="s">
        <v>620</v>
      </c>
      <c r="G37" s="991" t="s">
        <v>621</v>
      </c>
      <c r="H37" s="75"/>
      <c r="I37" s="518"/>
      <c r="J37" s="518"/>
      <c r="K37" s="509"/>
      <c r="L37" s="518"/>
      <c r="M37" s="996">
        <f>G31*$F$354</f>
        <v>0</v>
      </c>
      <c r="N37" s="997" t="s">
        <v>642</v>
      </c>
      <c r="O37" s="997" t="s">
        <v>644</v>
      </c>
      <c r="P37" s="87" t="str">
        <f>IF(AND('331-CT'!$E$7=TH!H37,OR(N37="331",O37="331")),"x","")</f>
        <v/>
      </c>
      <c r="Q37" s="87" t="str">
        <f>IF(AND(B37='111'!$L$11,OR($N37=$Q$7,$O37=$Q$7)),"x","")</f>
        <v/>
      </c>
      <c r="R37" s="87" t="str">
        <f>IF(AND($N37=$Q$7,$B37&lt;'111'!$L$11),"x","")</f>
        <v/>
      </c>
      <c r="S37" s="87" t="str">
        <f>IF(AND($O37=$Q$7,$B37&lt;'111'!$L$11),"x","")</f>
        <v/>
      </c>
      <c r="T37" s="87" t="str">
        <f>IF(ISERROR(FIND('112'!$M$9,G37,1)),"",IF((AND(FIND('112'!$M$9,G37,1)&gt;=1,B37='112'!$K$9,OR($N37='112'!$I$6,$O37='112'!$I$6))),"x",""))</f>
        <v/>
      </c>
      <c r="U37" s="87" t="str">
        <f>IF(ISERROR(FIND('112'!$M$9,G37,1)),"",IF((AND(FIND('112'!$M$9,G37,1)&gt;=1,B37&lt;'112'!$K$9,$N37='112'!$I$6)),"x",""))</f>
        <v/>
      </c>
      <c r="V37" s="87" t="str">
        <f>IF(ISERROR(FIND('112'!$M$9,G37,1)),"",IF((AND(FIND('112'!$M$9,G37,1)&gt;=1,B37&lt;'112'!$K$9,$O37='112'!$I$6)),"x",""))</f>
        <v/>
      </c>
      <c r="W37" s="87" t="str">
        <f>IF(AND($B37&gt;='1331'!$I$9,$B37&lt;='1331'!$J$9,OR($N37=$W$7,$O37=$W$7)),"x","")</f>
        <v/>
      </c>
      <c r="X37" s="87" t="str">
        <f>IF(AND($N37=$W$7,$B37&lt;'1331'!$I$9),"x","")</f>
        <v/>
      </c>
      <c r="Y37" s="87" t="str">
        <f>IF(AND($O37=$W$7,$B37&lt;'1331'!$I$9),"x","")</f>
        <v/>
      </c>
      <c r="Z37" s="87" t="str">
        <f>IF(AND('341-CT'!$H$9=H37,OR(LEFT(N37,3)=$Z$7,LEFT(O37,3)=$Z$7)),"x","")</f>
        <v/>
      </c>
      <c r="AA37" s="87" t="str">
        <f>IF(OR(TH!N37=TH!$AA$7,O37=TH!$AA$7),"x","")</f>
        <v/>
      </c>
      <c r="AB37" s="87" t="str">
        <f>IF(AND(OR(N37="131",O37="131"),H37='131-CT'!$H$9),"x","")</f>
        <v/>
      </c>
      <c r="AC37" s="87"/>
      <c r="AD37" s="87" t="str">
        <f>IF(AND(MONTH(E37)='IN-NX'!$J$5,'IN-NX'!$D$7=D37),"x","")</f>
        <v/>
      </c>
      <c r="AE37" s="87" t="str">
        <f>IF(AND(OR(LEFT(TH!N37,2)="15",LEFT(TH!O37,2)="15"),'152-CT'!$J$8=TH!F37),"x","")</f>
        <v/>
      </c>
      <c r="AF37" s="87" t="str">
        <f>IF(AND(OR(LEFT(TH!N37,2)="15",LEFT(TH!O37,2)="15"),'THE KHO'!$E$7=TH!F37),"x","")</f>
        <v/>
      </c>
      <c r="AG37" s="87" t="str">
        <f>IF(AND(N37="1521",MONTH(C37)='BK NL'!$M$11),"x","")</f>
        <v/>
      </c>
    </row>
    <row r="38" spans="1:33" s="404" customFormat="1" ht="15.75" customHeight="1">
      <c r="A38" s="399" t="str">
        <f>IF(B38&lt;&gt;"",IF(AND(B38&gt;=_TM1,B38&lt;=_TM2,OR(TH!N38="1111",TH!O38="1111")),TH!D38,""),"")</f>
        <v/>
      </c>
      <c r="B38" s="63">
        <f t="shared" si="1"/>
        <v>1</v>
      </c>
      <c r="C38" s="988">
        <v>42400</v>
      </c>
      <c r="D38" s="988" t="s">
        <v>600</v>
      </c>
      <c r="E38" s="988">
        <f t="shared" si="3"/>
        <v>42400</v>
      </c>
      <c r="F38" s="989" t="s">
        <v>622</v>
      </c>
      <c r="G38" s="990"/>
      <c r="H38" s="75"/>
      <c r="I38" s="518"/>
      <c r="J38" s="518"/>
      <c r="K38" s="509"/>
      <c r="L38" s="518"/>
      <c r="M38" s="996">
        <f>G32*$F$354</f>
        <v>0</v>
      </c>
      <c r="N38" s="997" t="s">
        <v>298</v>
      </c>
      <c r="O38" s="997" t="s">
        <v>644</v>
      </c>
      <c r="P38" s="87" t="str">
        <f>IF(AND('331-CT'!$E$7=TH!H38,OR(N38="331",O38="331")),"x","")</f>
        <v/>
      </c>
      <c r="Q38" s="87" t="str">
        <f>IF(AND(B38='111'!$L$11,OR($N38=$Q$7,$O38=$Q$7)),"x","")</f>
        <v/>
      </c>
      <c r="R38" s="87" t="str">
        <f>IF(AND($N38=$Q$7,$B38&lt;'111'!$L$11),"x","")</f>
        <v/>
      </c>
      <c r="S38" s="87" t="str">
        <f>IF(AND($O38=$Q$7,$B38&lt;'111'!$L$11),"x","")</f>
        <v/>
      </c>
      <c r="T38" s="87" t="str">
        <f>IF(ISERROR(FIND('112'!$M$9,G38,1)),"",IF((AND(FIND('112'!$M$9,G38,1)&gt;=1,B38='112'!$K$9,OR($N38='112'!$I$6,$O38='112'!$I$6))),"x",""))</f>
        <v/>
      </c>
      <c r="U38" s="87" t="str">
        <f>IF(ISERROR(FIND('112'!$M$9,G38,1)),"",IF((AND(FIND('112'!$M$9,G38,1)&gt;=1,B38&lt;'112'!$K$9,$N38='112'!$I$6)),"x",""))</f>
        <v/>
      </c>
      <c r="V38" s="87" t="str">
        <f>IF(ISERROR(FIND('112'!$M$9,G38,1)),"",IF((AND(FIND('112'!$M$9,G38,1)&gt;=1,B38&lt;'112'!$K$9,$O38='112'!$I$6)),"x",""))</f>
        <v/>
      </c>
      <c r="W38" s="87" t="str">
        <f>IF(AND($B38&gt;='1331'!$I$9,$B38&lt;='1331'!$J$9,OR($N38=$W$7,$O38=$W$7)),"x","")</f>
        <v/>
      </c>
      <c r="X38" s="87" t="str">
        <f>IF(AND($N38=$W$7,$B38&lt;'1331'!$I$9),"x","")</f>
        <v/>
      </c>
      <c r="Y38" s="87" t="str">
        <f>IF(AND($O38=$W$7,$B38&lt;'1331'!$I$9),"x","")</f>
        <v/>
      </c>
      <c r="Z38" s="87" t="str">
        <f>IF(AND('341-CT'!$H$9=H38,OR(LEFT(N38,3)=$Z$7,LEFT(O38,3)=$Z$7)),"x","")</f>
        <v/>
      </c>
      <c r="AA38" s="87" t="str">
        <f>IF(OR(TH!N38=TH!$AA$7,O38=TH!$AA$7),"x","")</f>
        <v/>
      </c>
      <c r="AB38" s="87" t="str">
        <f>IF(AND(OR(N38="131",O38="131"),H38='131-CT'!$H$9),"x","")</f>
        <v/>
      </c>
      <c r="AC38" s="87"/>
      <c r="AD38" s="87" t="str">
        <f>IF(AND(MONTH(E38)='IN-NX'!$J$5,'IN-NX'!$D$7=D38),"x","")</f>
        <v/>
      </c>
      <c r="AE38" s="87" t="str">
        <f>IF(AND(OR(LEFT(TH!N38,2)="15",LEFT(TH!O38,2)="15"),'152-CT'!$J$8=TH!F38),"x","")</f>
        <v/>
      </c>
      <c r="AF38" s="87" t="str">
        <f>IF(AND(OR(LEFT(TH!N38,2)="15",LEFT(TH!O38,2)="15"),'THE KHO'!$E$7=TH!F38),"x","")</f>
        <v/>
      </c>
      <c r="AG38" s="87" t="str">
        <f>IF(AND(N38="1521",MONTH(C38)='BK NL'!$M$11),"x","")</f>
        <v/>
      </c>
    </row>
    <row r="39" spans="1:33" s="404" customFormat="1" ht="15.75" customHeight="1">
      <c r="A39" s="399" t="str">
        <f>IF(B39&lt;&gt;"",IF(AND(B39&gt;=_TM1,B39&lt;=_TM2,OR(TH!N39="1111",TH!O39="1111")),TH!D39,""),"")</f>
        <v/>
      </c>
      <c r="B39" s="63">
        <f>IF(C39&lt;&gt;"",MONTH(C39),"")</f>
        <v>1</v>
      </c>
      <c r="C39" s="988">
        <v>42400</v>
      </c>
      <c r="D39" s="988" t="s">
        <v>600</v>
      </c>
      <c r="E39" s="988">
        <f t="shared" si="3"/>
        <v>42400</v>
      </c>
      <c r="F39" s="989" t="s">
        <v>623</v>
      </c>
      <c r="G39" s="990"/>
      <c r="H39" s="85"/>
      <c r="I39" s="516"/>
      <c r="J39" s="516"/>
      <c r="K39" s="507"/>
      <c r="L39" s="516"/>
      <c r="M39" s="996">
        <f>G33*$F$354</f>
        <v>0</v>
      </c>
      <c r="N39" s="997" t="s">
        <v>298</v>
      </c>
      <c r="O39" s="997" t="s">
        <v>644</v>
      </c>
      <c r="P39" s="87" t="str">
        <f>IF(AND('331-CT'!$E$7=TH!H39,OR(N39="331",O39="331")),"x","")</f>
        <v/>
      </c>
      <c r="Q39" s="87" t="str">
        <f>IF(AND(B39='111'!$L$11,OR($N39=$Q$7,$O39=$Q$7)),"x","")</f>
        <v/>
      </c>
      <c r="R39" s="87" t="str">
        <f>IF(AND($N39=$Q$7,$B39&lt;'111'!$L$11),"x","")</f>
        <v/>
      </c>
      <c r="S39" s="87" t="str">
        <f>IF(AND($O39=$Q$7,$B39&lt;'111'!$L$11),"x","")</f>
        <v/>
      </c>
      <c r="T39" s="87" t="str">
        <f>IF(ISERROR(FIND('112'!$M$9,G39,1)),"",IF((AND(FIND('112'!$M$9,G39,1)&gt;=1,B39='112'!$K$9,OR($N39='112'!$I$6,$O39='112'!$I$6))),"x",""))</f>
        <v/>
      </c>
      <c r="U39" s="87" t="str">
        <f>IF(ISERROR(FIND('112'!$M$9,G39,1)),"",IF((AND(FIND('112'!$M$9,G39,1)&gt;=1,B39&lt;'112'!$K$9,$N39='112'!$I$6)),"x",""))</f>
        <v/>
      </c>
      <c r="V39" s="87" t="str">
        <f>IF(ISERROR(FIND('112'!$M$9,G39,1)),"",IF((AND(FIND('112'!$M$9,G39,1)&gt;=1,B39&lt;'112'!$K$9,$O39='112'!$I$6)),"x",""))</f>
        <v/>
      </c>
      <c r="W39" s="87" t="str">
        <f>IF(AND($B39&gt;='1331'!$I$9,$B39&lt;='1331'!$J$9,OR($N39=$W$7,$O39=$W$7)),"x","")</f>
        <v/>
      </c>
      <c r="X39" s="87" t="str">
        <f>IF(AND($N39=$W$7,$B39&lt;'1331'!$I$9),"x","")</f>
        <v/>
      </c>
      <c r="Y39" s="87" t="str">
        <f>IF(AND($O39=$W$7,$B39&lt;'1331'!$I$9),"x","")</f>
        <v/>
      </c>
      <c r="Z39" s="87" t="str">
        <f>IF(AND('341-CT'!$H$9=H39,OR(LEFT(N39,3)=$Z$7,LEFT(O39,3)=$Z$7)),"x","")</f>
        <v/>
      </c>
      <c r="AA39" s="87" t="str">
        <f>IF(OR(TH!N39=TH!$AA$7,O39=TH!$AA$7),"x","")</f>
        <v/>
      </c>
      <c r="AB39" s="87" t="str">
        <f>IF(AND(OR(N39="131",O39="131"),H39='131-CT'!$H$9),"x","")</f>
        <v/>
      </c>
      <c r="AC39" s="87"/>
      <c r="AD39" s="87" t="str">
        <f>IF(AND(MONTH(E39)='IN-NX'!$J$5,'IN-NX'!$D$7=D39),"x","")</f>
        <v/>
      </c>
      <c r="AE39" s="87" t="str">
        <f>IF(AND(OR(LEFT(TH!N39,2)="15",LEFT(TH!O39,2)="15"),'152-CT'!$J$8=TH!F39),"x","")</f>
        <v/>
      </c>
      <c r="AF39" s="87" t="str">
        <f>IF(AND(OR(LEFT(TH!N39,2)="15",LEFT(TH!O39,2)="15"),'THE KHO'!$E$7=TH!F39),"x","")</f>
        <v/>
      </c>
      <c r="AG39" s="87" t="str">
        <f>IF(AND(N39="1521",MONTH(C39)='BK NL'!$M$11),"x","")</f>
        <v/>
      </c>
    </row>
    <row r="40" spans="1:33" s="404" customFormat="1" ht="15.75" customHeight="1">
      <c r="A40" s="399" t="str">
        <f>IF(B40&lt;&gt;"",IF(AND(B40&gt;=_TM1,B40&lt;=_TM2,OR(TH!N40="1111",TH!O40="1111")),TH!D40,""),"")</f>
        <v/>
      </c>
      <c r="B40" s="63">
        <f>IF(C40&lt;&gt;"",MONTH(C40),"")</f>
        <v>1</v>
      </c>
      <c r="C40" s="988">
        <v>42400</v>
      </c>
      <c r="D40" s="988" t="s">
        <v>600</v>
      </c>
      <c r="E40" s="988">
        <f t="shared" si="3"/>
        <v>42400</v>
      </c>
      <c r="F40" s="989" t="s">
        <v>624</v>
      </c>
      <c r="G40" s="991" t="s">
        <v>625</v>
      </c>
      <c r="H40" s="85"/>
      <c r="I40" s="516"/>
      <c r="J40" s="516"/>
      <c r="K40" s="507"/>
      <c r="L40" s="516"/>
      <c r="M40" s="996">
        <f>G31*$F$357</f>
        <v>0</v>
      </c>
      <c r="N40" s="997" t="s">
        <v>643</v>
      </c>
      <c r="O40" s="997" t="s">
        <v>645</v>
      </c>
      <c r="P40" s="87" t="str">
        <f>IF(AND('331-CT'!$E$7=TH!H40,OR(N40="331",O40="331")),"x","")</f>
        <v/>
      </c>
      <c r="Q40" s="87" t="str">
        <f>IF(AND(B40='111'!$L$11,OR($N40=$Q$7,$O40=$Q$7)),"x","")</f>
        <v/>
      </c>
      <c r="R40" s="87" t="str">
        <f>IF(AND($N40=$Q$7,$B40&lt;'111'!$L$11),"x","")</f>
        <v/>
      </c>
      <c r="S40" s="87" t="str">
        <f>IF(AND($O40=$Q$7,$B40&lt;'111'!$L$11),"x","")</f>
        <v/>
      </c>
      <c r="T40" s="87" t="str">
        <f>IF(ISERROR(FIND('112'!$M$9,G40,1)),"",IF((AND(FIND('112'!$M$9,G40,1)&gt;=1,B40='112'!$K$9,OR($N40='112'!$I$6,$O40='112'!$I$6))),"x",""))</f>
        <v/>
      </c>
      <c r="U40" s="87" t="str">
        <f>IF(ISERROR(FIND('112'!$M$9,G40,1)),"",IF((AND(FIND('112'!$M$9,G40,1)&gt;=1,B40&lt;'112'!$K$9,$N40='112'!$I$6)),"x",""))</f>
        <v/>
      </c>
      <c r="V40" s="87" t="str">
        <f>IF(ISERROR(FIND('112'!$M$9,G40,1)),"",IF((AND(FIND('112'!$M$9,G40,1)&gt;=1,B40&lt;'112'!$K$9,$O40='112'!$I$6)),"x",""))</f>
        <v/>
      </c>
      <c r="W40" s="87" t="str">
        <f>IF(AND($B40&gt;='1331'!$I$9,$B40&lt;='1331'!$J$9,OR($N40=$W$7,$O40=$W$7)),"x","")</f>
        <v/>
      </c>
      <c r="X40" s="87" t="str">
        <f>IF(AND($N40=$W$7,$B40&lt;'1331'!$I$9),"x","")</f>
        <v/>
      </c>
      <c r="Y40" s="87" t="str">
        <f>IF(AND($O40=$W$7,$B40&lt;'1331'!$I$9),"x","")</f>
        <v/>
      </c>
      <c r="Z40" s="87" t="str">
        <f>IF(AND('341-CT'!$H$9=H40,OR(LEFT(N40,3)=$Z$7,LEFT(O40,3)=$Z$7)),"x","")</f>
        <v/>
      </c>
      <c r="AA40" s="87" t="str">
        <f>IF(OR(TH!N40=TH!$AA$7,O40=TH!$AA$7),"x","")</f>
        <v/>
      </c>
      <c r="AB40" s="87" t="str">
        <f>IF(AND(OR(N40="131",O40="131"),H40='131-CT'!$H$9),"x","")</f>
        <v/>
      </c>
      <c r="AC40" s="87"/>
      <c r="AD40" s="87" t="str">
        <f>IF(AND(MONTH(E40)='IN-NX'!$J$5,'IN-NX'!$D$7=D40),"x","")</f>
        <v/>
      </c>
      <c r="AE40" s="87" t="str">
        <f>IF(AND(OR(LEFT(TH!N40,2)="15",LEFT(TH!O40,2)="15"),'152-CT'!$J$8=TH!F40),"x","")</f>
        <v/>
      </c>
      <c r="AF40" s="87" t="str">
        <f>IF(AND(OR(LEFT(TH!N40,2)="15",LEFT(TH!O40,2)="15"),'THE KHO'!$E$7=TH!F40),"x","")</f>
        <v/>
      </c>
      <c r="AG40" s="87" t="str">
        <f>IF(AND(N40="1521",MONTH(C40)='BK NL'!$M$11),"x","")</f>
        <v/>
      </c>
    </row>
    <row r="41" spans="1:33" s="404" customFormat="1" ht="15.75" customHeight="1">
      <c r="A41" s="399" t="str">
        <f>IF(B41&lt;&gt;"",IF(AND(B41&gt;=_TM1,B41&lt;=_TM2,OR(TH!N41="1111",TH!O41="1111")),TH!D41,""),"")</f>
        <v/>
      </c>
      <c r="B41" s="63">
        <f>IF(C41&lt;&gt;"",MONTH(C41),"")</f>
        <v>1</v>
      </c>
      <c r="C41" s="988">
        <v>42400</v>
      </c>
      <c r="D41" s="988" t="s">
        <v>600</v>
      </c>
      <c r="E41" s="988">
        <f t="shared" si="3"/>
        <v>42400</v>
      </c>
      <c r="F41" s="989" t="s">
        <v>626</v>
      </c>
      <c r="G41" s="990"/>
      <c r="H41" s="85"/>
      <c r="I41" s="516"/>
      <c r="J41" s="516"/>
      <c r="K41" s="507"/>
      <c r="L41" s="516"/>
      <c r="M41" s="996">
        <f>G32*$F$357</f>
        <v>0</v>
      </c>
      <c r="N41" s="997" t="s">
        <v>643</v>
      </c>
      <c r="O41" s="997" t="s">
        <v>645</v>
      </c>
      <c r="P41" s="87" t="str">
        <f>IF(AND('331-CT'!$E$7=TH!H41,OR(N41="331",O41="331")),"x","")</f>
        <v/>
      </c>
      <c r="Q41" s="87" t="str">
        <f>IF(AND(B41='111'!$L$11,OR($N41=$Q$7,$O41=$Q$7)),"x","")</f>
        <v/>
      </c>
      <c r="R41" s="87" t="str">
        <f>IF(AND($N41=$Q$7,$B41&lt;'111'!$L$11),"x","")</f>
        <v/>
      </c>
      <c r="S41" s="87" t="str">
        <f>IF(AND($O41=$Q$7,$B41&lt;'111'!$L$11),"x","")</f>
        <v/>
      </c>
      <c r="T41" s="87" t="str">
        <f>IF(ISERROR(FIND('112'!$M$9,G41,1)),"",IF((AND(FIND('112'!$M$9,G41,1)&gt;=1,B41='112'!$K$9,OR($N41='112'!$I$6,$O41='112'!$I$6))),"x",""))</f>
        <v/>
      </c>
      <c r="U41" s="87" t="str">
        <f>IF(ISERROR(FIND('112'!$M$9,G41,1)),"",IF((AND(FIND('112'!$M$9,G41,1)&gt;=1,B41&lt;'112'!$K$9,$N41='112'!$I$6)),"x",""))</f>
        <v/>
      </c>
      <c r="V41" s="87" t="str">
        <f>IF(ISERROR(FIND('112'!$M$9,G41,1)),"",IF((AND(FIND('112'!$M$9,G41,1)&gt;=1,B41&lt;'112'!$K$9,$O41='112'!$I$6)),"x",""))</f>
        <v/>
      </c>
      <c r="W41" s="87" t="str">
        <f>IF(AND($B41&gt;='1331'!$I$9,$B41&lt;='1331'!$J$9,OR($N41=$W$7,$O41=$W$7)),"x","")</f>
        <v/>
      </c>
      <c r="X41" s="87" t="str">
        <f>IF(AND($N41=$W$7,$B41&lt;'1331'!$I$9),"x","")</f>
        <v/>
      </c>
      <c r="Y41" s="87" t="str">
        <f>IF(AND($O41=$W$7,$B41&lt;'1331'!$I$9),"x","")</f>
        <v/>
      </c>
      <c r="Z41" s="87" t="str">
        <f>IF(AND('341-CT'!$H$9=H41,OR(LEFT(N41,3)=$Z$7,LEFT(O41,3)=$Z$7)),"x","")</f>
        <v/>
      </c>
      <c r="AA41" s="87" t="str">
        <f>IF(OR(TH!N41=TH!$AA$7,O41=TH!$AA$7),"x","")</f>
        <v/>
      </c>
      <c r="AB41" s="87" t="str">
        <f>IF(AND(OR(N41="131",O41="131"),H41='131-CT'!$H$9),"x","")</f>
        <v/>
      </c>
      <c r="AC41" s="87"/>
      <c r="AD41" s="87" t="str">
        <f>IF(AND(MONTH(E41)='IN-NX'!$J$5,'IN-NX'!$D$7=D41),"x","")</f>
        <v/>
      </c>
      <c r="AE41" s="87" t="str">
        <f>IF(AND(OR(LEFT(TH!N41,2)="15",LEFT(TH!O41,2)="15"),'152-CT'!$J$8=TH!F41),"x","")</f>
        <v/>
      </c>
      <c r="AF41" s="87" t="str">
        <f>IF(AND(OR(LEFT(TH!N41,2)="15",LEFT(TH!O41,2)="15"),'THE KHO'!$E$7=TH!F41),"x","")</f>
        <v/>
      </c>
      <c r="AG41" s="87" t="str">
        <f>IF(AND(N41="1521",MONTH(C41)='BK NL'!$M$11),"x","")</f>
        <v/>
      </c>
    </row>
    <row r="42" spans="1:33" s="404" customFormat="1" ht="15.75" customHeight="1">
      <c r="A42" s="399" t="str">
        <f>IF(B42&lt;&gt;"",IF(AND(B42&gt;=_TM1,B42&lt;=_TM2,OR(TH!N42="1111",TH!O42="1111")),TH!D42,""),"")</f>
        <v/>
      </c>
      <c r="B42" s="63">
        <f>IF(C42&lt;&gt;"",MONTH(C42),"")</f>
        <v>1</v>
      </c>
      <c r="C42" s="988">
        <v>42400</v>
      </c>
      <c r="D42" s="988" t="s">
        <v>600</v>
      </c>
      <c r="E42" s="988">
        <f t="shared" si="3"/>
        <v>42400</v>
      </c>
      <c r="F42" s="989" t="s">
        <v>627</v>
      </c>
      <c r="G42" s="990"/>
      <c r="H42" s="85"/>
      <c r="I42" s="516"/>
      <c r="J42" s="516"/>
      <c r="K42" s="507"/>
      <c r="L42" s="516"/>
      <c r="M42" s="996">
        <f>G33*$F$357</f>
        <v>0</v>
      </c>
      <c r="N42" s="997" t="s">
        <v>643</v>
      </c>
      <c r="O42" s="997" t="s">
        <v>645</v>
      </c>
      <c r="P42" s="87" t="str">
        <f>IF(AND('331-CT'!$E$7=TH!H42,OR(N42="331",O42="331")),"x","")</f>
        <v/>
      </c>
      <c r="Q42" s="87" t="str">
        <f>IF(AND(B42='111'!$L$11,OR($N42=$Q$7,$O42=$Q$7)),"x","")</f>
        <v/>
      </c>
      <c r="R42" s="87" t="str">
        <f>IF(AND($N42=$Q$7,$B42&lt;'111'!$L$11),"x","")</f>
        <v/>
      </c>
      <c r="S42" s="87" t="str">
        <f>IF(AND($O42=$Q$7,$B42&lt;'111'!$L$11),"x","")</f>
        <v/>
      </c>
      <c r="T42" s="87" t="str">
        <f>IF(ISERROR(FIND('112'!$M$9,G42,1)),"",IF((AND(FIND('112'!$M$9,G42,1)&gt;=1,B42='112'!$K$9,OR($N42='112'!$I$6,$O42='112'!$I$6))),"x",""))</f>
        <v/>
      </c>
      <c r="U42" s="87" t="str">
        <f>IF(ISERROR(FIND('112'!$M$9,G42,1)),"",IF((AND(FIND('112'!$M$9,G42,1)&gt;=1,B42&lt;'112'!$K$9,$N42='112'!$I$6)),"x",""))</f>
        <v/>
      </c>
      <c r="V42" s="87" t="str">
        <f>IF(ISERROR(FIND('112'!$M$9,G42,1)),"",IF((AND(FIND('112'!$M$9,G42,1)&gt;=1,B42&lt;'112'!$K$9,$O42='112'!$I$6)),"x",""))</f>
        <v/>
      </c>
      <c r="W42" s="87" t="str">
        <f>IF(AND($B42&gt;='1331'!$I$9,$B42&lt;='1331'!$J$9,OR($N42=$W$7,$O42=$W$7)),"x","")</f>
        <v/>
      </c>
      <c r="X42" s="87" t="str">
        <f>IF(AND($N42=$W$7,$B42&lt;'1331'!$I$9),"x","")</f>
        <v/>
      </c>
      <c r="Y42" s="87" t="str">
        <f>IF(AND($O42=$W$7,$B42&lt;'1331'!$I$9),"x","")</f>
        <v/>
      </c>
      <c r="Z42" s="87" t="str">
        <f>IF(AND('341-CT'!$H$9=H42,OR(LEFT(N42,3)=$Z$7,LEFT(O42,3)=$Z$7)),"x","")</f>
        <v/>
      </c>
      <c r="AA42" s="87" t="str">
        <f>IF(OR(TH!N42=TH!$AA$7,O42=TH!$AA$7),"x","")</f>
        <v/>
      </c>
      <c r="AB42" s="87" t="str">
        <f>IF(AND(OR(N42="131",O42="131"),H42='131-CT'!$H$9),"x","")</f>
        <v/>
      </c>
      <c r="AC42" s="87"/>
      <c r="AD42" s="87" t="str">
        <f>IF(AND(MONTH(E42)='IN-NX'!$J$5,'IN-NX'!$D$7=D42),"x","")</f>
        <v/>
      </c>
      <c r="AE42" s="87" t="str">
        <f>IF(AND(OR(LEFT(TH!N42,2)="15",LEFT(TH!O42,2)="15"),'152-CT'!$J$8=TH!F42),"x","")</f>
        <v/>
      </c>
      <c r="AF42" s="87" t="str">
        <f>IF(AND(OR(LEFT(TH!N42,2)="15",LEFT(TH!O42,2)="15"),'THE KHO'!$E$7=TH!F42),"x","")</f>
        <v/>
      </c>
      <c r="AG42" s="87" t="str">
        <f>IF(AND(N42="1521",MONTH(C42)='BK NL'!$M$11),"x","")</f>
        <v/>
      </c>
    </row>
    <row r="43" spans="1:33" s="404" customFormat="1" ht="15.75" customHeight="1">
      <c r="A43" s="399" t="str">
        <f>IF(B43&lt;&gt;"",IF(AND(B43&gt;=_TM1,B43&lt;=_TM2,OR(TH!N43="1111",TH!O43="1111")),TH!D43,""),"")</f>
        <v/>
      </c>
      <c r="B43" s="63">
        <f t="shared" si="1"/>
        <v>1</v>
      </c>
      <c r="C43" s="988">
        <v>42400</v>
      </c>
      <c r="D43" s="988" t="s">
        <v>600</v>
      </c>
      <c r="E43" s="988">
        <f t="shared" si="3"/>
        <v>42400</v>
      </c>
      <c r="F43" s="989" t="s">
        <v>628</v>
      </c>
      <c r="G43" s="991" t="s">
        <v>629</v>
      </c>
      <c r="H43" s="75"/>
      <c r="I43" s="518"/>
      <c r="J43" s="518"/>
      <c r="K43" s="509"/>
      <c r="L43" s="518"/>
      <c r="M43" s="996">
        <f>G31*$F$360</f>
        <v>0</v>
      </c>
      <c r="N43" s="997" t="s">
        <v>642</v>
      </c>
      <c r="O43" s="997" t="s">
        <v>645</v>
      </c>
      <c r="P43" s="87" t="str">
        <f>IF(AND('331-CT'!$E$7=TH!H43,OR(N43="331",O43="331")),"x","")</f>
        <v/>
      </c>
      <c r="Q43" s="87" t="str">
        <f>IF(AND(B43='111'!$L$11,OR($N43=$Q$7,$O43=$Q$7)),"x","")</f>
        <v/>
      </c>
      <c r="R43" s="87" t="str">
        <f>IF(AND($N43=$Q$7,$B43&lt;'111'!$L$11),"x","")</f>
        <v/>
      </c>
      <c r="S43" s="87" t="str">
        <f>IF(AND($O43=$Q$7,$B43&lt;'111'!$L$11),"x","")</f>
        <v/>
      </c>
      <c r="T43" s="87" t="str">
        <f>IF(ISERROR(FIND('112'!$M$9,G43,1)),"",IF((AND(FIND('112'!$M$9,G43,1)&gt;=1,B43='112'!$K$9,OR($N43='112'!$I$6,$O43='112'!$I$6))),"x",""))</f>
        <v/>
      </c>
      <c r="U43" s="87" t="str">
        <f>IF(ISERROR(FIND('112'!$M$9,G43,1)),"",IF((AND(FIND('112'!$M$9,G43,1)&gt;=1,B43&lt;'112'!$K$9,$N43='112'!$I$6)),"x",""))</f>
        <v/>
      </c>
      <c r="V43" s="87" t="str">
        <f>IF(ISERROR(FIND('112'!$M$9,G43,1)),"",IF((AND(FIND('112'!$M$9,G43,1)&gt;=1,B43&lt;'112'!$K$9,$O43='112'!$I$6)),"x",""))</f>
        <v/>
      </c>
      <c r="W43" s="87" t="str">
        <f>IF(AND($B43&gt;='1331'!$I$9,$B43&lt;='1331'!$J$9,OR($N43=$W$7,$O43=$W$7)),"x","")</f>
        <v/>
      </c>
      <c r="X43" s="87" t="str">
        <f>IF(AND($N43=$W$7,$B43&lt;'1331'!$I$9),"x","")</f>
        <v/>
      </c>
      <c r="Y43" s="87" t="str">
        <f>IF(AND($O43=$W$7,$B43&lt;'1331'!$I$9),"x","")</f>
        <v/>
      </c>
      <c r="Z43" s="87" t="str">
        <f>IF(AND('341-CT'!$H$9=H43,OR(LEFT(N43,3)=$Z$7,LEFT(O43,3)=$Z$7)),"x","")</f>
        <v/>
      </c>
      <c r="AA43" s="87" t="str">
        <f>IF(OR(TH!N43=TH!$AA$7,O43=TH!$AA$7),"x","")</f>
        <v/>
      </c>
      <c r="AB43" s="87" t="str">
        <f>IF(AND(OR(N43="131",O43="131"),H43='131-CT'!$H$9),"x","")</f>
        <v/>
      </c>
      <c r="AC43" s="87"/>
      <c r="AD43" s="87" t="str">
        <f>IF(AND(MONTH(E43)='IN-NX'!$J$5,'IN-NX'!$D$7=D43),"x","")</f>
        <v/>
      </c>
      <c r="AE43" s="87" t="str">
        <f>IF(AND(OR(LEFT(TH!N43,2)="15",LEFT(TH!O43,2)="15"),'152-CT'!$J$8=TH!F43),"x","")</f>
        <v/>
      </c>
      <c r="AF43" s="87" t="str">
        <f>IF(AND(OR(LEFT(TH!N43,2)="15",LEFT(TH!O43,2)="15"),'THE KHO'!$E$7=TH!F43),"x","")</f>
        <v/>
      </c>
      <c r="AG43" s="87" t="str">
        <f>IF(AND(N43="1521",MONTH(C43)='BK NL'!$M$11),"x","")</f>
        <v/>
      </c>
    </row>
    <row r="44" spans="1:33" s="404" customFormat="1" ht="15.75" customHeight="1">
      <c r="A44" s="399" t="str">
        <f>IF(B44&lt;&gt;"",IF(AND(B44&gt;=_TM1,B44&lt;=_TM2,OR(TH!N44="1111",TH!O44="1111")),TH!D44,""),"")</f>
        <v/>
      </c>
      <c r="B44" s="63">
        <f t="shared" si="1"/>
        <v>1</v>
      </c>
      <c r="C44" s="988">
        <v>42400</v>
      </c>
      <c r="D44" s="988" t="s">
        <v>600</v>
      </c>
      <c r="E44" s="988">
        <f t="shared" si="3"/>
        <v>42400</v>
      </c>
      <c r="F44" s="989" t="s">
        <v>630</v>
      </c>
      <c r="G44" s="990"/>
      <c r="H44" s="75"/>
      <c r="I44" s="518"/>
      <c r="J44" s="518"/>
      <c r="K44" s="509"/>
      <c r="L44" s="518"/>
      <c r="M44" s="996">
        <f>G32*$F$360</f>
        <v>0</v>
      </c>
      <c r="N44" s="997" t="s">
        <v>298</v>
      </c>
      <c r="O44" s="997" t="s">
        <v>645</v>
      </c>
      <c r="P44" s="87" t="str">
        <f>IF(AND('331-CT'!$E$7=TH!H44,OR(N44="331",O44="331")),"x","")</f>
        <v/>
      </c>
      <c r="Q44" s="87" t="str">
        <f>IF(AND(B44='111'!$L$11,OR($N44=$Q$7,$O44=$Q$7)),"x","")</f>
        <v/>
      </c>
      <c r="R44" s="87" t="str">
        <f>IF(AND($N44=$Q$7,$B44&lt;'111'!$L$11),"x","")</f>
        <v/>
      </c>
      <c r="S44" s="87" t="str">
        <f>IF(AND($O44=$Q$7,$B44&lt;'111'!$L$11),"x","")</f>
        <v/>
      </c>
      <c r="T44" s="87" t="str">
        <f>IF(ISERROR(FIND('112'!$M$9,G44,1)),"",IF((AND(FIND('112'!$M$9,G44,1)&gt;=1,B44='112'!$K$9,OR($N44='112'!$I$6,$O44='112'!$I$6))),"x",""))</f>
        <v/>
      </c>
      <c r="U44" s="87" t="str">
        <f>IF(ISERROR(FIND('112'!$M$9,G44,1)),"",IF((AND(FIND('112'!$M$9,G44,1)&gt;=1,B44&lt;'112'!$K$9,$N44='112'!$I$6)),"x",""))</f>
        <v/>
      </c>
      <c r="V44" s="87" t="str">
        <f>IF(ISERROR(FIND('112'!$M$9,G44,1)),"",IF((AND(FIND('112'!$M$9,G44,1)&gt;=1,B44&lt;'112'!$K$9,$O44='112'!$I$6)),"x",""))</f>
        <v/>
      </c>
      <c r="W44" s="87" t="str">
        <f>IF(AND($B44&gt;='1331'!$I$9,$B44&lt;='1331'!$J$9,OR($N44=$W$7,$O44=$W$7)),"x","")</f>
        <v/>
      </c>
      <c r="X44" s="87" t="str">
        <f>IF(AND($N44=$W$7,$B44&lt;'1331'!$I$9),"x","")</f>
        <v/>
      </c>
      <c r="Y44" s="87" t="str">
        <f>IF(AND($O44=$W$7,$B44&lt;'1331'!$I$9),"x","")</f>
        <v/>
      </c>
      <c r="Z44" s="87" t="str">
        <f>IF(AND('341-CT'!$H$9=H44,OR(LEFT(N44,3)=$Z$7,LEFT(O44,3)=$Z$7)),"x","")</f>
        <v/>
      </c>
      <c r="AA44" s="87" t="str">
        <f>IF(OR(TH!N44=TH!$AA$7,O44=TH!$AA$7),"x","")</f>
        <v/>
      </c>
      <c r="AB44" s="87" t="str">
        <f>IF(AND(OR(N44="131",O44="131"),H44='131-CT'!$H$9),"x","")</f>
        <v/>
      </c>
      <c r="AC44" s="87"/>
      <c r="AD44" s="87" t="str">
        <f>IF(AND(MONTH(E44)='IN-NX'!$J$5,'IN-NX'!$D$7=D44),"x","")</f>
        <v/>
      </c>
      <c r="AE44" s="87" t="str">
        <f>IF(AND(OR(LEFT(TH!N44,2)="15",LEFT(TH!O44,2)="15"),'152-CT'!$J$8=TH!F44),"x","")</f>
        <v/>
      </c>
      <c r="AF44" s="87" t="str">
        <f>IF(AND(OR(LEFT(TH!N44,2)="15",LEFT(TH!O44,2)="15"),'THE KHO'!$E$7=TH!F44),"x","")</f>
        <v/>
      </c>
      <c r="AG44" s="87" t="str">
        <f>IF(AND(N44="1521",MONTH(C44)='BK NL'!$M$11),"x","")</f>
        <v/>
      </c>
    </row>
    <row r="45" spans="1:33" s="404" customFormat="1" ht="15.75" customHeight="1">
      <c r="A45" s="399" t="str">
        <f>IF(B45&lt;&gt;"",IF(AND(B45&gt;=_TM1,B45&lt;=_TM2,OR(TH!N45="1111",TH!O45="1111")),TH!D45,""),"")</f>
        <v/>
      </c>
      <c r="B45" s="63">
        <f t="shared" si="1"/>
        <v>1</v>
      </c>
      <c r="C45" s="988">
        <v>42400</v>
      </c>
      <c r="D45" s="988" t="s">
        <v>600</v>
      </c>
      <c r="E45" s="988">
        <f t="shared" si="3"/>
        <v>42400</v>
      </c>
      <c r="F45" s="989" t="s">
        <v>631</v>
      </c>
      <c r="G45" s="990"/>
      <c r="H45" s="75"/>
      <c r="I45" s="518"/>
      <c r="J45" s="518"/>
      <c r="K45" s="509"/>
      <c r="L45" s="518"/>
      <c r="M45" s="996">
        <f>G33*$F$360</f>
        <v>0</v>
      </c>
      <c r="N45" s="997" t="s">
        <v>298</v>
      </c>
      <c r="O45" s="997" t="s">
        <v>645</v>
      </c>
      <c r="P45" s="87" t="str">
        <f>IF(AND('331-CT'!$E$7=TH!H45,OR(N45="331",O45="331")),"x","")</f>
        <v/>
      </c>
      <c r="Q45" s="87" t="str">
        <f>IF(AND(B45='111'!$L$11,OR($N45=$Q$7,$O45=$Q$7)),"x","")</f>
        <v/>
      </c>
      <c r="R45" s="87" t="str">
        <f>IF(AND($N45=$Q$7,$B45&lt;'111'!$L$11),"x","")</f>
        <v/>
      </c>
      <c r="S45" s="87" t="str">
        <f>IF(AND($O45=$Q$7,$B45&lt;'111'!$L$11),"x","")</f>
        <v/>
      </c>
      <c r="T45" s="87" t="str">
        <f>IF(ISERROR(FIND('112'!$M$9,G45,1)),"",IF((AND(FIND('112'!$M$9,G45,1)&gt;=1,B45='112'!$K$9,OR($N45='112'!$I$6,$O45='112'!$I$6))),"x",""))</f>
        <v/>
      </c>
      <c r="U45" s="87" t="str">
        <f>IF(ISERROR(FIND('112'!$M$9,G45,1)),"",IF((AND(FIND('112'!$M$9,G45,1)&gt;=1,B45&lt;'112'!$K$9,$N45='112'!$I$6)),"x",""))</f>
        <v/>
      </c>
      <c r="V45" s="87" t="str">
        <f>IF(ISERROR(FIND('112'!$M$9,G45,1)),"",IF((AND(FIND('112'!$M$9,G45,1)&gt;=1,B45&lt;'112'!$K$9,$O45='112'!$I$6)),"x",""))</f>
        <v/>
      </c>
      <c r="W45" s="87" t="str">
        <f>IF(AND($B45&gt;='1331'!$I$9,$B45&lt;='1331'!$J$9,OR($N45=$W$7,$O45=$W$7)),"x","")</f>
        <v/>
      </c>
      <c r="X45" s="87" t="str">
        <f>IF(AND($N45=$W$7,$B45&lt;'1331'!$I$9),"x","")</f>
        <v/>
      </c>
      <c r="Y45" s="87" t="str">
        <f>IF(AND($O45=$W$7,$B45&lt;'1331'!$I$9),"x","")</f>
        <v/>
      </c>
      <c r="Z45" s="87" t="str">
        <f>IF(AND('341-CT'!$H$9=H45,OR(LEFT(N45,3)=$Z$7,LEFT(O45,3)=$Z$7)),"x","")</f>
        <v/>
      </c>
      <c r="AA45" s="87" t="str">
        <f>IF(OR(TH!N45=TH!$AA$7,O45=TH!$AA$7),"x","")</f>
        <v/>
      </c>
      <c r="AB45" s="87" t="str">
        <f>IF(AND(OR(N45="131",O45="131"),H45='131-CT'!$H$9),"x","")</f>
        <v/>
      </c>
      <c r="AC45" s="87"/>
      <c r="AD45" s="87" t="str">
        <f>IF(AND(MONTH(E45)='IN-NX'!$J$5,'IN-NX'!$D$7=D45),"x","")</f>
        <v/>
      </c>
      <c r="AE45" s="87" t="str">
        <f>IF(AND(OR(LEFT(TH!N45,2)="15",LEFT(TH!O45,2)="15"),'152-CT'!$J$8=TH!F45),"x","")</f>
        <v/>
      </c>
      <c r="AF45" s="87" t="str">
        <f>IF(AND(OR(LEFT(TH!N45,2)="15",LEFT(TH!O45,2)="15"),'THE KHO'!$E$7=TH!F45),"x","")</f>
        <v/>
      </c>
      <c r="AG45" s="87" t="str">
        <f>IF(AND(N45="1521",MONTH(C45)='BK NL'!$M$11),"x","")</f>
        <v/>
      </c>
    </row>
    <row r="46" spans="1:33" s="404" customFormat="1" ht="15.75" customHeight="1">
      <c r="A46" s="399" t="str">
        <f>IF(B46&lt;&gt;"",IF(AND(B46&gt;=_TM1,B46&lt;=_TM2,OR(TH!N46="1111",TH!O46="1111")),TH!D46,""),"")</f>
        <v/>
      </c>
      <c r="B46" s="63">
        <f t="shared" si="1"/>
        <v>1</v>
      </c>
      <c r="C46" s="988">
        <v>42400</v>
      </c>
      <c r="D46" s="988" t="s">
        <v>600</v>
      </c>
      <c r="E46" s="988">
        <f t="shared" si="3"/>
        <v>42400</v>
      </c>
      <c r="F46" s="989" t="s">
        <v>632</v>
      </c>
      <c r="G46" s="991" t="s">
        <v>633</v>
      </c>
      <c r="H46" s="75"/>
      <c r="I46" s="518"/>
      <c r="J46" s="518"/>
      <c r="K46" s="509"/>
      <c r="L46" s="518"/>
      <c r="M46" s="996">
        <f>G31*$F$363</f>
        <v>0</v>
      </c>
      <c r="N46" s="997" t="s">
        <v>643</v>
      </c>
      <c r="O46" s="997" t="s">
        <v>646</v>
      </c>
      <c r="P46" s="87" t="str">
        <f>IF(AND('331-CT'!$E$7=TH!H46,OR(N46="331",O46="331")),"x","")</f>
        <v/>
      </c>
      <c r="Q46" s="87" t="str">
        <f>IF(AND(B46='111'!$L$11,OR($N46=$Q$7,$O46=$Q$7)),"x","")</f>
        <v/>
      </c>
      <c r="R46" s="87" t="str">
        <f>IF(AND($N46=$Q$7,$B46&lt;'111'!$L$11),"x","")</f>
        <v/>
      </c>
      <c r="S46" s="87" t="str">
        <f>IF(AND($O46=$Q$7,$B46&lt;'111'!$L$11),"x","")</f>
        <v/>
      </c>
      <c r="T46" s="87" t="str">
        <f>IF(ISERROR(FIND('112'!$M$9,G46,1)),"",IF((AND(FIND('112'!$M$9,G46,1)&gt;=1,B46='112'!$K$9,OR($N46='112'!$I$6,$O46='112'!$I$6))),"x",""))</f>
        <v/>
      </c>
      <c r="U46" s="87" t="str">
        <f>IF(ISERROR(FIND('112'!$M$9,G46,1)),"",IF((AND(FIND('112'!$M$9,G46,1)&gt;=1,B46&lt;'112'!$K$9,$N46='112'!$I$6)),"x",""))</f>
        <v/>
      </c>
      <c r="V46" s="87" t="str">
        <f>IF(ISERROR(FIND('112'!$M$9,G46,1)),"",IF((AND(FIND('112'!$M$9,G46,1)&gt;=1,B46&lt;'112'!$K$9,$O46='112'!$I$6)),"x",""))</f>
        <v/>
      </c>
      <c r="W46" s="87" t="str">
        <f>IF(AND($B46&gt;='1331'!$I$9,$B46&lt;='1331'!$J$9,OR($N46=$W$7,$O46=$W$7)),"x","")</f>
        <v/>
      </c>
      <c r="X46" s="87" t="str">
        <f>IF(AND($N46=$W$7,$B46&lt;'1331'!$I$9),"x","")</f>
        <v/>
      </c>
      <c r="Y46" s="87" t="str">
        <f>IF(AND($O46=$W$7,$B46&lt;'1331'!$I$9),"x","")</f>
        <v/>
      </c>
      <c r="Z46" s="87" t="str">
        <f>IF(AND('341-CT'!$H$9=H46,OR(LEFT(N46,3)=$Z$7,LEFT(O46,3)=$Z$7)),"x","")</f>
        <v/>
      </c>
      <c r="AA46" s="87" t="str">
        <f>IF(OR(TH!N46=TH!$AA$7,O46=TH!$AA$7),"x","")</f>
        <v/>
      </c>
      <c r="AB46" s="87" t="str">
        <f>IF(AND(OR(N46="131",O46="131"),H46='131-CT'!$H$9),"x","")</f>
        <v/>
      </c>
      <c r="AC46" s="87"/>
      <c r="AD46" s="87" t="str">
        <f>IF(AND(MONTH(E46)='IN-NX'!$J$5,'IN-NX'!$D$7=D46),"x","")</f>
        <v/>
      </c>
      <c r="AE46" s="87" t="str">
        <f>IF(AND(OR(LEFT(TH!N46,2)="15",LEFT(TH!O46,2)="15"),'152-CT'!$J$8=TH!F46),"x","")</f>
        <v/>
      </c>
      <c r="AF46" s="87" t="str">
        <f>IF(AND(OR(LEFT(TH!N46,2)="15",LEFT(TH!O46,2)="15"),'THE KHO'!$E$7=TH!F46),"x","")</f>
        <v/>
      </c>
      <c r="AG46" s="87" t="str">
        <f>IF(AND(N46="1521",MONTH(C46)='BK NL'!$M$11),"x","")</f>
        <v/>
      </c>
    </row>
    <row r="47" spans="1:33" s="404" customFormat="1" ht="15.75" customHeight="1">
      <c r="A47" s="399" t="str">
        <f>IF(B47&lt;&gt;"",IF(AND(B47&gt;=_TM1,B47&lt;=_TM2,OR(TH!N47="1111",TH!O47="1111")),TH!D47,""),"")</f>
        <v/>
      </c>
      <c r="B47" s="63">
        <f t="shared" si="1"/>
        <v>1</v>
      </c>
      <c r="C47" s="988">
        <v>42400</v>
      </c>
      <c r="D47" s="988" t="s">
        <v>600</v>
      </c>
      <c r="E47" s="988">
        <f t="shared" si="3"/>
        <v>42400</v>
      </c>
      <c r="F47" s="989" t="s">
        <v>634</v>
      </c>
      <c r="G47" s="990"/>
      <c r="H47" s="75"/>
      <c r="I47" s="518"/>
      <c r="J47" s="518"/>
      <c r="K47" s="509"/>
      <c r="L47" s="518"/>
      <c r="M47" s="996">
        <f>G32*$F$363</f>
        <v>0</v>
      </c>
      <c r="N47" s="997" t="s">
        <v>643</v>
      </c>
      <c r="O47" s="997" t="s">
        <v>646</v>
      </c>
      <c r="P47" s="87" t="str">
        <f>IF(AND('331-CT'!$E$7=TH!H47,OR(N47="331",O47="331")),"x","")</f>
        <v/>
      </c>
      <c r="Q47" s="87" t="str">
        <f>IF(AND(B47='111'!$L$11,OR($N47=$Q$7,$O47=$Q$7)),"x","")</f>
        <v/>
      </c>
      <c r="R47" s="87" t="str">
        <f>IF(AND($N47=$Q$7,$B47&lt;'111'!$L$11),"x","")</f>
        <v/>
      </c>
      <c r="S47" s="87" t="str">
        <f>IF(AND($O47=$Q$7,$B47&lt;'111'!$L$11),"x","")</f>
        <v/>
      </c>
      <c r="T47" s="87" t="str">
        <f>IF(ISERROR(FIND('112'!$M$9,G47,1)),"",IF((AND(FIND('112'!$M$9,G47,1)&gt;=1,B47='112'!$K$9,OR($N47='112'!$I$6,$O47='112'!$I$6))),"x",""))</f>
        <v/>
      </c>
      <c r="U47" s="87" t="str">
        <f>IF(ISERROR(FIND('112'!$M$9,G47,1)),"",IF((AND(FIND('112'!$M$9,G47,1)&gt;=1,B47&lt;'112'!$K$9,$N47='112'!$I$6)),"x",""))</f>
        <v/>
      </c>
      <c r="V47" s="87" t="str">
        <f>IF(ISERROR(FIND('112'!$M$9,G47,1)),"",IF((AND(FIND('112'!$M$9,G47,1)&gt;=1,B47&lt;'112'!$K$9,$O47='112'!$I$6)),"x",""))</f>
        <v/>
      </c>
      <c r="W47" s="87" t="str">
        <f>IF(AND($B47&gt;='1331'!$I$9,$B47&lt;='1331'!$J$9,OR($N47=$W$7,$O47=$W$7)),"x","")</f>
        <v/>
      </c>
      <c r="X47" s="87" t="str">
        <f>IF(AND($N47=$W$7,$B47&lt;'1331'!$I$9),"x","")</f>
        <v/>
      </c>
      <c r="Y47" s="87" t="str">
        <f>IF(AND($O47=$W$7,$B47&lt;'1331'!$I$9),"x","")</f>
        <v/>
      </c>
      <c r="Z47" s="87" t="str">
        <f>IF(AND('341-CT'!$H$9=H47,OR(LEFT(N47,3)=$Z$7,LEFT(O47,3)=$Z$7)),"x","")</f>
        <v/>
      </c>
      <c r="AA47" s="87" t="str">
        <f>IF(OR(TH!N47=TH!$AA$7,O47=TH!$AA$7),"x","")</f>
        <v/>
      </c>
      <c r="AB47" s="87" t="str">
        <f>IF(AND(OR(N47="131",O47="131"),H47='131-CT'!$H$9),"x","")</f>
        <v/>
      </c>
      <c r="AC47" s="87"/>
      <c r="AD47" s="87" t="str">
        <f>IF(AND(MONTH(E47)='IN-NX'!$J$5,'IN-NX'!$D$7=D47),"x","")</f>
        <v/>
      </c>
      <c r="AE47" s="87" t="str">
        <f>IF(AND(OR(LEFT(TH!N47,2)="15",LEFT(TH!O47,2)="15"),'152-CT'!$J$8=TH!F47),"x","")</f>
        <v/>
      </c>
      <c r="AF47" s="87" t="str">
        <f>IF(AND(OR(LEFT(TH!N47,2)="15",LEFT(TH!O47,2)="15"),'THE KHO'!$E$7=TH!F47),"x","")</f>
        <v/>
      </c>
      <c r="AG47" s="87" t="str">
        <f>IF(AND(N47="1521",MONTH(C47)='BK NL'!$M$11),"x","")</f>
        <v/>
      </c>
    </row>
    <row r="48" spans="1:33" s="404" customFormat="1" ht="15.75" customHeight="1">
      <c r="A48" s="399" t="str">
        <f>IF(B48&lt;&gt;"",IF(AND(B48&gt;=_TM1,B48&lt;=_TM2,OR(TH!N48="1111",TH!O48="1111")),TH!D48,""),"")</f>
        <v/>
      </c>
      <c r="B48" s="63">
        <f t="shared" si="1"/>
        <v>1</v>
      </c>
      <c r="C48" s="988">
        <v>42400</v>
      </c>
      <c r="D48" s="988" t="s">
        <v>600</v>
      </c>
      <c r="E48" s="988">
        <f t="shared" si="3"/>
        <v>42400</v>
      </c>
      <c r="F48" s="989" t="s">
        <v>635</v>
      </c>
      <c r="G48" s="990"/>
      <c r="H48" s="74"/>
      <c r="I48" s="519"/>
      <c r="J48" s="519"/>
      <c r="K48" s="510"/>
      <c r="L48" s="519"/>
      <c r="M48" s="996">
        <f>G33*$F$363</f>
        <v>0</v>
      </c>
      <c r="N48" s="997" t="s">
        <v>643</v>
      </c>
      <c r="O48" s="997" t="s">
        <v>646</v>
      </c>
      <c r="P48" s="87" t="str">
        <f>IF(AND('331-CT'!$E$7=TH!H48,OR(N48="331",O48="331")),"x","")</f>
        <v/>
      </c>
      <c r="Q48" s="87" t="str">
        <f>IF(AND(B48='111'!$L$11,OR($N48=$Q$7,$O48=$Q$7)),"x","")</f>
        <v/>
      </c>
      <c r="R48" s="87" t="str">
        <f>IF(AND($N48=$Q$7,$B48&lt;'111'!$L$11),"x","")</f>
        <v/>
      </c>
      <c r="S48" s="87" t="str">
        <f>IF(AND($O48=$Q$7,$B48&lt;'111'!$L$11),"x","")</f>
        <v/>
      </c>
      <c r="T48" s="87" t="str">
        <f>IF(ISERROR(FIND('112'!$M$9,G48,1)),"",IF((AND(FIND('112'!$M$9,G48,1)&gt;=1,B48='112'!$K$9,OR($N48='112'!$I$6,$O48='112'!$I$6))),"x",""))</f>
        <v/>
      </c>
      <c r="U48" s="87" t="str">
        <f>IF(ISERROR(FIND('112'!$M$9,G48,1)),"",IF((AND(FIND('112'!$M$9,G48,1)&gt;=1,B48&lt;'112'!$K$9,$N48='112'!$I$6)),"x",""))</f>
        <v/>
      </c>
      <c r="V48" s="87" t="str">
        <f>IF(ISERROR(FIND('112'!$M$9,G48,1)),"",IF((AND(FIND('112'!$M$9,G48,1)&gt;=1,B48&lt;'112'!$K$9,$O48='112'!$I$6)),"x",""))</f>
        <v/>
      </c>
      <c r="W48" s="87" t="str">
        <f>IF(AND($B48&gt;='1331'!$I$9,$B48&lt;='1331'!$J$9,OR($N48=$W$7,$O48=$W$7)),"x","")</f>
        <v/>
      </c>
      <c r="X48" s="87" t="str">
        <f>IF(AND($N48=$W$7,$B48&lt;'1331'!$I$9),"x","")</f>
        <v/>
      </c>
      <c r="Y48" s="87" t="str">
        <f>IF(AND($O48=$W$7,$B48&lt;'1331'!$I$9),"x","")</f>
        <v/>
      </c>
      <c r="Z48" s="87" t="str">
        <f>IF(AND('341-CT'!$H$9=H48,OR(LEFT(N48,3)=$Z$7,LEFT(O48,3)=$Z$7)),"x","")</f>
        <v/>
      </c>
      <c r="AA48" s="87" t="str">
        <f>IF(OR(TH!N48=TH!$AA$7,O48=TH!$AA$7),"x","")</f>
        <v/>
      </c>
      <c r="AB48" s="87" t="str">
        <f>IF(AND(OR(N48="131",O48="131"),H48='131-CT'!$H$9),"x","")</f>
        <v/>
      </c>
      <c r="AC48" s="87"/>
      <c r="AD48" s="87" t="str">
        <f>IF(AND(MONTH(E48)='IN-NX'!$J$5,'IN-NX'!$D$7=D48),"x","")</f>
        <v/>
      </c>
      <c r="AE48" s="87" t="str">
        <f>IF(AND(OR(LEFT(TH!N48,2)="15",LEFT(TH!O48,2)="15"),'152-CT'!$J$8=TH!F48),"x","")</f>
        <v/>
      </c>
      <c r="AF48" s="87" t="str">
        <f>IF(AND(OR(LEFT(TH!N48,2)="15",LEFT(TH!O48,2)="15"),'THE KHO'!$E$7=TH!F48),"x","")</f>
        <v/>
      </c>
      <c r="AG48" s="87" t="str">
        <f>IF(AND(N48="1521",MONTH(C48)='BK NL'!$M$11),"x","")</f>
        <v/>
      </c>
    </row>
    <row r="49" spans="1:33" s="404" customFormat="1" ht="15.75" customHeight="1">
      <c r="A49" s="399" t="str">
        <f>IF(B49&lt;&gt;"",IF(AND(B49&gt;=_TM1,B49&lt;=_TM2,OR(TH!N49="1111",TH!O49="1111")),TH!D49,""),"")</f>
        <v/>
      </c>
      <c r="B49" s="63">
        <f t="shared" si="1"/>
        <v>1</v>
      </c>
      <c r="C49" s="988">
        <v>42400</v>
      </c>
      <c r="D49" s="988" t="s">
        <v>600</v>
      </c>
      <c r="E49" s="988">
        <f t="shared" si="3"/>
        <v>42400</v>
      </c>
      <c r="F49" s="989" t="s">
        <v>636</v>
      </c>
      <c r="G49" s="991" t="s">
        <v>633</v>
      </c>
      <c r="H49" s="74"/>
      <c r="I49" s="519"/>
      <c r="J49" s="519"/>
      <c r="K49" s="510"/>
      <c r="L49" s="519"/>
      <c r="M49" s="996">
        <f>M46</f>
        <v>0</v>
      </c>
      <c r="N49" s="997" t="s">
        <v>642</v>
      </c>
      <c r="O49" s="997" t="s">
        <v>646</v>
      </c>
      <c r="P49" s="87" t="str">
        <f>IF(AND('331-CT'!$E$7=TH!H49,OR(N49="331",O49="331")),"x","")</f>
        <v/>
      </c>
      <c r="Q49" s="87" t="str">
        <f>IF(AND(B49='111'!$L$11,OR($N49=$Q$7,$O49=$Q$7)),"x","")</f>
        <v/>
      </c>
      <c r="R49" s="87" t="str">
        <f>IF(AND($N49=$Q$7,$B49&lt;'111'!$L$11),"x","")</f>
        <v/>
      </c>
      <c r="S49" s="87" t="str">
        <f>IF(AND($O49=$Q$7,$B49&lt;'111'!$L$11),"x","")</f>
        <v/>
      </c>
      <c r="T49" s="87" t="str">
        <f>IF(ISERROR(FIND('112'!$M$9,G49,1)),"",IF((AND(FIND('112'!$M$9,G49,1)&gt;=1,B49='112'!$K$9,OR($N49='112'!$I$6,$O49='112'!$I$6))),"x",""))</f>
        <v/>
      </c>
      <c r="U49" s="87" t="str">
        <f>IF(ISERROR(FIND('112'!$M$9,G49,1)),"",IF((AND(FIND('112'!$M$9,G49,1)&gt;=1,B49&lt;'112'!$K$9,$N49='112'!$I$6)),"x",""))</f>
        <v/>
      </c>
      <c r="V49" s="87" t="str">
        <f>IF(ISERROR(FIND('112'!$M$9,G49,1)),"",IF((AND(FIND('112'!$M$9,G49,1)&gt;=1,B49&lt;'112'!$K$9,$O49='112'!$I$6)),"x",""))</f>
        <v/>
      </c>
      <c r="W49" s="87" t="str">
        <f>IF(AND($B49&gt;='1331'!$I$9,$B49&lt;='1331'!$J$9,OR($N49=$W$7,$O49=$W$7)),"x","")</f>
        <v/>
      </c>
      <c r="X49" s="87" t="str">
        <f>IF(AND($N49=$W$7,$B49&lt;'1331'!$I$9),"x","")</f>
        <v/>
      </c>
      <c r="Y49" s="87" t="str">
        <f>IF(AND($O49=$W$7,$B49&lt;'1331'!$I$9),"x","")</f>
        <v/>
      </c>
      <c r="Z49" s="87" t="str">
        <f>IF(AND('341-CT'!$H$9=H49,OR(LEFT(N49,3)=$Z$7,LEFT(O49,3)=$Z$7)),"x","")</f>
        <v/>
      </c>
      <c r="AA49" s="87" t="str">
        <f>IF(OR(TH!N49=TH!$AA$7,O49=TH!$AA$7),"x","")</f>
        <v/>
      </c>
      <c r="AB49" s="87" t="str">
        <f>IF(AND(OR(N49="131",O49="131"),H49='131-CT'!$H$9),"x","")</f>
        <v/>
      </c>
      <c r="AC49" s="87"/>
      <c r="AD49" s="87" t="str">
        <f>IF(AND(MONTH(E49)='IN-NX'!$J$5,'IN-NX'!$D$7=D49),"x","")</f>
        <v/>
      </c>
      <c r="AE49" s="87" t="str">
        <f>IF(AND(OR(LEFT(TH!N49,2)="15",LEFT(TH!O49,2)="15"),'152-CT'!$J$8=TH!F49),"x","")</f>
        <v/>
      </c>
      <c r="AF49" s="87" t="str">
        <f>IF(AND(OR(LEFT(TH!N49,2)="15",LEFT(TH!O49,2)="15"),'THE KHO'!$E$7=TH!F49),"x","")</f>
        <v/>
      </c>
      <c r="AG49" s="87" t="str">
        <f>IF(AND(N49="1521",MONTH(C49)='BK NL'!$M$11),"x","")</f>
        <v/>
      </c>
    </row>
    <row r="50" spans="1:33" s="404" customFormat="1" ht="15.75" customHeight="1">
      <c r="A50" s="399" t="str">
        <f>IF(B50&lt;&gt;"",IF(AND(B50&gt;=_TM1,B50&lt;=_TM2,OR(TH!N50="1111",TH!O50="1111")),TH!D50,""),"")</f>
        <v/>
      </c>
      <c r="B50" s="63">
        <f t="shared" si="1"/>
        <v>1</v>
      </c>
      <c r="C50" s="988">
        <v>42400</v>
      </c>
      <c r="D50" s="988" t="s">
        <v>600</v>
      </c>
      <c r="E50" s="988">
        <f t="shared" si="3"/>
        <v>42400</v>
      </c>
      <c r="F50" s="989" t="s">
        <v>637</v>
      </c>
      <c r="G50" s="990"/>
      <c r="H50" s="75"/>
      <c r="I50" s="518"/>
      <c r="J50" s="518"/>
      <c r="K50" s="509"/>
      <c r="L50" s="518"/>
      <c r="M50" s="996">
        <f>M47</f>
        <v>0</v>
      </c>
      <c r="N50" s="997" t="s">
        <v>298</v>
      </c>
      <c r="O50" s="997" t="s">
        <v>646</v>
      </c>
      <c r="P50" s="87" t="str">
        <f>IF(AND('331-CT'!$E$7=TH!H50,OR(N50="331",O50="331")),"x","")</f>
        <v/>
      </c>
      <c r="Q50" s="87" t="str">
        <f>IF(AND(B50='111'!$L$11,OR($N50=$Q$7,$O50=$Q$7)),"x","")</f>
        <v/>
      </c>
      <c r="R50" s="87" t="str">
        <f>IF(AND($N50=$Q$7,$B50&lt;'111'!$L$11),"x","")</f>
        <v/>
      </c>
      <c r="S50" s="87" t="str">
        <f>IF(AND($O50=$Q$7,$B50&lt;'111'!$L$11),"x","")</f>
        <v/>
      </c>
      <c r="T50" s="87" t="str">
        <f>IF(ISERROR(FIND('112'!$M$9,G50,1)),"",IF((AND(FIND('112'!$M$9,G50,1)&gt;=1,B50='112'!$K$9,OR($N50='112'!$I$6,$O50='112'!$I$6))),"x",""))</f>
        <v/>
      </c>
      <c r="U50" s="87" t="str">
        <f>IF(ISERROR(FIND('112'!$M$9,G50,1)),"",IF((AND(FIND('112'!$M$9,G50,1)&gt;=1,B50&lt;'112'!$K$9,$N50='112'!$I$6)),"x",""))</f>
        <v/>
      </c>
      <c r="V50" s="87" t="str">
        <f>IF(ISERROR(FIND('112'!$M$9,G50,1)),"",IF((AND(FIND('112'!$M$9,G50,1)&gt;=1,B50&lt;'112'!$K$9,$O50='112'!$I$6)),"x",""))</f>
        <v/>
      </c>
      <c r="W50" s="87" t="str">
        <f>IF(AND($B50&gt;='1331'!$I$9,$B50&lt;='1331'!$J$9,OR($N50=$W$7,$O50=$W$7)),"x","")</f>
        <v/>
      </c>
      <c r="X50" s="87" t="str">
        <f>IF(AND($N50=$W$7,$B50&lt;'1331'!$I$9),"x","")</f>
        <v/>
      </c>
      <c r="Y50" s="87" t="str">
        <f>IF(AND($O50=$W$7,$B50&lt;'1331'!$I$9),"x","")</f>
        <v/>
      </c>
      <c r="Z50" s="87" t="str">
        <f>IF(AND('341-CT'!$H$9=H50,OR(LEFT(N50,3)=$Z$7,LEFT(O50,3)=$Z$7)),"x","")</f>
        <v/>
      </c>
      <c r="AA50" s="87" t="str">
        <f>IF(OR(TH!N50=TH!$AA$7,O50=TH!$AA$7),"x","")</f>
        <v/>
      </c>
      <c r="AB50" s="87" t="str">
        <f>IF(AND(OR(N50="131",O50="131"),H50='131-CT'!$H$9),"x","")</f>
        <v/>
      </c>
      <c r="AC50" s="87"/>
      <c r="AD50" s="87" t="str">
        <f>IF(AND(MONTH(E50)='IN-NX'!$J$5,'IN-NX'!$D$7=D50),"x","")</f>
        <v/>
      </c>
      <c r="AE50" s="87" t="str">
        <f>IF(AND(OR(LEFT(TH!N50,2)="15",LEFT(TH!O50,2)="15"),'152-CT'!$J$8=TH!F50),"x","")</f>
        <v/>
      </c>
      <c r="AF50" s="87" t="str">
        <f>IF(AND(OR(LEFT(TH!N50,2)="15",LEFT(TH!O50,2)="15"),'THE KHO'!$E$7=TH!F50),"x","")</f>
        <v/>
      </c>
      <c r="AG50" s="87" t="str">
        <f>IF(AND(N50="1521",MONTH(C50)='BK NL'!$M$11),"x","")</f>
        <v/>
      </c>
    </row>
    <row r="51" spans="1:33" s="404" customFormat="1" ht="15.75" customHeight="1">
      <c r="A51" s="399" t="str">
        <f>IF(B51&lt;&gt;"",IF(AND(B51&gt;=_TM1,B51&lt;=_TM2,OR(TH!N51="1111",TH!O51="1111")),TH!D51,""),"")</f>
        <v/>
      </c>
      <c r="B51" s="63">
        <f t="shared" si="1"/>
        <v>1</v>
      </c>
      <c r="C51" s="988">
        <v>42400</v>
      </c>
      <c r="D51" s="988" t="s">
        <v>600</v>
      </c>
      <c r="E51" s="988">
        <f t="shared" si="3"/>
        <v>42400</v>
      </c>
      <c r="F51" s="989" t="s">
        <v>638</v>
      </c>
      <c r="G51" s="990"/>
      <c r="H51" s="75"/>
      <c r="I51" s="518"/>
      <c r="J51" s="518"/>
      <c r="K51" s="509"/>
      <c r="L51" s="518"/>
      <c r="M51" s="996">
        <f>M48</f>
        <v>0</v>
      </c>
      <c r="N51" s="997" t="s">
        <v>298</v>
      </c>
      <c r="O51" s="997" t="s">
        <v>646</v>
      </c>
      <c r="P51" s="87" t="str">
        <f>IF(AND('331-CT'!$E$7=TH!H51,OR(N51="331",O51="331")),"x","")</f>
        <v/>
      </c>
      <c r="Q51" s="87" t="str">
        <f>IF(AND(B51='111'!$L$11,OR($N51=$Q$7,$O51=$Q$7)),"x","")</f>
        <v/>
      </c>
      <c r="R51" s="87" t="str">
        <f>IF(AND($N51=$Q$7,$B51&lt;'111'!$L$11),"x","")</f>
        <v/>
      </c>
      <c r="S51" s="87" t="str">
        <f>IF(AND($O51=$Q$7,$B51&lt;'111'!$L$11),"x","")</f>
        <v/>
      </c>
      <c r="T51" s="87" t="str">
        <f>IF(ISERROR(FIND('112'!$M$9,G51,1)),"",IF((AND(FIND('112'!$M$9,G51,1)&gt;=1,B51='112'!$K$9,OR($N51='112'!$I$6,$O51='112'!$I$6))),"x",""))</f>
        <v/>
      </c>
      <c r="U51" s="87" t="str">
        <f>IF(ISERROR(FIND('112'!$M$9,G51,1)),"",IF((AND(FIND('112'!$M$9,G51,1)&gt;=1,B51&lt;'112'!$K$9,$N51='112'!$I$6)),"x",""))</f>
        <v/>
      </c>
      <c r="V51" s="87" t="str">
        <f>IF(ISERROR(FIND('112'!$M$9,G51,1)),"",IF((AND(FIND('112'!$M$9,G51,1)&gt;=1,B51&lt;'112'!$K$9,$O51='112'!$I$6)),"x",""))</f>
        <v/>
      </c>
      <c r="W51" s="87" t="str">
        <f>IF(AND($B51&gt;='1331'!$I$9,$B51&lt;='1331'!$J$9,OR($N51=$W$7,$O51=$W$7)),"x","")</f>
        <v/>
      </c>
      <c r="X51" s="87" t="str">
        <f>IF(AND($N51=$W$7,$B51&lt;'1331'!$I$9),"x","")</f>
        <v/>
      </c>
      <c r="Y51" s="87" t="str">
        <f>IF(AND($O51=$W$7,$B51&lt;'1331'!$I$9),"x","")</f>
        <v/>
      </c>
      <c r="Z51" s="87" t="str">
        <f>IF(AND('341-CT'!$H$9=H51,OR(LEFT(N51,3)=$Z$7,LEFT(O51,3)=$Z$7)),"x","")</f>
        <v/>
      </c>
      <c r="AA51" s="87" t="str">
        <f>IF(OR(TH!N51=TH!$AA$7,O51=TH!$AA$7),"x","")</f>
        <v/>
      </c>
      <c r="AB51" s="87" t="str">
        <f>IF(AND(OR(N51="131",O51="131"),H51='131-CT'!$H$9),"x","")</f>
        <v/>
      </c>
      <c r="AC51" s="87"/>
      <c r="AD51" s="87" t="str">
        <f>IF(AND(MONTH(E51)='IN-NX'!$J$5,'IN-NX'!$D$7=D51),"x","")</f>
        <v/>
      </c>
      <c r="AE51" s="87" t="str">
        <f>IF(AND(OR(LEFT(TH!N51,2)="15",LEFT(TH!O51,2)="15"),'152-CT'!$J$8=TH!F51),"x","")</f>
        <v/>
      </c>
      <c r="AF51" s="87" t="str">
        <f>IF(AND(OR(LEFT(TH!N51,2)="15",LEFT(TH!O51,2)="15"),'THE KHO'!$E$7=TH!F51),"x","")</f>
        <v/>
      </c>
      <c r="AG51" s="87" t="str">
        <f>IF(AND(N51="1521",MONTH(C51)='BK NL'!$M$11),"x","")</f>
        <v/>
      </c>
    </row>
    <row r="52" spans="1:33" s="404" customFormat="1" ht="15.75" customHeight="1">
      <c r="A52" s="399" t="str">
        <f>IF(B52&lt;&gt;"",IF(AND(B52&gt;=_TM1,B52&lt;=_TM2,OR(TH!N52="1111",TH!O52="1111")),TH!D52,""),"")</f>
        <v/>
      </c>
      <c r="B52" s="63">
        <f t="shared" si="1"/>
        <v>1</v>
      </c>
      <c r="C52" s="64">
        <f>E52</f>
        <v>42396</v>
      </c>
      <c r="D52" s="64" t="s">
        <v>600</v>
      </c>
      <c r="E52" s="64">
        <v>42396</v>
      </c>
      <c r="F52" s="67" t="s">
        <v>669</v>
      </c>
      <c r="G52" s="362"/>
      <c r="H52" s="75" t="s">
        <v>649</v>
      </c>
      <c r="I52" s="518"/>
      <c r="J52" s="518"/>
      <c r="K52" s="509">
        <v>11</v>
      </c>
      <c r="L52" s="518">
        <v>22310</v>
      </c>
      <c r="M52" s="65">
        <f>ROUND(K52*L52,0)</f>
        <v>245410</v>
      </c>
      <c r="N52" s="66" t="s">
        <v>101</v>
      </c>
      <c r="O52" s="66" t="s">
        <v>639</v>
      </c>
      <c r="P52" s="87" t="str">
        <f>IF(AND('331-CT'!$E$7=TH!H52,OR(N52="331",O52="331")),"x","")</f>
        <v/>
      </c>
      <c r="Q52" s="87" t="str">
        <f>IF(AND(B52='111'!$L$11,OR($N52=$Q$7,$O52=$Q$7)),"x","")</f>
        <v/>
      </c>
      <c r="R52" s="87" t="str">
        <f>IF(AND($N52=$Q$7,$B52&lt;'111'!$L$11),"x","")</f>
        <v/>
      </c>
      <c r="S52" s="87" t="str">
        <f>IF(AND($O52=$Q$7,$B52&lt;'111'!$L$11),"x","")</f>
        <v/>
      </c>
      <c r="T52" s="87" t="str">
        <f>IF(ISERROR(FIND('112'!$M$9,G52,1)),"",IF((AND(FIND('112'!$M$9,G52,1)&gt;=1,B52='112'!$K$9,OR($N52='112'!$I$6,$O52='112'!$I$6))),"x",""))</f>
        <v/>
      </c>
      <c r="U52" s="87" t="str">
        <f>IF(ISERROR(FIND('112'!$M$9,G52,1)),"",IF((AND(FIND('112'!$M$9,G52,1)&gt;=1,B52&lt;'112'!$K$9,$N52='112'!$I$6)),"x",""))</f>
        <v/>
      </c>
      <c r="V52" s="87" t="str">
        <f>IF(ISERROR(FIND('112'!$M$9,G52,1)),"",IF((AND(FIND('112'!$M$9,G52,1)&gt;=1,B52&lt;'112'!$K$9,$O52='112'!$I$6)),"x",""))</f>
        <v/>
      </c>
      <c r="W52" s="87" t="str">
        <f>IF(AND($B52&gt;='1331'!$I$9,$B52&lt;='1331'!$J$9,OR($N52=$W$7,$O52=$W$7)),"x","")</f>
        <v/>
      </c>
      <c r="X52" s="87" t="str">
        <f>IF(AND($N52=$W$7,$B52&lt;'1331'!$I$9),"x","")</f>
        <v/>
      </c>
      <c r="Y52" s="87" t="str">
        <f>IF(AND($O52=$W$7,$B52&lt;'1331'!$I$9),"x","")</f>
        <v/>
      </c>
      <c r="Z52" s="87" t="str">
        <f>IF(AND('341-CT'!$H$9=H52,OR(LEFT(N52,3)=$Z$7,LEFT(O52,3)=$Z$7)),"x","")</f>
        <v/>
      </c>
      <c r="AA52" s="87" t="str">
        <f>IF(OR(TH!N52=TH!$AA$7,O52=TH!$AA$7),"x","")</f>
        <v/>
      </c>
      <c r="AB52" s="87" t="str">
        <f>IF(AND(OR(N52="131",O52="131"),H52='131-CT'!$H$9),"x","")</f>
        <v>x</v>
      </c>
      <c r="AC52" s="87"/>
      <c r="AD52" s="87" t="str">
        <f>IF(AND(MONTH(E52)='IN-NX'!$J$5,'IN-NX'!$D$7=D52),"x","")</f>
        <v/>
      </c>
      <c r="AE52" s="87" t="str">
        <f>IF(AND(OR(LEFT(TH!N52,2)="15",LEFT(TH!O52,2)="15"),'152-CT'!$J$8=TH!F52),"x","")</f>
        <v/>
      </c>
      <c r="AF52" s="87" t="str">
        <f>IF(AND(OR(LEFT(TH!N52,2)="15",LEFT(TH!O52,2)="15"),'THE KHO'!$E$7=TH!F52),"x","")</f>
        <v/>
      </c>
      <c r="AG52" s="87" t="str">
        <f>IF(AND(N52="1521",MONTH(C52)='BK NL'!$M$11),"x","")</f>
        <v/>
      </c>
    </row>
    <row r="53" spans="1:33" s="404" customFormat="1" ht="15.75" customHeight="1">
      <c r="A53" s="399" t="str">
        <f>IF(B53&lt;&gt;"",IF(AND(B53&gt;=_TM1,B53&lt;=_TM2,OR(TH!N53="1111",TH!O53="1111")),TH!D53,""),"")</f>
        <v/>
      </c>
      <c r="B53" s="63">
        <f t="shared" si="1"/>
        <v>1</v>
      </c>
      <c r="C53" s="64">
        <f>E53</f>
        <v>42396</v>
      </c>
      <c r="D53" s="64" t="s">
        <v>600</v>
      </c>
      <c r="E53" s="64">
        <v>42396</v>
      </c>
      <c r="F53" s="67" t="s">
        <v>670</v>
      </c>
      <c r="G53" s="362"/>
      <c r="H53" s="75" t="s">
        <v>649</v>
      </c>
      <c r="I53" s="518"/>
      <c r="J53" s="518"/>
      <c r="K53" s="509">
        <v>30.38</v>
      </c>
      <c r="L53" s="518">
        <v>22310</v>
      </c>
      <c r="M53" s="65">
        <f>ROUND(K53*L53,0)</f>
        <v>677778</v>
      </c>
      <c r="N53" s="66" t="s">
        <v>101</v>
      </c>
      <c r="O53" s="66" t="s">
        <v>639</v>
      </c>
      <c r="P53" s="87" t="str">
        <f>IF(AND('331-CT'!$E$7=TH!H53,OR(N53="331",O53="331")),"x","")</f>
        <v/>
      </c>
      <c r="Q53" s="87" t="str">
        <f>IF(AND(B53='111'!$L$11,OR($N53=$Q$7,$O53=$Q$7)),"x","")</f>
        <v/>
      </c>
      <c r="R53" s="87" t="str">
        <f>IF(AND($N53=$Q$7,$B53&lt;'111'!$L$11),"x","")</f>
        <v/>
      </c>
      <c r="S53" s="87" t="str">
        <f>IF(AND($O53=$Q$7,$B53&lt;'111'!$L$11),"x","")</f>
        <v/>
      </c>
      <c r="T53" s="87" t="str">
        <f>IF(ISERROR(FIND('112'!$M$9,G53,1)),"",IF((AND(FIND('112'!$M$9,G53,1)&gt;=1,B53='112'!$K$9,OR($N53='112'!$I$6,$O53='112'!$I$6))),"x",""))</f>
        <v/>
      </c>
      <c r="U53" s="87" t="str">
        <f>IF(ISERROR(FIND('112'!$M$9,G53,1)),"",IF((AND(FIND('112'!$M$9,G53,1)&gt;=1,B53&lt;'112'!$K$9,$N53='112'!$I$6)),"x",""))</f>
        <v/>
      </c>
      <c r="V53" s="87" t="str">
        <f>IF(ISERROR(FIND('112'!$M$9,G53,1)),"",IF((AND(FIND('112'!$M$9,G53,1)&gt;=1,B53&lt;'112'!$K$9,$O53='112'!$I$6)),"x",""))</f>
        <v/>
      </c>
      <c r="W53" s="87" t="str">
        <f>IF(AND($B53&gt;='1331'!$I$9,$B53&lt;='1331'!$J$9,OR($N53=$W$7,$O53=$W$7)),"x","")</f>
        <v/>
      </c>
      <c r="X53" s="87" t="str">
        <f>IF(AND($N53=$W$7,$B53&lt;'1331'!$I$9),"x","")</f>
        <v/>
      </c>
      <c r="Y53" s="87" t="str">
        <f>IF(AND($O53=$W$7,$B53&lt;'1331'!$I$9),"x","")</f>
        <v/>
      </c>
      <c r="Z53" s="87" t="str">
        <f>IF(AND('341-CT'!$H$9=H53,OR(LEFT(N53,3)=$Z$7,LEFT(O53,3)=$Z$7)),"x","")</f>
        <v/>
      </c>
      <c r="AA53" s="87" t="str">
        <f>IF(OR(TH!N53=TH!$AA$7,O53=TH!$AA$7),"x","")</f>
        <v/>
      </c>
      <c r="AB53" s="87" t="str">
        <f>IF(AND(OR(N53="131",O53="131"),H53='131-CT'!$H$9),"x","")</f>
        <v>x</v>
      </c>
      <c r="AC53" s="87"/>
      <c r="AD53" s="87" t="str">
        <f>IF(AND(MONTH(E53)='IN-NX'!$J$5,'IN-NX'!$D$7=D53),"x","")</f>
        <v/>
      </c>
      <c r="AE53" s="87" t="str">
        <f>IF(AND(OR(LEFT(TH!N53,2)="15",LEFT(TH!O53,2)="15"),'152-CT'!$J$8=TH!F53),"x","")</f>
        <v/>
      </c>
      <c r="AF53" s="87" t="str">
        <f>IF(AND(OR(LEFT(TH!N53,2)="15",LEFT(TH!O53,2)="15"),'THE KHO'!$E$7=TH!F53),"x","")</f>
        <v/>
      </c>
      <c r="AG53" s="87" t="str">
        <f>IF(AND(N53="1521",MONTH(C53)='BK NL'!$M$11),"x","")</f>
        <v/>
      </c>
    </row>
    <row r="54" spans="1:33" s="404" customFormat="1" ht="15.75" customHeight="1">
      <c r="A54" s="399" t="str">
        <f>IF(B54&lt;&gt;"",IF(AND(B54&gt;=_TM1,B54&lt;=_TM2,OR(TH!N54="1111",TH!O54="1111")),TH!D54,""),"")</f>
        <v/>
      </c>
      <c r="B54" s="63">
        <f t="shared" si="1"/>
        <v>1</v>
      </c>
      <c r="C54" s="64">
        <f>E54</f>
        <v>42396</v>
      </c>
      <c r="D54" s="64" t="s">
        <v>600</v>
      </c>
      <c r="E54" s="64">
        <v>42396</v>
      </c>
      <c r="F54" s="70" t="s">
        <v>671</v>
      </c>
      <c r="G54" s="362"/>
      <c r="H54" s="74" t="s">
        <v>649</v>
      </c>
      <c r="I54" s="519"/>
      <c r="J54" s="519"/>
      <c r="K54" s="510">
        <v>5.5</v>
      </c>
      <c r="L54" s="519">
        <v>22310</v>
      </c>
      <c r="M54" s="65">
        <f>ROUND(K54*L54,0)</f>
        <v>122705</v>
      </c>
      <c r="N54" s="66" t="s">
        <v>101</v>
      </c>
      <c r="O54" s="66" t="s">
        <v>639</v>
      </c>
      <c r="P54" s="87" t="str">
        <f>IF(AND('331-CT'!$E$7=TH!H54,OR(N54="331",O54="331")),"x","")</f>
        <v/>
      </c>
      <c r="Q54" s="87" t="str">
        <f>IF(AND(B54='111'!$L$11,OR($N54=$Q$7,$O54=$Q$7)),"x","")</f>
        <v/>
      </c>
      <c r="R54" s="87" t="str">
        <f>IF(AND($N54=$Q$7,$B54&lt;'111'!$L$11),"x","")</f>
        <v/>
      </c>
      <c r="S54" s="87" t="str">
        <f>IF(AND($O54=$Q$7,$B54&lt;'111'!$L$11),"x","")</f>
        <v/>
      </c>
      <c r="T54" s="87" t="str">
        <f>IF(ISERROR(FIND('112'!$M$9,G54,1)),"",IF((AND(FIND('112'!$M$9,G54,1)&gt;=1,B54='112'!$K$9,OR($N54='112'!$I$6,$O54='112'!$I$6))),"x",""))</f>
        <v/>
      </c>
      <c r="U54" s="87" t="str">
        <f>IF(ISERROR(FIND('112'!$M$9,G54,1)),"",IF((AND(FIND('112'!$M$9,G54,1)&gt;=1,B54&lt;'112'!$K$9,$N54='112'!$I$6)),"x",""))</f>
        <v/>
      </c>
      <c r="V54" s="87" t="str">
        <f>IF(ISERROR(FIND('112'!$M$9,G54,1)),"",IF((AND(FIND('112'!$M$9,G54,1)&gt;=1,B54&lt;'112'!$K$9,$O54='112'!$I$6)),"x",""))</f>
        <v/>
      </c>
      <c r="W54" s="87" t="str">
        <f>IF(AND($B54&gt;='1331'!$I$9,$B54&lt;='1331'!$J$9,OR($N54=$W$7,$O54=$W$7)),"x","")</f>
        <v/>
      </c>
      <c r="X54" s="87" t="str">
        <f>IF(AND($N54=$W$7,$B54&lt;'1331'!$I$9),"x","")</f>
        <v/>
      </c>
      <c r="Y54" s="87" t="str">
        <f>IF(AND($O54=$W$7,$B54&lt;'1331'!$I$9),"x","")</f>
        <v/>
      </c>
      <c r="Z54" s="87" t="str">
        <f>IF(AND('341-CT'!$H$9=H54,OR(LEFT(N54,3)=$Z$7,LEFT(O54,3)=$Z$7)),"x","")</f>
        <v/>
      </c>
      <c r="AA54" s="87" t="str">
        <f>IF(OR(TH!N54=TH!$AA$7,O54=TH!$AA$7),"x","")</f>
        <v/>
      </c>
      <c r="AB54" s="87" t="str">
        <f>IF(AND(OR(N54="131",O54="131"),H54='131-CT'!$H$9),"x","")</f>
        <v>x</v>
      </c>
      <c r="AC54" s="87"/>
      <c r="AD54" s="87" t="str">
        <f>IF(AND(MONTH(E54)='IN-NX'!$J$5,'IN-NX'!$D$7=D54),"x","")</f>
        <v/>
      </c>
      <c r="AE54" s="87" t="str">
        <f>IF(AND(OR(LEFT(TH!N54,2)="15",LEFT(TH!O54,2)="15"),'152-CT'!$J$8=TH!F54),"x","")</f>
        <v/>
      </c>
      <c r="AF54" s="87" t="str">
        <f>IF(AND(OR(LEFT(TH!N54,2)="15",LEFT(TH!O54,2)="15"),'THE KHO'!$E$7=TH!F54),"x","")</f>
        <v/>
      </c>
      <c r="AG54" s="87" t="str">
        <f>IF(AND(N54="1521",MONTH(C54)='BK NL'!$M$11),"x","")</f>
        <v/>
      </c>
    </row>
    <row r="55" spans="1:33" s="404" customFormat="1" ht="15.75" customHeight="1">
      <c r="A55" s="399" t="str">
        <f>IF(B55&lt;&gt;"",IF(AND(B55&gt;=_TM1,B55&lt;=_TM2,OR(TH!N55="1111",TH!O55="1111")),TH!D55,""),"")</f>
        <v/>
      </c>
      <c r="B55" s="63">
        <f t="shared" si="1"/>
        <v>1</v>
      </c>
      <c r="C55" s="64">
        <f>E55</f>
        <v>42397</v>
      </c>
      <c r="D55" s="64" t="s">
        <v>600</v>
      </c>
      <c r="E55" s="64">
        <v>42397</v>
      </c>
      <c r="F55" s="67" t="s">
        <v>669</v>
      </c>
      <c r="G55" s="362"/>
      <c r="H55" s="75" t="s">
        <v>655</v>
      </c>
      <c r="I55" s="518"/>
      <c r="J55" s="518"/>
      <c r="K55" s="509">
        <v>11</v>
      </c>
      <c r="L55" s="518">
        <v>22310</v>
      </c>
      <c r="M55" s="65">
        <f>ROUND(K55*L55,0)</f>
        <v>245410</v>
      </c>
      <c r="N55" s="66" t="s">
        <v>101</v>
      </c>
      <c r="O55" s="66" t="s">
        <v>639</v>
      </c>
      <c r="P55" s="87" t="str">
        <f>IF(AND('331-CT'!$E$7=TH!H55,OR(N55="331",O55="331")),"x","")</f>
        <v/>
      </c>
      <c r="Q55" s="87" t="str">
        <f>IF(AND(B55='111'!$L$11,OR($N55=$Q$7,$O55=$Q$7)),"x","")</f>
        <v/>
      </c>
      <c r="R55" s="87" t="str">
        <f>IF(AND($N55=$Q$7,$B55&lt;'111'!$L$11),"x","")</f>
        <v/>
      </c>
      <c r="S55" s="87" t="str">
        <f>IF(AND($O55=$Q$7,$B55&lt;'111'!$L$11),"x","")</f>
        <v/>
      </c>
      <c r="T55" s="87" t="str">
        <f>IF(ISERROR(FIND('112'!$M$9,G55,1)),"",IF((AND(FIND('112'!$M$9,G55,1)&gt;=1,B55='112'!$K$9,OR($N55='112'!$I$6,$O55='112'!$I$6))),"x",""))</f>
        <v/>
      </c>
      <c r="U55" s="87" t="str">
        <f>IF(ISERROR(FIND('112'!$M$9,G55,1)),"",IF((AND(FIND('112'!$M$9,G55,1)&gt;=1,B55&lt;'112'!$K$9,$N55='112'!$I$6)),"x",""))</f>
        <v/>
      </c>
      <c r="V55" s="87" t="str">
        <f>IF(ISERROR(FIND('112'!$M$9,G55,1)),"",IF((AND(FIND('112'!$M$9,G55,1)&gt;=1,B55&lt;'112'!$K$9,$O55='112'!$I$6)),"x",""))</f>
        <v/>
      </c>
      <c r="W55" s="87" t="str">
        <f>IF(AND($B55&gt;='1331'!$I$9,$B55&lt;='1331'!$J$9,OR($N55=$W$7,$O55=$W$7)),"x","")</f>
        <v/>
      </c>
      <c r="X55" s="87" t="str">
        <f>IF(AND($N55=$W$7,$B55&lt;'1331'!$I$9),"x","")</f>
        <v/>
      </c>
      <c r="Y55" s="87" t="str">
        <f>IF(AND($O55=$W$7,$B55&lt;'1331'!$I$9),"x","")</f>
        <v/>
      </c>
      <c r="Z55" s="87" t="str">
        <f>IF(AND('341-CT'!$H$9=H55,OR(LEFT(N55,3)=$Z$7,LEFT(O55,3)=$Z$7)),"x","")</f>
        <v/>
      </c>
      <c r="AA55" s="87" t="str">
        <f>IF(OR(TH!N55=TH!$AA$7,O55=TH!$AA$7),"x","")</f>
        <v/>
      </c>
      <c r="AB55" s="87" t="str">
        <f>IF(AND(OR(N55="131",O55="131"),H55='131-CT'!$H$9),"x","")</f>
        <v/>
      </c>
      <c r="AC55" s="87"/>
      <c r="AD55" s="87" t="str">
        <f>IF(AND(MONTH(E55)='IN-NX'!$J$5,'IN-NX'!$D$7=D55),"x","")</f>
        <v/>
      </c>
      <c r="AE55" s="87" t="str">
        <f>IF(AND(OR(LEFT(TH!N55,2)="15",LEFT(TH!O55,2)="15"),'152-CT'!$J$8=TH!F55),"x","")</f>
        <v/>
      </c>
      <c r="AF55" s="87" t="str">
        <f>IF(AND(OR(LEFT(TH!N55,2)="15",LEFT(TH!O55,2)="15"),'THE KHO'!$E$7=TH!F55),"x","")</f>
        <v/>
      </c>
      <c r="AG55" s="87" t="str">
        <f>IF(AND(N55="1521",MONTH(C55)='BK NL'!$M$11),"x","")</f>
        <v/>
      </c>
    </row>
    <row r="56" spans="1:33" s="404" customFormat="1" ht="15.75" customHeight="1">
      <c r="A56" s="399" t="str">
        <f>IF(B56&lt;&gt;"",IF(AND(B56&gt;=_TM1,B56&lt;=_TM2,OR(TH!N56="1111",TH!O56="1111")),TH!D56,""),"")</f>
        <v/>
      </c>
      <c r="B56" s="63">
        <f t="shared" si="1"/>
        <v>1</v>
      </c>
      <c r="C56" s="64">
        <f>E56</f>
        <v>42397</v>
      </c>
      <c r="D56" s="64" t="s">
        <v>600</v>
      </c>
      <c r="E56" s="64">
        <v>42397</v>
      </c>
      <c r="F56" s="67" t="s">
        <v>670</v>
      </c>
      <c r="G56" s="362"/>
      <c r="H56" s="75" t="s">
        <v>655</v>
      </c>
      <c r="I56" s="518"/>
      <c r="J56" s="518"/>
      <c r="K56" s="509">
        <v>30.38</v>
      </c>
      <c r="L56" s="518">
        <v>22310</v>
      </c>
      <c r="M56" s="65">
        <f>ROUND(K56*L56,0)</f>
        <v>677778</v>
      </c>
      <c r="N56" s="66" t="s">
        <v>101</v>
      </c>
      <c r="O56" s="66" t="s">
        <v>639</v>
      </c>
      <c r="P56" s="87" t="str">
        <f>IF(AND('331-CT'!$E$7=TH!H56,OR(N56="331",O56="331")),"x","")</f>
        <v/>
      </c>
      <c r="Q56" s="87" t="str">
        <f>IF(AND(B56='111'!$L$11,OR($N56=$Q$7,$O56=$Q$7)),"x","")</f>
        <v/>
      </c>
      <c r="R56" s="87" t="str">
        <f>IF(AND($N56=$Q$7,$B56&lt;'111'!$L$11),"x","")</f>
        <v/>
      </c>
      <c r="S56" s="87" t="str">
        <f>IF(AND($O56=$Q$7,$B56&lt;'111'!$L$11),"x","")</f>
        <v/>
      </c>
      <c r="T56" s="87" t="str">
        <f>IF(ISERROR(FIND('112'!$M$9,G56,1)),"",IF((AND(FIND('112'!$M$9,G56,1)&gt;=1,B56='112'!$K$9,OR($N56='112'!$I$6,$O56='112'!$I$6))),"x",""))</f>
        <v/>
      </c>
      <c r="U56" s="87" t="str">
        <f>IF(ISERROR(FIND('112'!$M$9,G56,1)),"",IF((AND(FIND('112'!$M$9,G56,1)&gt;=1,B56&lt;'112'!$K$9,$N56='112'!$I$6)),"x",""))</f>
        <v/>
      </c>
      <c r="V56" s="87" t="str">
        <f>IF(ISERROR(FIND('112'!$M$9,G56,1)),"",IF((AND(FIND('112'!$M$9,G56,1)&gt;=1,B56&lt;'112'!$K$9,$O56='112'!$I$6)),"x",""))</f>
        <v/>
      </c>
      <c r="W56" s="87" t="str">
        <f>IF(AND($B56&gt;='1331'!$I$9,$B56&lt;='1331'!$J$9,OR($N56=$W$7,$O56=$W$7)),"x","")</f>
        <v/>
      </c>
      <c r="X56" s="87" t="str">
        <f>IF(AND($N56=$W$7,$B56&lt;'1331'!$I$9),"x","")</f>
        <v/>
      </c>
      <c r="Y56" s="87" t="str">
        <f>IF(AND($O56=$W$7,$B56&lt;'1331'!$I$9),"x","")</f>
        <v/>
      </c>
      <c r="Z56" s="87" t="str">
        <f>IF(AND('341-CT'!$H$9=H56,OR(LEFT(N56,3)=$Z$7,LEFT(O56,3)=$Z$7)),"x","")</f>
        <v/>
      </c>
      <c r="AA56" s="87" t="str">
        <f>IF(OR(TH!N56=TH!$AA$7,O56=TH!$AA$7),"x","")</f>
        <v/>
      </c>
      <c r="AB56" s="87" t="str">
        <f>IF(AND(OR(N56="131",O56="131"),H56='131-CT'!$H$9),"x","")</f>
        <v/>
      </c>
      <c r="AC56" s="87"/>
      <c r="AD56" s="87" t="str">
        <f>IF(AND(MONTH(E56)='IN-NX'!$J$5,'IN-NX'!$D$7=D56),"x","")</f>
        <v/>
      </c>
      <c r="AE56" s="87" t="str">
        <f>IF(AND(OR(LEFT(TH!N56,2)="15",LEFT(TH!O56,2)="15"),'152-CT'!$J$8=TH!F56),"x","")</f>
        <v/>
      </c>
      <c r="AF56" s="87" t="str">
        <f>IF(AND(OR(LEFT(TH!N56,2)="15",LEFT(TH!O56,2)="15"),'THE KHO'!$E$7=TH!F56),"x","")</f>
        <v/>
      </c>
      <c r="AG56" s="87" t="str">
        <f>IF(AND(N56="1521",MONTH(C56)='BK NL'!$M$11),"x","")</f>
        <v/>
      </c>
    </row>
    <row r="57" spans="1:33" s="404" customFormat="1" ht="15.75" customHeight="1">
      <c r="A57" s="399" t="str">
        <f>IF(B57&lt;&gt;"",IF(AND(B57&gt;=_TM1,B57&lt;=_TM2,OR(TH!N57="1111",TH!O57="1111")),TH!D57,""),"")</f>
        <v/>
      </c>
      <c r="B57" s="63">
        <f t="shared" si="1"/>
        <v>1</v>
      </c>
      <c r="C57" s="64">
        <v>42400</v>
      </c>
      <c r="D57" s="64" t="s">
        <v>600</v>
      </c>
      <c r="E57" s="64">
        <v>42370</v>
      </c>
      <c r="F57" s="67" t="s">
        <v>702</v>
      </c>
      <c r="G57" s="362" t="s">
        <v>723</v>
      </c>
      <c r="H57" s="75" t="s">
        <v>694</v>
      </c>
      <c r="I57" s="518"/>
      <c r="J57" s="518"/>
      <c r="K57" s="509"/>
      <c r="L57" s="518"/>
      <c r="M57" s="65">
        <v>10134000</v>
      </c>
      <c r="N57" s="66" t="s">
        <v>642</v>
      </c>
      <c r="O57" s="66" t="s">
        <v>8</v>
      </c>
      <c r="P57" s="87" t="str">
        <f>IF(AND('331-CT'!$E$7=TH!H57,OR(N57="331",O57="331")),"x","")</f>
        <v/>
      </c>
      <c r="Q57" s="87" t="str">
        <f>IF(AND(B57='111'!$L$11,OR($N57=$Q$7,$O57=$Q$7)),"x","")</f>
        <v/>
      </c>
      <c r="R57" s="87" t="str">
        <f>IF(AND($N57=$Q$7,$B57&lt;'111'!$L$11),"x","")</f>
        <v/>
      </c>
      <c r="S57" s="87" t="str">
        <f>IF(AND($O57=$Q$7,$B57&lt;'111'!$L$11),"x","")</f>
        <v/>
      </c>
      <c r="T57" s="87" t="str">
        <f>IF(ISERROR(FIND('112'!$M$9,G57,1)),"",IF((AND(FIND('112'!$M$9,G57,1)&gt;=1,B57='112'!$K$9,OR($N57='112'!$I$6,$O57='112'!$I$6))),"x",""))</f>
        <v/>
      </c>
      <c r="U57" s="87" t="str">
        <f>IF(ISERROR(FIND('112'!$M$9,G57,1)),"",IF((AND(FIND('112'!$M$9,G57,1)&gt;=1,B57&lt;'112'!$K$9,$N57='112'!$I$6)),"x",""))</f>
        <v/>
      </c>
      <c r="V57" s="87" t="str">
        <f>IF(ISERROR(FIND('112'!$M$9,G57,1)),"",IF((AND(FIND('112'!$M$9,G57,1)&gt;=1,B57&lt;'112'!$K$9,$O57='112'!$I$6)),"x",""))</f>
        <v/>
      </c>
      <c r="W57" s="87" t="str">
        <f>IF(AND($B57&gt;='1331'!$I$9,$B57&lt;='1331'!$J$9,OR($N57=$W$7,$O57=$W$7)),"x","")</f>
        <v/>
      </c>
      <c r="X57" s="87" t="str">
        <f>IF(AND($N57=$W$7,$B57&lt;'1331'!$I$9),"x","")</f>
        <v/>
      </c>
      <c r="Y57" s="87" t="str">
        <f>IF(AND($O57=$W$7,$B57&lt;'1331'!$I$9),"x","")</f>
        <v/>
      </c>
      <c r="Z57" s="87" t="str">
        <f>IF(AND('341-CT'!$H$9=H57,OR(LEFT(N57,3)=$Z$7,LEFT(O57,3)=$Z$7)),"x","")</f>
        <v/>
      </c>
      <c r="AA57" s="87" t="str">
        <f>IF(OR(TH!N57=TH!$AA$7,O57=TH!$AA$7),"x","")</f>
        <v/>
      </c>
      <c r="AB57" s="87" t="str">
        <f>IF(AND(OR(N57="131",O57="131"),H57='131-CT'!$H$9),"x","")</f>
        <v/>
      </c>
      <c r="AC57" s="87"/>
      <c r="AD57" s="87" t="str">
        <f>IF(AND(MONTH(E57)='IN-NX'!$J$5,'IN-NX'!$D$7=D57),"x","")</f>
        <v/>
      </c>
      <c r="AE57" s="87" t="str">
        <f>IF(AND(OR(LEFT(TH!N57,2)="15",LEFT(TH!O57,2)="15"),'152-CT'!$J$8=TH!F57),"x","")</f>
        <v/>
      </c>
      <c r="AF57" s="87" t="str">
        <f>IF(AND(OR(LEFT(TH!N57,2)="15",LEFT(TH!O57,2)="15"),'THE KHO'!$E$7=TH!F57),"x","")</f>
        <v/>
      </c>
      <c r="AG57" s="87" t="str">
        <f>IF(AND(N57="1521",MONTH(C57)='BK NL'!$M$11),"x","")</f>
        <v/>
      </c>
    </row>
    <row r="58" spans="1:33" s="404" customFormat="1" ht="15.75" customHeight="1">
      <c r="A58" s="399" t="str">
        <f>IF(B58&lt;&gt;"",IF(AND(B58&gt;=_TM1,B58&lt;=_TM2,OR(TH!N58="1111",TH!O58="1111")),TH!D58,""),"")</f>
        <v/>
      </c>
      <c r="B58" s="63">
        <f t="shared" si="1"/>
        <v>1</v>
      </c>
      <c r="C58" s="64">
        <v>42400</v>
      </c>
      <c r="D58" s="64" t="s">
        <v>600</v>
      </c>
      <c r="E58" s="64">
        <v>42370</v>
      </c>
      <c r="F58" s="67" t="s">
        <v>703</v>
      </c>
      <c r="G58" s="362" t="s">
        <v>724</v>
      </c>
      <c r="H58" s="75" t="s">
        <v>694</v>
      </c>
      <c r="I58" s="518"/>
      <c r="J58" s="518"/>
      <c r="K58" s="509"/>
      <c r="L58" s="518"/>
      <c r="M58" s="65">
        <v>6823560</v>
      </c>
      <c r="N58" s="66" t="s">
        <v>642</v>
      </c>
      <c r="O58" s="66" t="s">
        <v>8</v>
      </c>
      <c r="P58" s="87" t="str">
        <f>IF(AND('331-CT'!$E$7=TH!H58,OR(N58="331",O58="331")),"x","")</f>
        <v/>
      </c>
      <c r="Q58" s="87" t="str">
        <f>IF(AND(B58='111'!$L$11,OR($N58=$Q$7,$O58=$Q$7)),"x","")</f>
        <v/>
      </c>
      <c r="R58" s="87" t="str">
        <f>IF(AND($N58=$Q$7,$B58&lt;'111'!$L$11),"x","")</f>
        <v/>
      </c>
      <c r="S58" s="87" t="str">
        <f>IF(AND($O58=$Q$7,$B58&lt;'111'!$L$11),"x","")</f>
        <v/>
      </c>
      <c r="T58" s="87" t="str">
        <f>IF(ISERROR(FIND('112'!$M$9,G58,1)),"",IF((AND(FIND('112'!$M$9,G58,1)&gt;=1,B58='112'!$K$9,OR($N58='112'!$I$6,$O58='112'!$I$6))),"x",""))</f>
        <v/>
      </c>
      <c r="U58" s="87" t="str">
        <f>IF(ISERROR(FIND('112'!$M$9,G58,1)),"",IF((AND(FIND('112'!$M$9,G58,1)&gt;=1,B58&lt;'112'!$K$9,$N58='112'!$I$6)),"x",""))</f>
        <v/>
      </c>
      <c r="V58" s="87" t="str">
        <f>IF(ISERROR(FIND('112'!$M$9,G58,1)),"",IF((AND(FIND('112'!$M$9,G58,1)&gt;=1,B58&lt;'112'!$K$9,$O58='112'!$I$6)),"x",""))</f>
        <v/>
      </c>
      <c r="W58" s="87" t="str">
        <f>IF(AND($B58&gt;='1331'!$I$9,$B58&lt;='1331'!$J$9,OR($N58=$W$7,$O58=$W$7)),"x","")</f>
        <v/>
      </c>
      <c r="X58" s="87" t="str">
        <f>IF(AND($N58=$W$7,$B58&lt;'1331'!$I$9),"x","")</f>
        <v/>
      </c>
      <c r="Y58" s="87" t="str">
        <f>IF(AND($O58=$W$7,$B58&lt;'1331'!$I$9),"x","")</f>
        <v/>
      </c>
      <c r="Z58" s="87" t="str">
        <f>IF(AND('341-CT'!$H$9=H58,OR(LEFT(N58,3)=$Z$7,LEFT(O58,3)=$Z$7)),"x","")</f>
        <v/>
      </c>
      <c r="AA58" s="87" t="str">
        <f>IF(OR(TH!N58=TH!$AA$7,O58=TH!$AA$7),"x","")</f>
        <v/>
      </c>
      <c r="AB58" s="87" t="str">
        <f>IF(AND(OR(N58="131",O58="131"),H58='131-CT'!$H$9),"x","")</f>
        <v/>
      </c>
      <c r="AC58" s="87"/>
      <c r="AD58" s="87" t="str">
        <f>IF(AND(MONTH(E58)='IN-NX'!$J$5,'IN-NX'!$D$7=D58),"x","")</f>
        <v/>
      </c>
      <c r="AE58" s="87" t="str">
        <f>IF(AND(OR(LEFT(TH!N58,2)="15",LEFT(TH!O58,2)="15"),'152-CT'!$J$8=TH!F58),"x","")</f>
        <v/>
      </c>
      <c r="AF58" s="87" t="str">
        <f>IF(AND(OR(LEFT(TH!N58,2)="15",LEFT(TH!O58,2)="15"),'THE KHO'!$E$7=TH!F58),"x","")</f>
        <v/>
      </c>
      <c r="AG58" s="87" t="str">
        <f>IF(AND(N58="1521",MONTH(C58)='BK NL'!$M$11),"x","")</f>
        <v/>
      </c>
    </row>
    <row r="59" spans="1:33" s="404" customFormat="1" ht="15.75" customHeight="1">
      <c r="A59" s="399" t="str">
        <f>IF(B59&lt;&gt;"",IF(AND(B59&gt;=_TM1,B59&lt;=_TM2,OR(TH!N59="1111",TH!O59="1111")),TH!D59,""),"")</f>
        <v/>
      </c>
      <c r="B59" s="63">
        <f t="shared" si="1"/>
        <v>1</v>
      </c>
      <c r="C59" s="64">
        <v>42400</v>
      </c>
      <c r="D59" s="64" t="s">
        <v>600</v>
      </c>
      <c r="E59" s="64">
        <v>42370</v>
      </c>
      <c r="F59" s="67" t="s">
        <v>704</v>
      </c>
      <c r="G59" s="362" t="s">
        <v>724</v>
      </c>
      <c r="H59" s="75" t="s">
        <v>694</v>
      </c>
      <c r="I59" s="518"/>
      <c r="J59" s="518"/>
      <c r="K59" s="509"/>
      <c r="L59" s="518"/>
      <c r="M59" s="65">
        <v>682356</v>
      </c>
      <c r="N59" s="66" t="s">
        <v>9</v>
      </c>
      <c r="O59" s="66" t="s">
        <v>8</v>
      </c>
      <c r="P59" s="87" t="str">
        <f>IF(AND('331-CT'!$E$7=TH!H59,OR(N59="331",O59="331")),"x","")</f>
        <v/>
      </c>
      <c r="Q59" s="87" t="str">
        <f>IF(AND(B59='111'!$L$11,OR($N59=$Q$7,$O59=$Q$7)),"x","")</f>
        <v/>
      </c>
      <c r="R59" s="87" t="str">
        <f>IF(AND($N59=$Q$7,$B59&lt;'111'!$L$11),"x","")</f>
        <v/>
      </c>
      <c r="S59" s="87" t="str">
        <f>IF(AND($O59=$Q$7,$B59&lt;'111'!$L$11),"x","")</f>
        <v/>
      </c>
      <c r="T59" s="87" t="str">
        <f>IF(ISERROR(FIND('112'!$M$9,G59,1)),"",IF((AND(FIND('112'!$M$9,G59,1)&gt;=1,B59='112'!$K$9,OR($N59='112'!$I$6,$O59='112'!$I$6))),"x",""))</f>
        <v/>
      </c>
      <c r="U59" s="87" t="str">
        <f>IF(ISERROR(FIND('112'!$M$9,G59,1)),"",IF((AND(FIND('112'!$M$9,G59,1)&gt;=1,B59&lt;'112'!$K$9,$N59='112'!$I$6)),"x",""))</f>
        <v/>
      </c>
      <c r="V59" s="87" t="str">
        <f>IF(ISERROR(FIND('112'!$M$9,G59,1)),"",IF((AND(FIND('112'!$M$9,G59,1)&gt;=1,B59&lt;'112'!$K$9,$O59='112'!$I$6)),"x",""))</f>
        <v/>
      </c>
      <c r="W59" s="87" t="str">
        <f>IF(AND($B59&gt;='1331'!$I$9,$B59&lt;='1331'!$J$9,OR($N59=$W$7,$O59=$W$7)),"x","")</f>
        <v>x</v>
      </c>
      <c r="X59" s="87" t="str">
        <f>IF(AND($N59=$W$7,$B59&lt;'1331'!$I$9),"x","")</f>
        <v/>
      </c>
      <c r="Y59" s="87" t="str">
        <f>IF(AND($O59=$W$7,$B59&lt;'1331'!$I$9),"x","")</f>
        <v/>
      </c>
      <c r="Z59" s="87" t="str">
        <f>IF(AND('341-CT'!$H$9=H59,OR(LEFT(N59,3)=$Z$7,LEFT(O59,3)=$Z$7)),"x","")</f>
        <v/>
      </c>
      <c r="AA59" s="87" t="str">
        <f>IF(OR(TH!N59=TH!$AA$7,O59=TH!$AA$7),"x","")</f>
        <v/>
      </c>
      <c r="AB59" s="87" t="str">
        <f>IF(AND(OR(N59="131",O59="131"),H59='131-CT'!$H$9),"x","")</f>
        <v/>
      </c>
      <c r="AC59" s="87"/>
      <c r="AD59" s="87" t="str">
        <f>IF(AND(MONTH(E59)='IN-NX'!$J$5,'IN-NX'!$D$7=D59),"x","")</f>
        <v/>
      </c>
      <c r="AE59" s="87" t="str">
        <f>IF(AND(OR(LEFT(TH!N59,2)="15",LEFT(TH!O59,2)="15"),'152-CT'!$J$8=TH!F59),"x","")</f>
        <v/>
      </c>
      <c r="AF59" s="87" t="str">
        <f>IF(AND(OR(LEFT(TH!N59,2)="15",LEFT(TH!O59,2)="15"),'THE KHO'!$E$7=TH!F59),"x","")</f>
        <v/>
      </c>
      <c r="AG59" s="87" t="str">
        <f>IF(AND(N59="1521",MONTH(C59)='BK NL'!$M$11),"x","")</f>
        <v/>
      </c>
    </row>
    <row r="60" spans="1:33" s="404" customFormat="1" ht="15.75" customHeight="1">
      <c r="A60" s="399" t="str">
        <f>IF(B60&lt;&gt;"",IF(AND(B60&gt;=_TM1,B60&lt;=_TM2,OR(TH!N60="1111",TH!O60="1111")),TH!D60,""),"")</f>
        <v/>
      </c>
      <c r="B60" s="63">
        <f t="shared" si="1"/>
        <v>1</v>
      </c>
      <c r="C60" s="64">
        <v>42400</v>
      </c>
      <c r="D60" s="64" t="s">
        <v>600</v>
      </c>
      <c r="E60" s="64">
        <v>42369</v>
      </c>
      <c r="F60" s="67" t="s">
        <v>705</v>
      </c>
      <c r="G60" s="362" t="s">
        <v>725</v>
      </c>
      <c r="H60" s="75" t="s">
        <v>691</v>
      </c>
      <c r="I60" s="518"/>
      <c r="J60" s="518"/>
      <c r="K60" s="509"/>
      <c r="L60" s="518"/>
      <c r="M60" s="65">
        <v>4645000</v>
      </c>
      <c r="N60" s="66" t="s">
        <v>642</v>
      </c>
      <c r="O60" s="66" t="s">
        <v>8</v>
      </c>
      <c r="P60" s="87" t="str">
        <f>IF(AND('331-CT'!$E$7=TH!H60,OR(N60="331",O60="331")),"x","")</f>
        <v>x</v>
      </c>
      <c r="Q60" s="87" t="str">
        <f>IF(AND(B60='111'!$L$11,OR($N60=$Q$7,$O60=$Q$7)),"x","")</f>
        <v/>
      </c>
      <c r="R60" s="87" t="str">
        <f>IF(AND($N60=$Q$7,$B60&lt;'111'!$L$11),"x","")</f>
        <v/>
      </c>
      <c r="S60" s="87" t="str">
        <f>IF(AND($O60=$Q$7,$B60&lt;'111'!$L$11),"x","")</f>
        <v/>
      </c>
      <c r="T60" s="87" t="str">
        <f>IF(ISERROR(FIND('112'!$M$9,G60,1)),"",IF((AND(FIND('112'!$M$9,G60,1)&gt;=1,B60='112'!$K$9,OR($N60='112'!$I$6,$O60='112'!$I$6))),"x",""))</f>
        <v/>
      </c>
      <c r="U60" s="87" t="str">
        <f>IF(ISERROR(FIND('112'!$M$9,G60,1)),"",IF((AND(FIND('112'!$M$9,G60,1)&gt;=1,B60&lt;'112'!$K$9,$N60='112'!$I$6)),"x",""))</f>
        <v/>
      </c>
      <c r="V60" s="87" t="str">
        <f>IF(ISERROR(FIND('112'!$M$9,G60,1)),"",IF((AND(FIND('112'!$M$9,G60,1)&gt;=1,B60&lt;'112'!$K$9,$O60='112'!$I$6)),"x",""))</f>
        <v/>
      </c>
      <c r="W60" s="87" t="str">
        <f>IF(AND($B60&gt;='1331'!$I$9,$B60&lt;='1331'!$J$9,OR($N60=$W$7,$O60=$W$7)),"x","")</f>
        <v/>
      </c>
      <c r="X60" s="87" t="str">
        <f>IF(AND($N60=$W$7,$B60&lt;'1331'!$I$9),"x","")</f>
        <v/>
      </c>
      <c r="Y60" s="87" t="str">
        <f>IF(AND($O60=$W$7,$B60&lt;'1331'!$I$9),"x","")</f>
        <v/>
      </c>
      <c r="Z60" s="87" t="str">
        <f>IF(AND('341-CT'!$H$9=H60,OR(LEFT(N60,3)=$Z$7,LEFT(O60,3)=$Z$7)),"x","")</f>
        <v/>
      </c>
      <c r="AA60" s="87" t="str">
        <f>IF(OR(TH!N60=TH!$AA$7,O60=TH!$AA$7),"x","")</f>
        <v/>
      </c>
      <c r="AB60" s="87" t="str">
        <f>IF(AND(OR(N60="131",O60="131"),H60='131-CT'!$H$9),"x","")</f>
        <v/>
      </c>
      <c r="AC60" s="87"/>
      <c r="AD60" s="87" t="str">
        <f>IF(AND(MONTH(E60)='IN-NX'!$J$5,'IN-NX'!$D$7=D60),"x","")</f>
        <v/>
      </c>
      <c r="AE60" s="87" t="str">
        <f>IF(AND(OR(LEFT(TH!N60,2)="15",LEFT(TH!O60,2)="15"),'152-CT'!$J$8=TH!F60),"x","")</f>
        <v/>
      </c>
      <c r="AF60" s="87" t="str">
        <f>IF(AND(OR(LEFT(TH!N60,2)="15",LEFT(TH!O60,2)="15"),'THE KHO'!$E$7=TH!F60),"x","")</f>
        <v/>
      </c>
      <c r="AG60" s="87" t="str">
        <f>IF(AND(N60="1521",MONTH(C60)='BK NL'!$M$11),"x","")</f>
        <v/>
      </c>
    </row>
    <row r="61" spans="1:33" s="404" customFormat="1" ht="15.75" customHeight="1">
      <c r="A61" s="399" t="str">
        <f>IF(B61&lt;&gt;"",IF(AND(B61&gt;=_TM1,B61&lt;=_TM2,OR(TH!N61="1111",TH!O61="1111")),TH!D61,""),"")</f>
        <v/>
      </c>
      <c r="B61" s="63">
        <f t="shared" si="1"/>
        <v>1</v>
      </c>
      <c r="C61" s="64">
        <v>42400</v>
      </c>
      <c r="D61" s="64" t="s">
        <v>600</v>
      </c>
      <c r="E61" s="64">
        <v>42369</v>
      </c>
      <c r="F61" s="67" t="s">
        <v>705</v>
      </c>
      <c r="G61" s="362" t="s">
        <v>726</v>
      </c>
      <c r="H61" s="75" t="s">
        <v>691</v>
      </c>
      <c r="I61" s="518"/>
      <c r="J61" s="518"/>
      <c r="K61" s="509"/>
      <c r="L61" s="518"/>
      <c r="M61" s="65">
        <v>1300000</v>
      </c>
      <c r="N61" s="66" t="s">
        <v>642</v>
      </c>
      <c r="O61" s="66" t="s">
        <v>8</v>
      </c>
      <c r="P61" s="87" t="str">
        <f>IF(AND('331-CT'!$E$7=TH!H61,OR(N61="331",O61="331")),"x","")</f>
        <v>x</v>
      </c>
      <c r="Q61" s="87" t="str">
        <f>IF(AND(B61='111'!$L$11,OR($N61=$Q$7,$O61=$Q$7)),"x","")</f>
        <v/>
      </c>
      <c r="R61" s="87" t="str">
        <f>IF(AND($N61=$Q$7,$B61&lt;'111'!$L$11),"x","")</f>
        <v/>
      </c>
      <c r="S61" s="87" t="str">
        <f>IF(AND($O61=$Q$7,$B61&lt;'111'!$L$11),"x","")</f>
        <v/>
      </c>
      <c r="T61" s="87" t="str">
        <f>IF(ISERROR(FIND('112'!$M$9,G61,1)),"",IF((AND(FIND('112'!$M$9,G61,1)&gt;=1,B61='112'!$K$9,OR($N61='112'!$I$6,$O61='112'!$I$6))),"x",""))</f>
        <v/>
      </c>
      <c r="U61" s="87" t="str">
        <f>IF(ISERROR(FIND('112'!$M$9,G61,1)),"",IF((AND(FIND('112'!$M$9,G61,1)&gt;=1,B61&lt;'112'!$K$9,$N61='112'!$I$6)),"x",""))</f>
        <v/>
      </c>
      <c r="V61" s="87" t="str">
        <f>IF(ISERROR(FIND('112'!$M$9,G61,1)),"",IF((AND(FIND('112'!$M$9,G61,1)&gt;=1,B61&lt;'112'!$K$9,$O61='112'!$I$6)),"x",""))</f>
        <v/>
      </c>
      <c r="W61" s="87" t="str">
        <f>IF(AND($B61&gt;='1331'!$I$9,$B61&lt;='1331'!$J$9,OR($N61=$W$7,$O61=$W$7)),"x","")</f>
        <v/>
      </c>
      <c r="X61" s="87" t="str">
        <f>IF(AND($N61=$W$7,$B61&lt;'1331'!$I$9),"x","")</f>
        <v/>
      </c>
      <c r="Y61" s="87" t="str">
        <f>IF(AND($O61=$W$7,$B61&lt;'1331'!$I$9),"x","")</f>
        <v/>
      </c>
      <c r="Z61" s="87" t="str">
        <f>IF(AND('341-CT'!$H$9=H61,OR(LEFT(N61,3)=$Z$7,LEFT(O61,3)=$Z$7)),"x","")</f>
        <v/>
      </c>
      <c r="AA61" s="87" t="str">
        <f>IF(OR(TH!N61=TH!$AA$7,O61=TH!$AA$7),"x","")</f>
        <v/>
      </c>
      <c r="AB61" s="87" t="str">
        <f>IF(AND(OR(N61="131",O61="131"),H61='131-CT'!$H$9),"x","")</f>
        <v/>
      </c>
      <c r="AC61" s="87"/>
      <c r="AD61" s="87" t="str">
        <f>IF(AND(MONTH(E61)='IN-NX'!$J$5,'IN-NX'!$D$7=D61),"x","")</f>
        <v/>
      </c>
      <c r="AE61" s="87" t="str">
        <f>IF(AND(OR(LEFT(TH!N61,2)="15",LEFT(TH!O61,2)="15"),'152-CT'!$J$8=TH!F61),"x","")</f>
        <v/>
      </c>
      <c r="AF61" s="87" t="str">
        <f>IF(AND(OR(LEFT(TH!N61,2)="15",LEFT(TH!O61,2)="15"),'THE KHO'!$E$7=TH!F61),"x","")</f>
        <v/>
      </c>
      <c r="AG61" s="87" t="str">
        <f>IF(AND(N61="1521",MONTH(C61)='BK NL'!$M$11),"x","")</f>
        <v/>
      </c>
    </row>
    <row r="62" spans="1:33" s="404" customFormat="1" ht="15.75" customHeight="1">
      <c r="A62" s="399" t="str">
        <f>IF(B62&lt;&gt;"",IF(AND(B62&gt;=_TM1,B62&lt;=_TM2,OR(TH!N62="1111",TH!O62="1111")),TH!D62,""),"")</f>
        <v/>
      </c>
      <c r="B62" s="63">
        <f t="shared" si="1"/>
        <v>1</v>
      </c>
      <c r="C62" s="64">
        <v>42400</v>
      </c>
      <c r="D62" s="64" t="s">
        <v>600</v>
      </c>
      <c r="E62" s="64">
        <v>42380</v>
      </c>
      <c r="F62" s="67" t="s">
        <v>706</v>
      </c>
      <c r="G62" s="362" t="s">
        <v>727</v>
      </c>
      <c r="H62" s="75" t="s">
        <v>692</v>
      </c>
      <c r="I62" s="518"/>
      <c r="J62" s="518"/>
      <c r="K62" s="509"/>
      <c r="L62" s="518"/>
      <c r="M62" s="65">
        <v>2000000</v>
      </c>
      <c r="N62" s="66" t="s">
        <v>642</v>
      </c>
      <c r="O62" s="66" t="s">
        <v>8</v>
      </c>
      <c r="P62" s="87" t="str">
        <f>IF(AND('331-CT'!$E$7=TH!H62,OR(N62="331",O62="331")),"x","")</f>
        <v/>
      </c>
      <c r="Q62" s="87" t="str">
        <f>IF(AND(B62='111'!$L$11,OR($N62=$Q$7,$O62=$Q$7)),"x","")</f>
        <v/>
      </c>
      <c r="R62" s="87" t="str">
        <f>IF(AND($N62=$Q$7,$B62&lt;'111'!$L$11),"x","")</f>
        <v/>
      </c>
      <c r="S62" s="87" t="str">
        <f>IF(AND($O62=$Q$7,$B62&lt;'111'!$L$11),"x","")</f>
        <v/>
      </c>
      <c r="T62" s="87" t="str">
        <f>IF(ISERROR(FIND('112'!$M$9,G62,1)),"",IF((AND(FIND('112'!$M$9,G62,1)&gt;=1,B62='112'!$K$9,OR($N62='112'!$I$6,$O62='112'!$I$6))),"x",""))</f>
        <v/>
      </c>
      <c r="U62" s="87" t="str">
        <f>IF(ISERROR(FIND('112'!$M$9,G62,1)),"",IF((AND(FIND('112'!$M$9,G62,1)&gt;=1,B62&lt;'112'!$K$9,$N62='112'!$I$6)),"x",""))</f>
        <v/>
      </c>
      <c r="V62" s="87" t="str">
        <f>IF(ISERROR(FIND('112'!$M$9,G62,1)),"",IF((AND(FIND('112'!$M$9,G62,1)&gt;=1,B62&lt;'112'!$K$9,$O62='112'!$I$6)),"x",""))</f>
        <v/>
      </c>
      <c r="W62" s="87" t="str">
        <f>IF(AND($B62&gt;='1331'!$I$9,$B62&lt;='1331'!$J$9,OR($N62=$W$7,$O62=$W$7)),"x","")</f>
        <v/>
      </c>
      <c r="X62" s="87" t="str">
        <f>IF(AND($N62=$W$7,$B62&lt;'1331'!$I$9),"x","")</f>
        <v/>
      </c>
      <c r="Y62" s="87" t="str">
        <f>IF(AND($O62=$W$7,$B62&lt;'1331'!$I$9),"x","")</f>
        <v/>
      </c>
      <c r="Z62" s="87" t="str">
        <f>IF(AND('341-CT'!$H$9=H62,OR(LEFT(N62,3)=$Z$7,LEFT(O62,3)=$Z$7)),"x","")</f>
        <v/>
      </c>
      <c r="AA62" s="87" t="str">
        <f>IF(OR(TH!N62=TH!$AA$7,O62=TH!$AA$7),"x","")</f>
        <v/>
      </c>
      <c r="AB62" s="87" t="str">
        <f>IF(AND(OR(N62="131",O62="131"),H62='131-CT'!$H$9),"x","")</f>
        <v/>
      </c>
      <c r="AC62" s="87"/>
      <c r="AD62" s="87" t="str">
        <f>IF(AND(MONTH(E62)='IN-NX'!$J$5,'IN-NX'!$D$7=D62),"x","")</f>
        <v/>
      </c>
      <c r="AE62" s="87" t="str">
        <f>IF(AND(OR(LEFT(TH!N62,2)="15",LEFT(TH!O62,2)="15"),'152-CT'!$J$8=TH!F62),"x","")</f>
        <v/>
      </c>
      <c r="AF62" s="87" t="str">
        <f>IF(AND(OR(LEFT(TH!N62,2)="15",LEFT(TH!O62,2)="15"),'THE KHO'!$E$7=TH!F62),"x","")</f>
        <v/>
      </c>
      <c r="AG62" s="87" t="str">
        <f>IF(AND(N62="1521",MONTH(C62)='BK NL'!$M$11),"x","")</f>
        <v/>
      </c>
    </row>
    <row r="63" spans="1:33" s="404" customFormat="1" ht="15.75" customHeight="1">
      <c r="A63" s="399" t="str">
        <f>IF(B63&lt;&gt;"",IF(AND(B63&gt;=_TM1,B63&lt;=_TM2,OR(TH!N63="1111",TH!O63="1111")),TH!D63,""),"")</f>
        <v/>
      </c>
      <c r="B63" s="63">
        <f t="shared" si="1"/>
        <v>1</v>
      </c>
      <c r="C63" s="64">
        <v>42400</v>
      </c>
      <c r="D63" s="64" t="s">
        <v>600</v>
      </c>
      <c r="E63" s="64">
        <v>42380</v>
      </c>
      <c r="F63" s="67" t="s">
        <v>707</v>
      </c>
      <c r="G63" s="362" t="s">
        <v>727</v>
      </c>
      <c r="H63" s="75" t="s">
        <v>692</v>
      </c>
      <c r="I63" s="518"/>
      <c r="J63" s="518"/>
      <c r="K63" s="509"/>
      <c r="L63" s="518"/>
      <c r="M63" s="65">
        <v>200000</v>
      </c>
      <c r="N63" s="66" t="s">
        <v>9</v>
      </c>
      <c r="O63" s="66" t="s">
        <v>8</v>
      </c>
      <c r="P63" s="87" t="str">
        <f>IF(AND('331-CT'!$E$7=TH!H63,OR(N63="331",O63="331")),"x","")</f>
        <v/>
      </c>
      <c r="Q63" s="87" t="str">
        <f>IF(AND(B63='111'!$L$11,OR($N63=$Q$7,$O63=$Q$7)),"x","")</f>
        <v/>
      </c>
      <c r="R63" s="87" t="str">
        <f>IF(AND($N63=$Q$7,$B63&lt;'111'!$L$11),"x","")</f>
        <v/>
      </c>
      <c r="S63" s="87" t="str">
        <f>IF(AND($O63=$Q$7,$B63&lt;'111'!$L$11),"x","")</f>
        <v/>
      </c>
      <c r="T63" s="87" t="str">
        <f>IF(ISERROR(FIND('112'!$M$9,G63,1)),"",IF((AND(FIND('112'!$M$9,G63,1)&gt;=1,B63='112'!$K$9,OR($N63='112'!$I$6,$O63='112'!$I$6))),"x",""))</f>
        <v/>
      </c>
      <c r="U63" s="87" t="str">
        <f>IF(ISERROR(FIND('112'!$M$9,G63,1)),"",IF((AND(FIND('112'!$M$9,G63,1)&gt;=1,B63&lt;'112'!$K$9,$N63='112'!$I$6)),"x",""))</f>
        <v/>
      </c>
      <c r="V63" s="87" t="str">
        <f>IF(ISERROR(FIND('112'!$M$9,G63,1)),"",IF((AND(FIND('112'!$M$9,G63,1)&gt;=1,B63&lt;'112'!$K$9,$O63='112'!$I$6)),"x",""))</f>
        <v/>
      </c>
      <c r="W63" s="87" t="str">
        <f>IF(AND($B63&gt;='1331'!$I$9,$B63&lt;='1331'!$J$9,OR($N63=$W$7,$O63=$W$7)),"x","")</f>
        <v>x</v>
      </c>
      <c r="X63" s="87" t="str">
        <f>IF(AND($N63=$W$7,$B63&lt;'1331'!$I$9),"x","")</f>
        <v/>
      </c>
      <c r="Y63" s="87" t="str">
        <f>IF(AND($O63=$W$7,$B63&lt;'1331'!$I$9),"x","")</f>
        <v/>
      </c>
      <c r="Z63" s="87" t="str">
        <f>IF(AND('341-CT'!$H$9=H63,OR(LEFT(N63,3)=$Z$7,LEFT(O63,3)=$Z$7)),"x","")</f>
        <v/>
      </c>
      <c r="AA63" s="87" t="str">
        <f>IF(OR(TH!N63=TH!$AA$7,O63=TH!$AA$7),"x","")</f>
        <v/>
      </c>
      <c r="AB63" s="87" t="str">
        <f>IF(AND(OR(N63="131",O63="131"),H63='131-CT'!$H$9),"x","")</f>
        <v/>
      </c>
      <c r="AC63" s="87"/>
      <c r="AD63" s="87" t="str">
        <f>IF(AND(MONTH(E63)='IN-NX'!$J$5,'IN-NX'!$D$7=D63),"x","")</f>
        <v/>
      </c>
      <c r="AE63" s="87" t="str">
        <f>IF(AND(OR(LEFT(TH!N63,2)="15",LEFT(TH!O63,2)="15"),'152-CT'!$J$8=TH!F63),"x","")</f>
        <v/>
      </c>
      <c r="AF63" s="87" t="str">
        <f>IF(AND(OR(LEFT(TH!N63,2)="15",LEFT(TH!O63,2)="15"),'THE KHO'!$E$7=TH!F63),"x","")</f>
        <v/>
      </c>
      <c r="AG63" s="87" t="str">
        <f>IF(AND(N63="1521",MONTH(C63)='BK NL'!$M$11),"x","")</f>
        <v/>
      </c>
    </row>
    <row r="64" spans="1:33" s="404" customFormat="1" ht="15.75" customHeight="1">
      <c r="A64" s="399" t="str">
        <f>IF(B64&lt;&gt;"",IF(AND(B64&gt;=_TM1,B64&lt;=_TM2,OR(TH!N64="1111",TH!O64="1111")),TH!D64,""),"")</f>
        <v/>
      </c>
      <c r="B64" s="63">
        <f t="shared" si="1"/>
        <v>1</v>
      </c>
      <c r="C64" s="64">
        <v>42400</v>
      </c>
      <c r="D64" s="64" t="s">
        <v>600</v>
      </c>
      <c r="E64" s="64">
        <v>42381</v>
      </c>
      <c r="F64" s="67" t="s">
        <v>706</v>
      </c>
      <c r="G64" s="362" t="s">
        <v>728</v>
      </c>
      <c r="H64" s="75" t="s">
        <v>692</v>
      </c>
      <c r="I64" s="518"/>
      <c r="J64" s="518"/>
      <c r="K64" s="509"/>
      <c r="L64" s="518"/>
      <c r="M64" s="65">
        <v>2000000</v>
      </c>
      <c r="N64" s="66" t="s">
        <v>642</v>
      </c>
      <c r="O64" s="66" t="s">
        <v>8</v>
      </c>
      <c r="P64" s="87" t="str">
        <f>IF(AND('331-CT'!$E$7=TH!H64,OR(N64="331",O64="331")),"x","")</f>
        <v/>
      </c>
      <c r="Q64" s="87" t="str">
        <f>IF(AND(B64='111'!$L$11,OR($N64=$Q$7,$O64=$Q$7)),"x","")</f>
        <v/>
      </c>
      <c r="R64" s="87" t="str">
        <f>IF(AND($N64=$Q$7,$B64&lt;'111'!$L$11),"x","")</f>
        <v/>
      </c>
      <c r="S64" s="87" t="str">
        <f>IF(AND($O64=$Q$7,$B64&lt;'111'!$L$11),"x","")</f>
        <v/>
      </c>
      <c r="T64" s="87" t="str">
        <f>IF(ISERROR(FIND('112'!$M$9,G64,1)),"",IF((AND(FIND('112'!$M$9,G64,1)&gt;=1,B64='112'!$K$9,OR($N64='112'!$I$6,$O64='112'!$I$6))),"x",""))</f>
        <v/>
      </c>
      <c r="U64" s="87" t="str">
        <f>IF(ISERROR(FIND('112'!$M$9,G64,1)),"",IF((AND(FIND('112'!$M$9,G64,1)&gt;=1,B64&lt;'112'!$K$9,$N64='112'!$I$6)),"x",""))</f>
        <v/>
      </c>
      <c r="V64" s="87" t="str">
        <f>IF(ISERROR(FIND('112'!$M$9,G64,1)),"",IF((AND(FIND('112'!$M$9,G64,1)&gt;=1,B64&lt;'112'!$K$9,$O64='112'!$I$6)),"x",""))</f>
        <v/>
      </c>
      <c r="W64" s="87" t="str">
        <f>IF(AND($B64&gt;='1331'!$I$9,$B64&lt;='1331'!$J$9,OR($N64=$W$7,$O64=$W$7)),"x","")</f>
        <v/>
      </c>
      <c r="X64" s="87" t="str">
        <f>IF(AND($N64=$W$7,$B64&lt;'1331'!$I$9),"x","")</f>
        <v/>
      </c>
      <c r="Y64" s="87" t="str">
        <f>IF(AND($O64=$W$7,$B64&lt;'1331'!$I$9),"x","")</f>
        <v/>
      </c>
      <c r="Z64" s="87" t="str">
        <f>IF(AND('341-CT'!$H$9=H64,OR(LEFT(N64,3)=$Z$7,LEFT(O64,3)=$Z$7)),"x","")</f>
        <v/>
      </c>
      <c r="AA64" s="87" t="str">
        <f>IF(OR(TH!N64=TH!$AA$7,O64=TH!$AA$7),"x","")</f>
        <v/>
      </c>
      <c r="AB64" s="87" t="str">
        <f>IF(AND(OR(N64="131",O64="131"),H64='131-CT'!$H$9),"x","")</f>
        <v/>
      </c>
      <c r="AC64" s="87"/>
      <c r="AD64" s="87" t="str">
        <f>IF(AND(MONTH(E64)='IN-NX'!$J$5,'IN-NX'!$D$7=D64),"x","")</f>
        <v/>
      </c>
      <c r="AE64" s="87" t="str">
        <f>IF(AND(OR(LEFT(TH!N64,2)="15",LEFT(TH!O64,2)="15"),'152-CT'!$J$8=TH!F64),"x","")</f>
        <v/>
      </c>
      <c r="AF64" s="87" t="str">
        <f>IF(AND(OR(LEFT(TH!N64,2)="15",LEFT(TH!O64,2)="15"),'THE KHO'!$E$7=TH!F64),"x","")</f>
        <v/>
      </c>
      <c r="AG64" s="87" t="str">
        <f>IF(AND(N64="1521",MONTH(C64)='BK NL'!$M$11),"x","")</f>
        <v/>
      </c>
    </row>
    <row r="65" spans="1:33" s="404" customFormat="1" ht="15.75" customHeight="1">
      <c r="A65" s="399" t="str">
        <f>IF(B65&lt;&gt;"",IF(AND(B65&gt;=_TM1,B65&lt;=_TM2,OR(TH!N65="1111",TH!O65="1111")),TH!D65,""),"")</f>
        <v/>
      </c>
      <c r="B65" s="63">
        <f t="shared" si="1"/>
        <v>1</v>
      </c>
      <c r="C65" s="64">
        <v>42400</v>
      </c>
      <c r="D65" s="64" t="s">
        <v>600</v>
      </c>
      <c r="E65" s="64">
        <v>42381</v>
      </c>
      <c r="F65" s="67" t="s">
        <v>707</v>
      </c>
      <c r="G65" s="362" t="s">
        <v>728</v>
      </c>
      <c r="H65" s="75" t="s">
        <v>692</v>
      </c>
      <c r="I65" s="518"/>
      <c r="J65" s="518"/>
      <c r="K65" s="509"/>
      <c r="L65" s="518"/>
      <c r="M65" s="65">
        <v>200000</v>
      </c>
      <c r="N65" s="66" t="s">
        <v>9</v>
      </c>
      <c r="O65" s="66" t="s">
        <v>8</v>
      </c>
      <c r="P65" s="87" t="str">
        <f>IF(AND('331-CT'!$E$7=TH!H65,OR(N65="331",O65="331")),"x","")</f>
        <v/>
      </c>
      <c r="Q65" s="87" t="str">
        <f>IF(AND(B65='111'!$L$11,OR($N65=$Q$7,$O65=$Q$7)),"x","")</f>
        <v/>
      </c>
      <c r="R65" s="87" t="str">
        <f>IF(AND($N65=$Q$7,$B65&lt;'111'!$L$11),"x","")</f>
        <v/>
      </c>
      <c r="S65" s="87" t="str">
        <f>IF(AND($O65=$Q$7,$B65&lt;'111'!$L$11),"x","")</f>
        <v/>
      </c>
      <c r="T65" s="87" t="str">
        <f>IF(ISERROR(FIND('112'!$M$9,G65,1)),"",IF((AND(FIND('112'!$M$9,G65,1)&gt;=1,B65='112'!$K$9,OR($N65='112'!$I$6,$O65='112'!$I$6))),"x",""))</f>
        <v/>
      </c>
      <c r="U65" s="87" t="str">
        <f>IF(ISERROR(FIND('112'!$M$9,G65,1)),"",IF((AND(FIND('112'!$M$9,G65,1)&gt;=1,B65&lt;'112'!$K$9,$N65='112'!$I$6)),"x",""))</f>
        <v/>
      </c>
      <c r="V65" s="87" t="str">
        <f>IF(ISERROR(FIND('112'!$M$9,G65,1)),"",IF((AND(FIND('112'!$M$9,G65,1)&gt;=1,B65&lt;'112'!$K$9,$O65='112'!$I$6)),"x",""))</f>
        <v/>
      </c>
      <c r="W65" s="87" t="str">
        <f>IF(AND($B65&gt;='1331'!$I$9,$B65&lt;='1331'!$J$9,OR($N65=$W$7,$O65=$W$7)),"x","")</f>
        <v>x</v>
      </c>
      <c r="X65" s="87" t="str">
        <f>IF(AND($N65=$W$7,$B65&lt;'1331'!$I$9),"x","")</f>
        <v/>
      </c>
      <c r="Y65" s="87" t="str">
        <f>IF(AND($O65=$W$7,$B65&lt;'1331'!$I$9),"x","")</f>
        <v/>
      </c>
      <c r="Z65" s="87" t="str">
        <f>IF(AND('341-CT'!$H$9=H65,OR(LEFT(N65,3)=$Z$7,LEFT(O65,3)=$Z$7)),"x","")</f>
        <v/>
      </c>
      <c r="AA65" s="87" t="str">
        <f>IF(OR(TH!N65=TH!$AA$7,O65=TH!$AA$7),"x","")</f>
        <v/>
      </c>
      <c r="AB65" s="87" t="str">
        <f>IF(AND(OR(N65="131",O65="131"),H65='131-CT'!$H$9),"x","")</f>
        <v/>
      </c>
      <c r="AC65" s="87"/>
      <c r="AD65" s="87" t="str">
        <f>IF(AND(MONTH(E65)='IN-NX'!$J$5,'IN-NX'!$D$7=D65),"x","")</f>
        <v/>
      </c>
      <c r="AE65" s="87" t="str">
        <f>IF(AND(OR(LEFT(TH!N65,2)="15",LEFT(TH!O65,2)="15"),'152-CT'!$J$8=TH!F65),"x","")</f>
        <v/>
      </c>
      <c r="AF65" s="87" t="str">
        <f>IF(AND(OR(LEFT(TH!N65,2)="15",LEFT(TH!O65,2)="15"),'THE KHO'!$E$7=TH!F65),"x","")</f>
        <v/>
      </c>
      <c r="AG65" s="87" t="str">
        <f>IF(AND(N65="1521",MONTH(C65)='BK NL'!$M$11),"x","")</f>
        <v/>
      </c>
    </row>
    <row r="66" spans="1:33" s="404" customFormat="1" ht="15.75" customHeight="1">
      <c r="A66" s="399" t="str">
        <f>IF(B66&lt;&gt;"",IF(AND(B66&gt;=_TM1,B66&lt;=_TM2,OR(TH!N66="1111",TH!O66="1111")),TH!D66,""),"")</f>
        <v/>
      </c>
      <c r="B66" s="63">
        <f t="shared" si="1"/>
        <v>1</v>
      </c>
      <c r="C66" s="64">
        <v>42400</v>
      </c>
      <c r="D66" s="64" t="s">
        <v>600</v>
      </c>
      <c r="E66" s="64">
        <v>42394</v>
      </c>
      <c r="F66" s="67" t="s">
        <v>706</v>
      </c>
      <c r="G66" s="362" t="s">
        <v>729</v>
      </c>
      <c r="H66" s="75" t="s">
        <v>692</v>
      </c>
      <c r="I66" s="518"/>
      <c r="J66" s="518"/>
      <c r="K66" s="509"/>
      <c r="L66" s="518"/>
      <c r="M66" s="65">
        <v>1818182</v>
      </c>
      <c r="N66" s="66" t="s">
        <v>642</v>
      </c>
      <c r="O66" s="66" t="s">
        <v>8</v>
      </c>
      <c r="P66" s="87" t="str">
        <f>IF(AND('331-CT'!$E$7=TH!H66,OR(N66="331",O66="331")),"x","")</f>
        <v/>
      </c>
      <c r="Q66" s="87" t="str">
        <f>IF(AND(B66='111'!$L$11,OR($N66=$Q$7,$O66=$Q$7)),"x","")</f>
        <v/>
      </c>
      <c r="R66" s="87" t="str">
        <f>IF(AND($N66=$Q$7,$B66&lt;'111'!$L$11),"x","")</f>
        <v/>
      </c>
      <c r="S66" s="87" t="str">
        <f>IF(AND($O66=$Q$7,$B66&lt;'111'!$L$11),"x","")</f>
        <v/>
      </c>
      <c r="T66" s="87" t="str">
        <f>IF(ISERROR(FIND('112'!$M$9,G66,1)),"",IF((AND(FIND('112'!$M$9,G66,1)&gt;=1,B66='112'!$K$9,OR($N66='112'!$I$6,$O66='112'!$I$6))),"x",""))</f>
        <v/>
      </c>
      <c r="U66" s="87" t="str">
        <f>IF(ISERROR(FIND('112'!$M$9,G66,1)),"",IF((AND(FIND('112'!$M$9,G66,1)&gt;=1,B66&lt;'112'!$K$9,$N66='112'!$I$6)),"x",""))</f>
        <v/>
      </c>
      <c r="V66" s="87" t="str">
        <f>IF(ISERROR(FIND('112'!$M$9,G66,1)),"",IF((AND(FIND('112'!$M$9,G66,1)&gt;=1,B66&lt;'112'!$K$9,$O66='112'!$I$6)),"x",""))</f>
        <v/>
      </c>
      <c r="W66" s="87" t="str">
        <f>IF(AND($B66&gt;='1331'!$I$9,$B66&lt;='1331'!$J$9,OR($N66=$W$7,$O66=$W$7)),"x","")</f>
        <v/>
      </c>
      <c r="X66" s="87" t="str">
        <f>IF(AND($N66=$W$7,$B66&lt;'1331'!$I$9),"x","")</f>
        <v/>
      </c>
      <c r="Y66" s="87" t="str">
        <f>IF(AND($O66=$W$7,$B66&lt;'1331'!$I$9),"x","")</f>
        <v/>
      </c>
      <c r="Z66" s="87" t="str">
        <f>IF(AND('341-CT'!$H$9=H66,OR(LEFT(N66,3)=$Z$7,LEFT(O66,3)=$Z$7)),"x","")</f>
        <v/>
      </c>
      <c r="AA66" s="87" t="str">
        <f>IF(OR(TH!N66=TH!$AA$7,O66=TH!$AA$7),"x","")</f>
        <v/>
      </c>
      <c r="AB66" s="87" t="str">
        <f>IF(AND(OR(N66="131",O66="131"),H66='131-CT'!$H$9),"x","")</f>
        <v/>
      </c>
      <c r="AC66" s="87"/>
      <c r="AD66" s="87" t="str">
        <f>IF(AND(MONTH(E66)='IN-NX'!$J$5,'IN-NX'!$D$7=D66),"x","")</f>
        <v/>
      </c>
      <c r="AE66" s="87" t="str">
        <f>IF(AND(OR(LEFT(TH!N66,2)="15",LEFT(TH!O66,2)="15"),'152-CT'!$J$8=TH!F66),"x","")</f>
        <v/>
      </c>
      <c r="AF66" s="87" t="str">
        <f>IF(AND(OR(LEFT(TH!N66,2)="15",LEFT(TH!O66,2)="15"),'THE KHO'!$E$7=TH!F66),"x","")</f>
        <v/>
      </c>
      <c r="AG66" s="87" t="str">
        <f>IF(AND(N66="1521",MONTH(C66)='BK NL'!$M$11),"x","")</f>
        <v/>
      </c>
    </row>
    <row r="67" spans="1:33" s="404" customFormat="1" ht="15.75" customHeight="1">
      <c r="A67" s="399" t="str">
        <f>IF(B67&lt;&gt;"",IF(AND(B67&gt;=_TM1,B67&lt;=_TM2,OR(TH!N67="1111",TH!O67="1111")),TH!D67,""),"")</f>
        <v/>
      </c>
      <c r="B67" s="63">
        <f t="shared" si="1"/>
        <v>1</v>
      </c>
      <c r="C67" s="64">
        <v>42400</v>
      </c>
      <c r="D67" s="64" t="s">
        <v>600</v>
      </c>
      <c r="E67" s="64">
        <v>42394</v>
      </c>
      <c r="F67" s="67" t="s">
        <v>707</v>
      </c>
      <c r="G67" s="362" t="s">
        <v>729</v>
      </c>
      <c r="H67" s="75" t="s">
        <v>692</v>
      </c>
      <c r="I67" s="518"/>
      <c r="J67" s="518"/>
      <c r="K67" s="509"/>
      <c r="L67" s="518"/>
      <c r="M67" s="65">
        <v>181818</v>
      </c>
      <c r="N67" s="66" t="s">
        <v>9</v>
      </c>
      <c r="O67" s="66" t="s">
        <v>8</v>
      </c>
      <c r="P67" s="87" t="str">
        <f>IF(AND('331-CT'!$E$7=TH!H67,OR(N67="331",O67="331")),"x","")</f>
        <v/>
      </c>
      <c r="Q67" s="87" t="str">
        <f>IF(AND(B67='111'!$L$11,OR($N67=$Q$7,$O67=$Q$7)),"x","")</f>
        <v/>
      </c>
      <c r="R67" s="87" t="str">
        <f>IF(AND($N67=$Q$7,$B67&lt;'111'!$L$11),"x","")</f>
        <v/>
      </c>
      <c r="S67" s="87" t="str">
        <f>IF(AND($O67=$Q$7,$B67&lt;'111'!$L$11),"x","")</f>
        <v/>
      </c>
      <c r="T67" s="87" t="str">
        <f>IF(ISERROR(FIND('112'!$M$9,G67,1)),"",IF((AND(FIND('112'!$M$9,G67,1)&gt;=1,B67='112'!$K$9,OR($N67='112'!$I$6,$O67='112'!$I$6))),"x",""))</f>
        <v/>
      </c>
      <c r="U67" s="87" t="str">
        <f>IF(ISERROR(FIND('112'!$M$9,G67,1)),"",IF((AND(FIND('112'!$M$9,G67,1)&gt;=1,B67&lt;'112'!$K$9,$N67='112'!$I$6)),"x",""))</f>
        <v/>
      </c>
      <c r="V67" s="87" t="str">
        <f>IF(ISERROR(FIND('112'!$M$9,G67,1)),"",IF((AND(FIND('112'!$M$9,G67,1)&gt;=1,B67&lt;'112'!$K$9,$O67='112'!$I$6)),"x",""))</f>
        <v/>
      </c>
      <c r="W67" s="87" t="str">
        <f>IF(AND($B67&gt;='1331'!$I$9,$B67&lt;='1331'!$J$9,OR($N67=$W$7,$O67=$W$7)),"x","")</f>
        <v>x</v>
      </c>
      <c r="X67" s="87" t="str">
        <f>IF(AND($N67=$W$7,$B67&lt;'1331'!$I$9),"x","")</f>
        <v/>
      </c>
      <c r="Y67" s="87" t="str">
        <f>IF(AND($O67=$W$7,$B67&lt;'1331'!$I$9),"x","")</f>
        <v/>
      </c>
      <c r="Z67" s="87" t="str">
        <f>IF(AND('341-CT'!$H$9=H67,OR(LEFT(N67,3)=$Z$7,LEFT(O67,3)=$Z$7)),"x","")</f>
        <v/>
      </c>
      <c r="AA67" s="87" t="str">
        <f>IF(OR(TH!N67=TH!$AA$7,O67=TH!$AA$7),"x","")</f>
        <v/>
      </c>
      <c r="AB67" s="87" t="str">
        <f>IF(AND(OR(N67="131",O67="131"),H67='131-CT'!$H$9),"x","")</f>
        <v/>
      </c>
      <c r="AC67" s="87"/>
      <c r="AD67" s="87" t="str">
        <f>IF(AND(MONTH(E67)='IN-NX'!$J$5,'IN-NX'!$D$7=D67),"x","")</f>
        <v/>
      </c>
      <c r="AE67" s="87" t="str">
        <f>IF(AND(OR(LEFT(TH!N67,2)="15",LEFT(TH!O67,2)="15"),'152-CT'!$J$8=TH!F67),"x","")</f>
        <v/>
      </c>
      <c r="AF67" s="87" t="str">
        <f>IF(AND(OR(LEFT(TH!N67,2)="15",LEFT(TH!O67,2)="15"),'THE KHO'!$E$7=TH!F67),"x","")</f>
        <v/>
      </c>
      <c r="AG67" s="87" t="str">
        <f>IF(AND(N67="1521",MONTH(C67)='BK NL'!$M$11),"x","")</f>
        <v/>
      </c>
    </row>
    <row r="68" spans="1:33" s="404" customFormat="1" ht="15.75" customHeight="1">
      <c r="A68" s="399" t="str">
        <f>IF(B68&lt;&gt;"",IF(AND(B68&gt;=_TM1,B68&lt;=_TM2,OR(TH!N68="1111",TH!O68="1111")),TH!D68,""),"")</f>
        <v/>
      </c>
      <c r="B68" s="63">
        <f t="shared" si="1"/>
        <v>1</v>
      </c>
      <c r="C68" s="64">
        <v>42400</v>
      </c>
      <c r="D68" s="64" t="s">
        <v>600</v>
      </c>
      <c r="E68" s="64">
        <v>42398</v>
      </c>
      <c r="F68" s="67" t="s">
        <v>702</v>
      </c>
      <c r="G68" s="362" t="s">
        <v>730</v>
      </c>
      <c r="H68" s="75" t="s">
        <v>694</v>
      </c>
      <c r="I68" s="518"/>
      <c r="J68" s="518"/>
      <c r="K68" s="509"/>
      <c r="L68" s="518"/>
      <c r="M68" s="65">
        <v>11135000</v>
      </c>
      <c r="N68" s="66" t="s">
        <v>642</v>
      </c>
      <c r="O68" s="66" t="s">
        <v>8</v>
      </c>
      <c r="P68" s="87" t="str">
        <f>IF(AND('331-CT'!$E$7=TH!H68,OR(N68="331",O68="331")),"x","")</f>
        <v/>
      </c>
      <c r="Q68" s="87" t="str">
        <f>IF(AND(B68='111'!$L$11,OR($N68=$Q$7,$O68=$Q$7)),"x","")</f>
        <v/>
      </c>
      <c r="R68" s="87" t="str">
        <f>IF(AND($N68=$Q$7,$B68&lt;'111'!$L$11),"x","")</f>
        <v/>
      </c>
      <c r="S68" s="87" t="str">
        <f>IF(AND($O68=$Q$7,$B68&lt;'111'!$L$11),"x","")</f>
        <v/>
      </c>
      <c r="T68" s="87" t="str">
        <f>IF(ISERROR(FIND('112'!$M$9,G68,1)),"",IF((AND(FIND('112'!$M$9,G68,1)&gt;=1,B68='112'!$K$9,OR($N68='112'!$I$6,$O68='112'!$I$6))),"x",""))</f>
        <v/>
      </c>
      <c r="U68" s="87" t="str">
        <f>IF(ISERROR(FIND('112'!$M$9,G68,1)),"",IF((AND(FIND('112'!$M$9,G68,1)&gt;=1,B68&lt;'112'!$K$9,$N68='112'!$I$6)),"x",""))</f>
        <v/>
      </c>
      <c r="V68" s="87" t="str">
        <f>IF(ISERROR(FIND('112'!$M$9,G68,1)),"",IF((AND(FIND('112'!$M$9,G68,1)&gt;=1,B68&lt;'112'!$K$9,$O68='112'!$I$6)),"x",""))</f>
        <v/>
      </c>
      <c r="W68" s="87" t="str">
        <f>IF(AND($B68&gt;='1331'!$I$9,$B68&lt;='1331'!$J$9,OR($N68=$W$7,$O68=$W$7)),"x","")</f>
        <v/>
      </c>
      <c r="X68" s="87" t="str">
        <f>IF(AND($N68=$W$7,$B68&lt;'1331'!$I$9),"x","")</f>
        <v/>
      </c>
      <c r="Y68" s="87" t="str">
        <f>IF(AND($O68=$W$7,$B68&lt;'1331'!$I$9),"x","")</f>
        <v/>
      </c>
      <c r="Z68" s="87" t="str">
        <f>IF(AND('341-CT'!$H$9=H68,OR(LEFT(N68,3)=$Z$7,LEFT(O68,3)=$Z$7)),"x","")</f>
        <v/>
      </c>
      <c r="AA68" s="87" t="str">
        <f>IF(OR(TH!N68=TH!$AA$7,O68=TH!$AA$7),"x","")</f>
        <v/>
      </c>
      <c r="AB68" s="87" t="str">
        <f>IF(AND(OR(N68="131",O68="131"),H68='131-CT'!$H$9),"x","")</f>
        <v/>
      </c>
      <c r="AC68" s="87"/>
      <c r="AD68" s="87" t="str">
        <f>IF(AND(MONTH(E68)='IN-NX'!$J$5,'IN-NX'!$D$7=D68),"x","")</f>
        <v/>
      </c>
      <c r="AE68" s="87" t="str">
        <f>IF(AND(OR(LEFT(TH!N68,2)="15",LEFT(TH!O68,2)="15"),'152-CT'!$J$8=TH!F68),"x","")</f>
        <v/>
      </c>
      <c r="AF68" s="87" t="str">
        <f>IF(AND(OR(LEFT(TH!N68,2)="15",LEFT(TH!O68,2)="15"),'THE KHO'!$E$7=TH!F68),"x","")</f>
        <v/>
      </c>
      <c r="AG68" s="87" t="str">
        <f>IF(AND(N68="1521",MONTH(C68)='BK NL'!$M$11),"x","")</f>
        <v/>
      </c>
    </row>
    <row r="69" spans="1:33" s="404" customFormat="1" ht="15.75" customHeight="1">
      <c r="A69" s="399" t="str">
        <f>IF(B69&lt;&gt;"",IF(AND(B69&gt;=_TM1,B69&lt;=_TM2,OR(TH!N69="1111",TH!O69="1111")),TH!D69,""),"")</f>
        <v/>
      </c>
      <c r="B69" s="63">
        <f t="shared" si="1"/>
        <v>1</v>
      </c>
      <c r="C69" s="64">
        <v>42400</v>
      </c>
      <c r="D69" s="64" t="s">
        <v>600</v>
      </c>
      <c r="E69" s="64">
        <v>42398</v>
      </c>
      <c r="F69" s="67" t="s">
        <v>708</v>
      </c>
      <c r="G69" s="362" t="s">
        <v>731</v>
      </c>
      <c r="H69" s="75" t="s">
        <v>694</v>
      </c>
      <c r="I69" s="518"/>
      <c r="J69" s="518"/>
      <c r="K69" s="509"/>
      <c r="L69" s="518"/>
      <c r="M69" s="65">
        <v>5077560</v>
      </c>
      <c r="N69" s="68" t="s">
        <v>642</v>
      </c>
      <c r="O69" s="66" t="s">
        <v>8</v>
      </c>
      <c r="P69" s="87" t="str">
        <f>IF(AND('331-CT'!$E$7=TH!H69,OR(N69="331",O69="331")),"x","")</f>
        <v/>
      </c>
      <c r="Q69" s="87" t="str">
        <f>IF(AND(B69='111'!$L$11,OR($N69=$Q$7,$O69=$Q$7)),"x","")</f>
        <v/>
      </c>
      <c r="R69" s="87" t="str">
        <f>IF(AND($N69=$Q$7,$B69&lt;'111'!$L$11),"x","")</f>
        <v/>
      </c>
      <c r="S69" s="87" t="str">
        <f>IF(AND($O69=$Q$7,$B69&lt;'111'!$L$11),"x","")</f>
        <v/>
      </c>
      <c r="T69" s="87" t="str">
        <f>IF(ISERROR(FIND('112'!$M$9,G69,1)),"",IF((AND(FIND('112'!$M$9,G69,1)&gt;=1,B69='112'!$K$9,OR($N69='112'!$I$6,$O69='112'!$I$6))),"x",""))</f>
        <v/>
      </c>
      <c r="U69" s="87" t="str">
        <f>IF(ISERROR(FIND('112'!$M$9,G69,1)),"",IF((AND(FIND('112'!$M$9,G69,1)&gt;=1,B69&lt;'112'!$K$9,$N69='112'!$I$6)),"x",""))</f>
        <v/>
      </c>
      <c r="V69" s="87" t="str">
        <f>IF(ISERROR(FIND('112'!$M$9,G69,1)),"",IF((AND(FIND('112'!$M$9,G69,1)&gt;=1,B69&lt;'112'!$K$9,$O69='112'!$I$6)),"x",""))</f>
        <v/>
      </c>
      <c r="W69" s="87" t="str">
        <f>IF(AND($B69&gt;='1331'!$I$9,$B69&lt;='1331'!$J$9,OR($N69=$W$7,$O69=$W$7)),"x","")</f>
        <v/>
      </c>
      <c r="X69" s="87" t="str">
        <f>IF(AND($N69=$W$7,$B69&lt;'1331'!$I$9),"x","")</f>
        <v/>
      </c>
      <c r="Y69" s="87" t="str">
        <f>IF(AND($O69=$W$7,$B69&lt;'1331'!$I$9),"x","")</f>
        <v/>
      </c>
      <c r="Z69" s="87" t="str">
        <f>IF(AND('341-CT'!$H$9=H69,OR(LEFT(N69,3)=$Z$7,LEFT(O69,3)=$Z$7)),"x","")</f>
        <v/>
      </c>
      <c r="AA69" s="87" t="str">
        <f>IF(OR(TH!N69=TH!$AA$7,O69=TH!$AA$7),"x","")</f>
        <v/>
      </c>
      <c r="AB69" s="87" t="str">
        <f>IF(AND(OR(N69="131",O69="131"),H69='131-CT'!$H$9),"x","")</f>
        <v/>
      </c>
      <c r="AC69" s="87"/>
      <c r="AD69" s="87" t="str">
        <f>IF(AND(MONTH(E69)='IN-NX'!$J$5,'IN-NX'!$D$7=D69),"x","")</f>
        <v/>
      </c>
      <c r="AE69" s="87" t="str">
        <f>IF(AND(OR(LEFT(TH!N69,2)="15",LEFT(TH!O69,2)="15"),'152-CT'!$J$8=TH!F69),"x","")</f>
        <v/>
      </c>
      <c r="AF69" s="87" t="str">
        <f>IF(AND(OR(LEFT(TH!N69,2)="15",LEFT(TH!O69,2)="15"),'THE KHO'!$E$7=TH!F69),"x","")</f>
        <v/>
      </c>
      <c r="AG69" s="87" t="str">
        <f>IF(AND(N69="1521",MONTH(C69)='BK NL'!$M$11),"x","")</f>
        <v/>
      </c>
    </row>
    <row r="70" spans="1:33" s="404" customFormat="1" ht="15.75" customHeight="1">
      <c r="A70" s="399" t="str">
        <f>IF(B70&lt;&gt;"",IF(AND(B70&gt;=_TM1,B70&lt;=_TM2,OR(TH!N70="1111",TH!O70="1111")),TH!D70,""),"")</f>
        <v/>
      </c>
      <c r="B70" s="63">
        <f t="shared" si="1"/>
        <v>1</v>
      </c>
      <c r="C70" s="64">
        <v>42400</v>
      </c>
      <c r="D70" s="64" t="s">
        <v>600</v>
      </c>
      <c r="E70" s="64">
        <v>42398</v>
      </c>
      <c r="F70" s="67" t="s">
        <v>709</v>
      </c>
      <c r="G70" s="362" t="s">
        <v>731</v>
      </c>
      <c r="H70" s="75" t="s">
        <v>694</v>
      </c>
      <c r="I70" s="518"/>
      <c r="J70" s="518"/>
      <c r="K70" s="509"/>
      <c r="L70" s="518"/>
      <c r="M70" s="65">
        <v>507756</v>
      </c>
      <c r="N70" s="66" t="s">
        <v>9</v>
      </c>
      <c r="O70" s="66" t="s">
        <v>8</v>
      </c>
      <c r="P70" s="87" t="str">
        <f>IF(AND('331-CT'!$E$7=TH!H70,OR(N70="331",O70="331")),"x","")</f>
        <v/>
      </c>
      <c r="Q70" s="87" t="str">
        <f>IF(AND(B70='111'!$L$11,OR($N70=$Q$7,$O70=$Q$7)),"x","")</f>
        <v/>
      </c>
      <c r="R70" s="87" t="str">
        <f>IF(AND($N70=$Q$7,$B70&lt;'111'!$L$11),"x","")</f>
        <v/>
      </c>
      <c r="S70" s="87" t="str">
        <f>IF(AND($O70=$Q$7,$B70&lt;'111'!$L$11),"x","")</f>
        <v/>
      </c>
      <c r="T70" s="87" t="str">
        <f>IF(ISERROR(FIND('112'!$M$9,G70,1)),"",IF((AND(FIND('112'!$M$9,G70,1)&gt;=1,B70='112'!$K$9,OR($N70='112'!$I$6,$O70='112'!$I$6))),"x",""))</f>
        <v/>
      </c>
      <c r="U70" s="87" t="str">
        <f>IF(ISERROR(FIND('112'!$M$9,G70,1)),"",IF((AND(FIND('112'!$M$9,G70,1)&gt;=1,B70&lt;'112'!$K$9,$N70='112'!$I$6)),"x",""))</f>
        <v/>
      </c>
      <c r="V70" s="87" t="str">
        <f>IF(ISERROR(FIND('112'!$M$9,G70,1)),"",IF((AND(FIND('112'!$M$9,G70,1)&gt;=1,B70&lt;'112'!$K$9,$O70='112'!$I$6)),"x",""))</f>
        <v/>
      </c>
      <c r="W70" s="87" t="str">
        <f>IF(AND($B70&gt;='1331'!$I$9,$B70&lt;='1331'!$J$9,OR($N70=$W$7,$O70=$W$7)),"x","")</f>
        <v>x</v>
      </c>
      <c r="X70" s="87" t="str">
        <f>IF(AND($N70=$W$7,$B70&lt;'1331'!$I$9),"x","")</f>
        <v/>
      </c>
      <c r="Y70" s="87" t="str">
        <f>IF(AND($O70=$W$7,$B70&lt;'1331'!$I$9),"x","")</f>
        <v/>
      </c>
      <c r="Z70" s="87" t="str">
        <f>IF(AND('341-CT'!$H$9=H70,OR(LEFT(N70,3)=$Z$7,LEFT(O70,3)=$Z$7)),"x","")</f>
        <v/>
      </c>
      <c r="AA70" s="87" t="str">
        <f>IF(OR(TH!N70=TH!$AA$7,O70=TH!$AA$7),"x","")</f>
        <v/>
      </c>
      <c r="AB70" s="87" t="str">
        <f>IF(AND(OR(N70="131",O70="131"),H70='131-CT'!$H$9),"x","")</f>
        <v/>
      </c>
      <c r="AC70" s="87"/>
      <c r="AD70" s="87" t="str">
        <f>IF(AND(MONTH(E70)='IN-NX'!$J$5,'IN-NX'!$D$7=D70),"x","")</f>
        <v/>
      </c>
      <c r="AE70" s="87" t="str">
        <f>IF(AND(OR(LEFT(TH!N70,2)="15",LEFT(TH!O70,2)="15"),'152-CT'!$J$8=TH!F70),"x","")</f>
        <v/>
      </c>
      <c r="AF70" s="87" t="str">
        <f>IF(AND(OR(LEFT(TH!N70,2)="15",LEFT(TH!O70,2)="15"),'THE KHO'!$E$7=TH!F70),"x","")</f>
        <v/>
      </c>
      <c r="AG70" s="87" t="str">
        <f>IF(AND(N70="1521",MONTH(C70)='BK NL'!$M$11),"x","")</f>
        <v/>
      </c>
    </row>
    <row r="71" spans="1:33" s="404" customFormat="1" ht="15.75" customHeight="1">
      <c r="A71" s="399" t="str">
        <f>IF(B71&lt;&gt;"",IF(AND(B71&gt;=_TM1,B71&lt;=_TM2,OR(TH!N71="1111",TH!O71="1111")),TH!D71,""),"")</f>
        <v/>
      </c>
      <c r="B71" s="63">
        <f t="shared" si="1"/>
        <v>1</v>
      </c>
      <c r="C71" s="64">
        <v>42400</v>
      </c>
      <c r="D71" s="64" t="s">
        <v>600</v>
      </c>
      <c r="E71" s="64">
        <v>42398</v>
      </c>
      <c r="F71" s="67" t="s">
        <v>702</v>
      </c>
      <c r="G71" s="362" t="s">
        <v>732</v>
      </c>
      <c r="H71" s="75" t="s">
        <v>694</v>
      </c>
      <c r="I71" s="518"/>
      <c r="J71" s="518"/>
      <c r="K71" s="509"/>
      <c r="L71" s="518"/>
      <c r="M71" s="65">
        <v>23383500</v>
      </c>
      <c r="N71" s="66" t="s">
        <v>642</v>
      </c>
      <c r="O71" s="66" t="s">
        <v>8</v>
      </c>
      <c r="P71" s="87" t="str">
        <f>IF(AND('331-CT'!$E$7=TH!H71,OR(N71="331",O71="331")),"x","")</f>
        <v/>
      </c>
      <c r="Q71" s="87" t="str">
        <f>IF(AND(B71='111'!$L$11,OR($N71=$Q$7,$O71=$Q$7)),"x","")</f>
        <v/>
      </c>
      <c r="R71" s="87" t="str">
        <f>IF(AND($N71=$Q$7,$B71&lt;'111'!$L$11),"x","")</f>
        <v/>
      </c>
      <c r="S71" s="87" t="str">
        <f>IF(AND($O71=$Q$7,$B71&lt;'111'!$L$11),"x","")</f>
        <v/>
      </c>
      <c r="T71" s="87" t="str">
        <f>IF(ISERROR(FIND('112'!$M$9,G71,1)),"",IF((AND(FIND('112'!$M$9,G71,1)&gt;=1,B71='112'!$K$9,OR($N71='112'!$I$6,$O71='112'!$I$6))),"x",""))</f>
        <v/>
      </c>
      <c r="U71" s="87" t="str">
        <f>IF(ISERROR(FIND('112'!$M$9,G71,1)),"",IF((AND(FIND('112'!$M$9,G71,1)&gt;=1,B71&lt;'112'!$K$9,$N71='112'!$I$6)),"x",""))</f>
        <v/>
      </c>
      <c r="V71" s="87" t="str">
        <f>IF(ISERROR(FIND('112'!$M$9,G71,1)),"",IF((AND(FIND('112'!$M$9,G71,1)&gt;=1,B71&lt;'112'!$K$9,$O71='112'!$I$6)),"x",""))</f>
        <v/>
      </c>
      <c r="W71" s="87" t="str">
        <f>IF(AND($B71&gt;='1331'!$I$9,$B71&lt;='1331'!$J$9,OR($N71=$W$7,$O71=$W$7)),"x","")</f>
        <v/>
      </c>
      <c r="X71" s="87" t="str">
        <f>IF(AND($N71=$W$7,$B71&lt;'1331'!$I$9),"x","")</f>
        <v/>
      </c>
      <c r="Y71" s="87" t="str">
        <f>IF(AND($O71=$W$7,$B71&lt;'1331'!$I$9),"x","")</f>
        <v/>
      </c>
      <c r="Z71" s="87" t="str">
        <f>IF(AND('341-CT'!$H$9=H71,OR(LEFT(N71,3)=$Z$7,LEFT(O71,3)=$Z$7)),"x","")</f>
        <v/>
      </c>
      <c r="AA71" s="87" t="str">
        <f>IF(OR(TH!N71=TH!$AA$7,O71=TH!$AA$7),"x","")</f>
        <v/>
      </c>
      <c r="AB71" s="87" t="str">
        <f>IF(AND(OR(N71="131",O71="131"),H71='131-CT'!$H$9),"x","")</f>
        <v/>
      </c>
      <c r="AC71" s="87"/>
      <c r="AD71" s="87" t="str">
        <f>IF(AND(MONTH(E71)='IN-NX'!$J$5,'IN-NX'!$D$7=D71),"x","")</f>
        <v/>
      </c>
      <c r="AE71" s="87" t="str">
        <f>IF(AND(OR(LEFT(TH!N71,2)="15",LEFT(TH!O71,2)="15"),'152-CT'!$J$8=TH!F71),"x","")</f>
        <v/>
      </c>
      <c r="AF71" s="87" t="str">
        <f>IF(AND(OR(LEFT(TH!N71,2)="15",LEFT(TH!O71,2)="15"),'THE KHO'!$E$7=TH!F71),"x","")</f>
        <v/>
      </c>
      <c r="AG71" s="87" t="str">
        <f>IF(AND(N71="1521",MONTH(C71)='BK NL'!$M$11),"x","")</f>
        <v/>
      </c>
    </row>
    <row r="72" spans="1:33" s="404" customFormat="1" ht="15.75" customHeight="1">
      <c r="A72" s="399" t="str">
        <f>IF(B72&lt;&gt;"",IF(AND(B72&gt;=_TM1,B72&lt;=_TM2,OR(TH!N72="1111",TH!O72="1111")),TH!D72,""),"")</f>
        <v/>
      </c>
      <c r="B72" s="63">
        <f t="shared" si="1"/>
        <v>1</v>
      </c>
      <c r="C72" s="64">
        <v>42400</v>
      </c>
      <c r="D72" s="64" t="s">
        <v>600</v>
      </c>
      <c r="E72" s="64">
        <v>42398</v>
      </c>
      <c r="F72" s="67" t="s">
        <v>703</v>
      </c>
      <c r="G72" s="362" t="s">
        <v>733</v>
      </c>
      <c r="H72" s="75" t="s">
        <v>694</v>
      </c>
      <c r="I72" s="518"/>
      <c r="J72" s="518"/>
      <c r="K72" s="509"/>
      <c r="L72" s="518"/>
      <c r="M72" s="65">
        <v>6413760</v>
      </c>
      <c r="N72" s="68" t="s">
        <v>642</v>
      </c>
      <c r="O72" s="66" t="s">
        <v>8</v>
      </c>
      <c r="P72" s="87" t="str">
        <f>IF(AND('331-CT'!$E$7=TH!H72,OR(N72="331",O72="331")),"x","")</f>
        <v/>
      </c>
      <c r="Q72" s="87" t="str">
        <f>IF(AND(B72='111'!$L$11,OR($N72=$Q$7,$O72=$Q$7)),"x","")</f>
        <v/>
      </c>
      <c r="R72" s="87" t="str">
        <f>IF(AND($N72=$Q$7,$B72&lt;'111'!$L$11),"x","")</f>
        <v/>
      </c>
      <c r="S72" s="87" t="str">
        <f>IF(AND($O72=$Q$7,$B72&lt;'111'!$L$11),"x","")</f>
        <v/>
      </c>
      <c r="T72" s="87" t="str">
        <f>IF(ISERROR(FIND('112'!$M$9,G72,1)),"",IF((AND(FIND('112'!$M$9,G72,1)&gt;=1,B72='112'!$K$9,OR($N72='112'!$I$6,$O72='112'!$I$6))),"x",""))</f>
        <v/>
      </c>
      <c r="U72" s="87" t="str">
        <f>IF(ISERROR(FIND('112'!$M$9,G72,1)),"",IF((AND(FIND('112'!$M$9,G72,1)&gt;=1,B72&lt;'112'!$K$9,$N72='112'!$I$6)),"x",""))</f>
        <v/>
      </c>
      <c r="V72" s="87" t="str">
        <f>IF(ISERROR(FIND('112'!$M$9,G72,1)),"",IF((AND(FIND('112'!$M$9,G72,1)&gt;=1,B72&lt;'112'!$K$9,$O72='112'!$I$6)),"x",""))</f>
        <v/>
      </c>
      <c r="W72" s="87" t="str">
        <f>IF(AND($B72&gt;='1331'!$I$9,$B72&lt;='1331'!$J$9,OR($N72=$W$7,$O72=$W$7)),"x","")</f>
        <v/>
      </c>
      <c r="X72" s="87" t="str">
        <f>IF(AND($N72=$W$7,$B72&lt;'1331'!$I$9),"x","")</f>
        <v/>
      </c>
      <c r="Y72" s="87" t="str">
        <f>IF(AND($O72=$W$7,$B72&lt;'1331'!$I$9),"x","")</f>
        <v/>
      </c>
      <c r="Z72" s="87" t="str">
        <f>IF(AND('341-CT'!$H$9=H72,OR(LEFT(N72,3)=$Z$7,LEFT(O72,3)=$Z$7)),"x","")</f>
        <v/>
      </c>
      <c r="AA72" s="87" t="str">
        <f>IF(OR(TH!N72=TH!$AA$7,O72=TH!$AA$7),"x","")</f>
        <v/>
      </c>
      <c r="AB72" s="87" t="str">
        <f>IF(AND(OR(N72="131",O72="131"),H72='131-CT'!$H$9),"x","")</f>
        <v/>
      </c>
      <c r="AC72" s="87"/>
      <c r="AD72" s="87" t="str">
        <f>IF(AND(MONTH(E72)='IN-NX'!$J$5,'IN-NX'!$D$7=D72),"x","")</f>
        <v/>
      </c>
      <c r="AE72" s="87" t="str">
        <f>IF(AND(OR(LEFT(TH!N72,2)="15",LEFT(TH!O72,2)="15"),'152-CT'!$J$8=TH!F72),"x","")</f>
        <v/>
      </c>
      <c r="AF72" s="87" t="str">
        <f>IF(AND(OR(LEFT(TH!N72,2)="15",LEFT(TH!O72,2)="15"),'THE KHO'!$E$7=TH!F72),"x","")</f>
        <v/>
      </c>
      <c r="AG72" s="87" t="str">
        <f>IF(AND(N72="1521",MONTH(C72)='BK NL'!$M$11),"x","")</f>
        <v/>
      </c>
    </row>
    <row r="73" spans="1:33" s="404" customFormat="1" ht="15.75" customHeight="1">
      <c r="A73" s="399" t="str">
        <f>IF(B73&lt;&gt;"",IF(AND(B73&gt;=_TM1,B73&lt;=_TM2,OR(TH!N73="1111",TH!O73="1111")),TH!D73,""),"")</f>
        <v/>
      </c>
      <c r="B73" s="63">
        <f t="shared" si="1"/>
        <v>1</v>
      </c>
      <c r="C73" s="64">
        <v>42400</v>
      </c>
      <c r="D73" s="64" t="s">
        <v>600</v>
      </c>
      <c r="E73" s="64">
        <v>42398</v>
      </c>
      <c r="F73" s="67" t="s">
        <v>704</v>
      </c>
      <c r="G73" s="362" t="s">
        <v>733</v>
      </c>
      <c r="H73" s="75" t="s">
        <v>694</v>
      </c>
      <c r="I73" s="518"/>
      <c r="J73" s="518"/>
      <c r="K73" s="509"/>
      <c r="L73" s="518"/>
      <c r="M73" s="65">
        <v>641376</v>
      </c>
      <c r="N73" s="68" t="s">
        <v>9</v>
      </c>
      <c r="O73" s="66" t="s">
        <v>8</v>
      </c>
      <c r="P73" s="87" t="str">
        <f>IF(AND('331-CT'!$E$7=TH!H73,OR(N73="331",O73="331")),"x","")</f>
        <v/>
      </c>
      <c r="Q73" s="87" t="str">
        <f>IF(AND(B73='111'!$L$11,OR($N73=$Q$7,$O73=$Q$7)),"x","")</f>
        <v/>
      </c>
      <c r="R73" s="87" t="str">
        <f>IF(AND($N73=$Q$7,$B73&lt;'111'!$L$11),"x","")</f>
        <v/>
      </c>
      <c r="S73" s="87" t="str">
        <f>IF(AND($O73=$Q$7,$B73&lt;'111'!$L$11),"x","")</f>
        <v/>
      </c>
      <c r="T73" s="87" t="str">
        <f>IF(ISERROR(FIND('112'!$M$9,G73,1)),"",IF((AND(FIND('112'!$M$9,G73,1)&gt;=1,B73='112'!$K$9,OR($N73='112'!$I$6,$O73='112'!$I$6))),"x",""))</f>
        <v/>
      </c>
      <c r="U73" s="87" t="str">
        <f>IF(ISERROR(FIND('112'!$M$9,G73,1)),"",IF((AND(FIND('112'!$M$9,G73,1)&gt;=1,B73&lt;'112'!$K$9,$N73='112'!$I$6)),"x",""))</f>
        <v/>
      </c>
      <c r="V73" s="87" t="str">
        <f>IF(ISERROR(FIND('112'!$M$9,G73,1)),"",IF((AND(FIND('112'!$M$9,G73,1)&gt;=1,B73&lt;'112'!$K$9,$O73='112'!$I$6)),"x",""))</f>
        <v/>
      </c>
      <c r="W73" s="87" t="str">
        <f>IF(AND($B73&gt;='1331'!$I$9,$B73&lt;='1331'!$J$9,OR($N73=$W$7,$O73=$W$7)),"x","")</f>
        <v>x</v>
      </c>
      <c r="X73" s="87" t="str">
        <f>IF(AND($N73=$W$7,$B73&lt;'1331'!$I$9),"x","")</f>
        <v/>
      </c>
      <c r="Y73" s="87" t="str">
        <f>IF(AND($O73=$W$7,$B73&lt;'1331'!$I$9),"x","")</f>
        <v/>
      </c>
      <c r="Z73" s="87" t="str">
        <f>IF(AND('341-CT'!$H$9=H73,OR(LEFT(N73,3)=$Z$7,LEFT(O73,3)=$Z$7)),"x","")</f>
        <v/>
      </c>
      <c r="AA73" s="87" t="str">
        <f>IF(OR(TH!N73=TH!$AA$7,O73=TH!$AA$7),"x","")</f>
        <v/>
      </c>
      <c r="AB73" s="87" t="str">
        <f>IF(AND(OR(N73="131",O73="131"),H73='131-CT'!$H$9),"x","")</f>
        <v/>
      </c>
      <c r="AC73" s="87"/>
      <c r="AD73" s="87" t="str">
        <f>IF(AND(MONTH(E73)='IN-NX'!$J$5,'IN-NX'!$D$7=D73),"x","")</f>
        <v/>
      </c>
      <c r="AE73" s="87" t="str">
        <f>IF(AND(OR(LEFT(TH!N73,2)="15",LEFT(TH!O73,2)="15"),'152-CT'!$J$8=TH!F73),"x","")</f>
        <v/>
      </c>
      <c r="AF73" s="87" t="str">
        <f>IF(AND(OR(LEFT(TH!N73,2)="15",LEFT(TH!O73,2)="15"),'THE KHO'!$E$7=TH!F73),"x","")</f>
        <v/>
      </c>
      <c r="AG73" s="87" t="str">
        <f>IF(AND(N73="1521",MONTH(C73)='BK NL'!$M$11),"x","")</f>
        <v/>
      </c>
    </row>
    <row r="74" spans="1:33" s="404" customFormat="1" ht="15.75" customHeight="1">
      <c r="A74" s="399" t="str">
        <f>IF(B74&lt;&gt;"",IF(AND(B74&gt;=_TM1,B74&lt;=_TM2,OR(TH!N74="1111",TH!O74="1111")),TH!D74,""),"")</f>
        <v/>
      </c>
      <c r="B74" s="63">
        <f t="shared" si="1"/>
        <v>1</v>
      </c>
      <c r="C74" s="64">
        <v>42400</v>
      </c>
      <c r="D74" s="64" t="s">
        <v>600</v>
      </c>
      <c r="E74" s="64">
        <v>42400</v>
      </c>
      <c r="F74" s="67" t="s">
        <v>706</v>
      </c>
      <c r="G74" s="362" t="s">
        <v>734</v>
      </c>
      <c r="H74" s="75" t="s">
        <v>692</v>
      </c>
      <c r="I74" s="518"/>
      <c r="J74" s="518"/>
      <c r="K74" s="509"/>
      <c r="L74" s="518"/>
      <c r="M74" s="65">
        <v>2000000</v>
      </c>
      <c r="N74" s="66" t="s">
        <v>642</v>
      </c>
      <c r="O74" s="66" t="s">
        <v>8</v>
      </c>
      <c r="P74" s="87" t="str">
        <f>IF(AND('331-CT'!$E$7=TH!H74,OR(N74="331",O74="331")),"x","")</f>
        <v/>
      </c>
      <c r="Q74" s="87" t="str">
        <f>IF(AND(B74='111'!$L$11,OR($N74=$Q$7,$O74=$Q$7)),"x","")</f>
        <v/>
      </c>
      <c r="R74" s="87" t="str">
        <f>IF(AND($N74=$Q$7,$B74&lt;'111'!$L$11),"x","")</f>
        <v/>
      </c>
      <c r="S74" s="87" t="str">
        <f>IF(AND($O74=$Q$7,$B74&lt;'111'!$L$11),"x","")</f>
        <v/>
      </c>
      <c r="T74" s="87" t="str">
        <f>IF(ISERROR(FIND('112'!$M$9,G74,1)),"",IF((AND(FIND('112'!$M$9,G74,1)&gt;=1,B74='112'!$K$9,OR($N74='112'!$I$6,$O74='112'!$I$6))),"x",""))</f>
        <v/>
      </c>
      <c r="U74" s="87" t="str">
        <f>IF(ISERROR(FIND('112'!$M$9,G74,1)),"",IF((AND(FIND('112'!$M$9,G74,1)&gt;=1,B74&lt;'112'!$K$9,$N74='112'!$I$6)),"x",""))</f>
        <v/>
      </c>
      <c r="V74" s="87" t="str">
        <f>IF(ISERROR(FIND('112'!$M$9,G74,1)),"",IF((AND(FIND('112'!$M$9,G74,1)&gt;=1,B74&lt;'112'!$K$9,$O74='112'!$I$6)),"x",""))</f>
        <v/>
      </c>
      <c r="W74" s="87" t="str">
        <f>IF(AND($B74&gt;='1331'!$I$9,$B74&lt;='1331'!$J$9,OR($N74=$W$7,$O74=$W$7)),"x","")</f>
        <v/>
      </c>
      <c r="X74" s="87" t="str">
        <f>IF(AND($N74=$W$7,$B74&lt;'1331'!$I$9),"x","")</f>
        <v/>
      </c>
      <c r="Y74" s="87" t="str">
        <f>IF(AND($O74=$W$7,$B74&lt;'1331'!$I$9),"x","")</f>
        <v/>
      </c>
      <c r="Z74" s="87" t="str">
        <f>IF(AND('341-CT'!$H$9=H74,OR(LEFT(N74,3)=$Z$7,LEFT(O74,3)=$Z$7)),"x","")</f>
        <v/>
      </c>
      <c r="AA74" s="87" t="str">
        <f>IF(OR(TH!N74=TH!$AA$7,O74=TH!$AA$7),"x","")</f>
        <v/>
      </c>
      <c r="AB74" s="87" t="str">
        <f>IF(AND(OR(N74="131",O74="131"),H74='131-CT'!$H$9),"x","")</f>
        <v/>
      </c>
      <c r="AC74" s="87"/>
      <c r="AD74" s="87" t="str">
        <f>IF(AND(MONTH(E74)='IN-NX'!$J$5,'IN-NX'!$D$7=D74),"x","")</f>
        <v/>
      </c>
      <c r="AE74" s="87" t="str">
        <f>IF(AND(OR(LEFT(TH!N74,2)="15",LEFT(TH!O74,2)="15"),'152-CT'!$J$8=TH!F74),"x","")</f>
        <v/>
      </c>
      <c r="AF74" s="87" t="str">
        <f>IF(AND(OR(LEFT(TH!N74,2)="15",LEFT(TH!O74,2)="15"),'THE KHO'!$E$7=TH!F74),"x","")</f>
        <v/>
      </c>
      <c r="AG74" s="87" t="str">
        <f>IF(AND(N74="1521",MONTH(C74)='BK NL'!$M$11),"x","")</f>
        <v/>
      </c>
    </row>
    <row r="75" spans="1:33" s="404" customFormat="1" ht="15.75" customHeight="1">
      <c r="A75" s="399" t="str">
        <f>IF(B75&lt;&gt;"",IF(AND(B75&gt;=_TM1,B75&lt;=_TM2,OR(TH!N75="1111",TH!O75="1111")),TH!D75,""),"")</f>
        <v/>
      </c>
      <c r="B75" s="63">
        <f t="shared" si="1"/>
        <v>1</v>
      </c>
      <c r="C75" s="64">
        <v>42400</v>
      </c>
      <c r="D75" s="64" t="s">
        <v>600</v>
      </c>
      <c r="E75" s="64">
        <v>42400</v>
      </c>
      <c r="F75" s="67" t="s">
        <v>707</v>
      </c>
      <c r="G75" s="362" t="s">
        <v>734</v>
      </c>
      <c r="H75" s="75" t="s">
        <v>692</v>
      </c>
      <c r="I75" s="518"/>
      <c r="J75" s="518"/>
      <c r="K75" s="509"/>
      <c r="L75" s="518"/>
      <c r="M75" s="65">
        <v>200000</v>
      </c>
      <c r="N75" s="66" t="s">
        <v>9</v>
      </c>
      <c r="O75" s="66" t="s">
        <v>8</v>
      </c>
      <c r="P75" s="87" t="str">
        <f>IF(AND('331-CT'!$E$7=TH!H75,OR(N75="331",O75="331")),"x","")</f>
        <v/>
      </c>
      <c r="Q75" s="87" t="str">
        <f>IF(AND(B75='111'!$L$11,OR($N75=$Q$7,$O75=$Q$7)),"x","")</f>
        <v/>
      </c>
      <c r="R75" s="87" t="str">
        <f>IF(AND($N75=$Q$7,$B75&lt;'111'!$L$11),"x","")</f>
        <v/>
      </c>
      <c r="S75" s="87" t="str">
        <f>IF(AND($O75=$Q$7,$B75&lt;'111'!$L$11),"x","")</f>
        <v/>
      </c>
      <c r="T75" s="87" t="str">
        <f>IF(ISERROR(FIND('112'!$M$9,G75,1)),"",IF((AND(FIND('112'!$M$9,G75,1)&gt;=1,B75='112'!$K$9,OR($N75='112'!$I$6,$O75='112'!$I$6))),"x",""))</f>
        <v/>
      </c>
      <c r="U75" s="87" t="str">
        <f>IF(ISERROR(FIND('112'!$M$9,G75,1)),"",IF((AND(FIND('112'!$M$9,G75,1)&gt;=1,B75&lt;'112'!$K$9,$N75='112'!$I$6)),"x",""))</f>
        <v/>
      </c>
      <c r="V75" s="87" t="str">
        <f>IF(ISERROR(FIND('112'!$M$9,G75,1)),"",IF((AND(FIND('112'!$M$9,G75,1)&gt;=1,B75&lt;'112'!$K$9,$O75='112'!$I$6)),"x",""))</f>
        <v/>
      </c>
      <c r="W75" s="87" t="str">
        <f>IF(AND($B75&gt;='1331'!$I$9,$B75&lt;='1331'!$J$9,OR($N75=$W$7,$O75=$W$7)),"x","")</f>
        <v>x</v>
      </c>
      <c r="X75" s="87" t="str">
        <f>IF(AND($N75=$W$7,$B75&lt;'1331'!$I$9),"x","")</f>
        <v/>
      </c>
      <c r="Y75" s="87" t="str">
        <f>IF(AND($O75=$W$7,$B75&lt;'1331'!$I$9),"x","")</f>
        <v/>
      </c>
      <c r="Z75" s="87" t="str">
        <f>IF(AND('341-CT'!$H$9=H75,OR(LEFT(N75,3)=$Z$7,LEFT(O75,3)=$Z$7)),"x","")</f>
        <v/>
      </c>
      <c r="AA75" s="87" t="str">
        <f>IF(OR(TH!N75=TH!$AA$7,O75=TH!$AA$7),"x","")</f>
        <v/>
      </c>
      <c r="AB75" s="87" t="str">
        <f>IF(AND(OR(N75="131",O75="131"),H75='131-CT'!$H$9),"x","")</f>
        <v/>
      </c>
      <c r="AC75" s="87"/>
      <c r="AD75" s="87" t="str">
        <f>IF(AND(MONTH(E75)='IN-NX'!$J$5,'IN-NX'!$D$7=D75),"x","")</f>
        <v/>
      </c>
      <c r="AE75" s="87" t="str">
        <f>IF(AND(OR(LEFT(TH!N75,2)="15",LEFT(TH!O75,2)="15"),'152-CT'!$J$8=TH!F75),"x","")</f>
        <v/>
      </c>
      <c r="AF75" s="87" t="str">
        <f>IF(AND(OR(LEFT(TH!N75,2)="15",LEFT(TH!O75,2)="15"),'THE KHO'!$E$7=TH!F75),"x","")</f>
        <v/>
      </c>
      <c r="AG75" s="87" t="str">
        <f>IF(AND(N75="1521",MONTH(C75)='BK NL'!$M$11),"x","")</f>
        <v/>
      </c>
    </row>
    <row r="76" spans="1:33" s="404" customFormat="1" ht="15.75" customHeight="1">
      <c r="A76" s="399" t="str">
        <f>IF(B76&lt;&gt;"",IF(AND(B76&gt;=_TM1,B76&lt;=_TM2,OR(TH!N76="1111",TH!O76="1111")),TH!D76,""),"")</f>
        <v/>
      </c>
      <c r="B76" s="63">
        <f t="shared" si="1"/>
        <v>1</v>
      </c>
      <c r="C76" s="64">
        <v>42400</v>
      </c>
      <c r="D76" s="64" t="s">
        <v>600</v>
      </c>
      <c r="E76" s="64">
        <v>42375</v>
      </c>
      <c r="F76" s="67" t="s">
        <v>710</v>
      </c>
      <c r="G76" s="376" t="s">
        <v>735</v>
      </c>
      <c r="H76" s="75" t="s">
        <v>697</v>
      </c>
      <c r="I76" s="518"/>
      <c r="J76" s="518"/>
      <c r="K76" s="509"/>
      <c r="L76" s="518"/>
      <c r="M76" s="65">
        <v>24653000</v>
      </c>
      <c r="N76" s="66" t="s">
        <v>298</v>
      </c>
      <c r="O76" s="66" t="s">
        <v>8</v>
      </c>
      <c r="P76" s="87" t="str">
        <f>IF(AND('331-CT'!$E$7=TH!H76,OR(N76="331",O76="331")),"x","")</f>
        <v/>
      </c>
      <c r="Q76" s="87" t="str">
        <f>IF(AND(B76='111'!$L$11,OR($N76=$Q$7,$O76=$Q$7)),"x","")</f>
        <v/>
      </c>
      <c r="R76" s="87" t="str">
        <f>IF(AND($N76=$Q$7,$B76&lt;'111'!$L$11),"x","")</f>
        <v/>
      </c>
      <c r="S76" s="87" t="str">
        <f>IF(AND($O76=$Q$7,$B76&lt;'111'!$L$11),"x","")</f>
        <v/>
      </c>
      <c r="T76" s="87" t="str">
        <f>IF(ISERROR(FIND('112'!$M$9,G76,1)),"",IF((AND(FIND('112'!$M$9,G76,1)&gt;=1,B76='112'!$K$9,OR($N76='112'!$I$6,$O76='112'!$I$6))),"x",""))</f>
        <v/>
      </c>
      <c r="U76" s="87" t="str">
        <f>IF(ISERROR(FIND('112'!$M$9,G76,1)),"",IF((AND(FIND('112'!$M$9,G76,1)&gt;=1,B76&lt;'112'!$K$9,$N76='112'!$I$6)),"x",""))</f>
        <v/>
      </c>
      <c r="V76" s="87" t="str">
        <f>IF(ISERROR(FIND('112'!$M$9,G76,1)),"",IF((AND(FIND('112'!$M$9,G76,1)&gt;=1,B76&lt;'112'!$K$9,$O76='112'!$I$6)),"x",""))</f>
        <v/>
      </c>
      <c r="W76" s="87" t="str">
        <f>IF(AND($B76&gt;='1331'!$I$9,$B76&lt;='1331'!$J$9,OR($N76=$W$7,$O76=$W$7)),"x","")</f>
        <v/>
      </c>
      <c r="X76" s="87" t="str">
        <f>IF(AND($N76=$W$7,$B76&lt;'1331'!$I$9),"x","")</f>
        <v/>
      </c>
      <c r="Y76" s="87" t="str">
        <f>IF(AND($O76=$W$7,$B76&lt;'1331'!$I$9),"x","")</f>
        <v/>
      </c>
      <c r="Z76" s="87" t="str">
        <f>IF(AND('341-CT'!$H$9=H76,OR(LEFT(N76,3)=$Z$7,LEFT(O76,3)=$Z$7)),"x","")</f>
        <v/>
      </c>
      <c r="AA76" s="87" t="str">
        <f>IF(OR(TH!N76=TH!$AA$7,O76=TH!$AA$7),"x","")</f>
        <v/>
      </c>
      <c r="AB76" s="87" t="str">
        <f>IF(AND(OR(N76="131",O76="131"),H76='131-CT'!$H$9),"x","")</f>
        <v/>
      </c>
      <c r="AC76" s="87"/>
      <c r="AD76" s="87" t="str">
        <f>IF(AND(MONTH(E76)='IN-NX'!$J$5,'IN-NX'!$D$7=D76),"x","")</f>
        <v/>
      </c>
      <c r="AE76" s="87" t="str">
        <f>IF(AND(OR(LEFT(TH!N76,2)="15",LEFT(TH!O76,2)="15"),'152-CT'!$J$8=TH!F76),"x","")</f>
        <v/>
      </c>
      <c r="AF76" s="87" t="str">
        <f>IF(AND(OR(LEFT(TH!N76,2)="15",LEFT(TH!O76,2)="15"),'THE KHO'!$E$7=TH!F76),"x","")</f>
        <v/>
      </c>
      <c r="AG76" s="87" t="str">
        <f>IF(AND(N76="1521",MONTH(C76)='BK NL'!$M$11),"x","")</f>
        <v/>
      </c>
    </row>
    <row r="77" spans="1:33" s="404" customFormat="1" ht="15.75" customHeight="1">
      <c r="A77" s="399" t="str">
        <f>IF(B77&lt;&gt;"",IF(AND(B77&gt;=_TM1,B77&lt;=_TM2,OR(TH!N77="1111",TH!O77="1111")),TH!D77,""),"")</f>
        <v/>
      </c>
      <c r="B77" s="63">
        <f t="shared" si="1"/>
        <v>1</v>
      </c>
      <c r="C77" s="64">
        <v>42400</v>
      </c>
      <c r="D77" s="64" t="s">
        <v>600</v>
      </c>
      <c r="E77" s="64">
        <v>42375</v>
      </c>
      <c r="F77" s="67" t="s">
        <v>711</v>
      </c>
      <c r="G77" s="376" t="s">
        <v>735</v>
      </c>
      <c r="H77" s="75" t="s">
        <v>697</v>
      </c>
      <c r="I77" s="518"/>
      <c r="J77" s="518"/>
      <c r="K77" s="509"/>
      <c r="L77" s="518"/>
      <c r="M77" s="65">
        <v>2465300</v>
      </c>
      <c r="N77" s="66" t="s">
        <v>9</v>
      </c>
      <c r="O77" s="66" t="s">
        <v>8</v>
      </c>
      <c r="P77" s="87" t="str">
        <f>IF(AND('331-CT'!$E$7=TH!H77,OR(N77="331",O77="331")),"x","")</f>
        <v/>
      </c>
      <c r="Q77" s="87" t="str">
        <f>IF(AND(B77='111'!$L$11,OR($N77=$Q$7,$O77=$Q$7)),"x","")</f>
        <v/>
      </c>
      <c r="R77" s="87" t="str">
        <f>IF(AND($N77=$Q$7,$B77&lt;'111'!$L$11),"x","")</f>
        <v/>
      </c>
      <c r="S77" s="87" t="str">
        <f>IF(AND($O77=$Q$7,$B77&lt;'111'!$L$11),"x","")</f>
        <v/>
      </c>
      <c r="T77" s="87" t="str">
        <f>IF(ISERROR(FIND('112'!$M$9,G77,1)),"",IF((AND(FIND('112'!$M$9,G77,1)&gt;=1,B77='112'!$K$9,OR($N77='112'!$I$6,$O77='112'!$I$6))),"x",""))</f>
        <v/>
      </c>
      <c r="U77" s="87" t="str">
        <f>IF(ISERROR(FIND('112'!$M$9,G77,1)),"",IF((AND(FIND('112'!$M$9,G77,1)&gt;=1,B77&lt;'112'!$K$9,$N77='112'!$I$6)),"x",""))</f>
        <v/>
      </c>
      <c r="V77" s="87" t="str">
        <f>IF(ISERROR(FIND('112'!$M$9,G77,1)),"",IF((AND(FIND('112'!$M$9,G77,1)&gt;=1,B77&lt;'112'!$K$9,$O77='112'!$I$6)),"x",""))</f>
        <v/>
      </c>
      <c r="W77" s="87" t="str">
        <f>IF(AND($B77&gt;='1331'!$I$9,$B77&lt;='1331'!$J$9,OR($N77=$W$7,$O77=$W$7)),"x","")</f>
        <v>x</v>
      </c>
      <c r="X77" s="87" t="str">
        <f>IF(AND($N77=$W$7,$B77&lt;'1331'!$I$9),"x","")</f>
        <v/>
      </c>
      <c r="Y77" s="87" t="str">
        <f>IF(AND($O77=$W$7,$B77&lt;'1331'!$I$9),"x","")</f>
        <v/>
      </c>
      <c r="Z77" s="87" t="str">
        <f>IF(AND('341-CT'!$H$9=H77,OR(LEFT(N77,3)=$Z$7,LEFT(O77,3)=$Z$7)),"x","")</f>
        <v/>
      </c>
      <c r="AA77" s="87" t="str">
        <f>IF(OR(TH!N77=TH!$AA$7,O77=TH!$AA$7),"x","")</f>
        <v/>
      </c>
      <c r="AB77" s="87" t="str">
        <f>IF(AND(OR(N77="131",O77="131"),H77='131-CT'!$H$9),"x","")</f>
        <v/>
      </c>
      <c r="AC77" s="87"/>
      <c r="AD77" s="87" t="str">
        <f>IF(AND(MONTH(E77)='IN-NX'!$J$5,'IN-NX'!$D$7=D77),"x","")</f>
        <v/>
      </c>
      <c r="AE77" s="87" t="str">
        <f>IF(AND(OR(LEFT(TH!N77,2)="15",LEFT(TH!O77,2)="15"),'152-CT'!$J$8=TH!F77),"x","")</f>
        <v/>
      </c>
      <c r="AF77" s="87" t="str">
        <f>IF(AND(OR(LEFT(TH!N77,2)="15",LEFT(TH!O77,2)="15"),'THE KHO'!$E$7=TH!F77),"x","")</f>
        <v/>
      </c>
      <c r="AG77" s="87" t="str">
        <f>IF(AND(N77="1521",MONTH(C77)='BK NL'!$M$11),"x","")</f>
        <v/>
      </c>
    </row>
    <row r="78" spans="1:33" s="404" customFormat="1" ht="15.75" customHeight="1">
      <c r="A78" s="399" t="str">
        <f>IF(B78&lt;&gt;"",IF(AND(B78&gt;=_TM1,B78&lt;=_TM2,OR(TH!N78="1111",TH!O78="1111")),TH!D78,""),"")</f>
        <v/>
      </c>
      <c r="B78" s="63">
        <f t="shared" si="1"/>
        <v>1</v>
      </c>
      <c r="C78" s="64">
        <v>42400</v>
      </c>
      <c r="D78" s="64" t="s">
        <v>600</v>
      </c>
      <c r="E78" s="64">
        <v>42385</v>
      </c>
      <c r="F78" s="67" t="s">
        <v>712</v>
      </c>
      <c r="G78" s="362" t="s">
        <v>736</v>
      </c>
      <c r="H78" s="75" t="s">
        <v>697</v>
      </c>
      <c r="I78" s="518"/>
      <c r="J78" s="518"/>
      <c r="K78" s="509"/>
      <c r="L78" s="518"/>
      <c r="M78" s="65">
        <v>29327400</v>
      </c>
      <c r="N78" s="68" t="s">
        <v>298</v>
      </c>
      <c r="O78" s="66" t="s">
        <v>8</v>
      </c>
      <c r="P78" s="87" t="str">
        <f>IF(AND('331-CT'!$E$7=TH!H78,OR(N78="331",O78="331")),"x","")</f>
        <v/>
      </c>
      <c r="Q78" s="87" t="str">
        <f>IF(AND(B78='111'!$L$11,OR($N78=$Q$7,$O78=$Q$7)),"x","")</f>
        <v/>
      </c>
      <c r="R78" s="87" t="str">
        <f>IF(AND($N78=$Q$7,$B78&lt;'111'!$L$11),"x","")</f>
        <v/>
      </c>
      <c r="S78" s="87" t="str">
        <f>IF(AND($O78=$Q$7,$B78&lt;'111'!$L$11),"x","")</f>
        <v/>
      </c>
      <c r="T78" s="87" t="str">
        <f>IF(ISERROR(FIND('112'!$M$9,G78,1)),"",IF((AND(FIND('112'!$M$9,G78,1)&gt;=1,B78='112'!$K$9,OR($N78='112'!$I$6,$O78='112'!$I$6))),"x",""))</f>
        <v/>
      </c>
      <c r="U78" s="87" t="str">
        <f>IF(ISERROR(FIND('112'!$M$9,G78,1)),"",IF((AND(FIND('112'!$M$9,G78,1)&gt;=1,B78&lt;'112'!$K$9,$N78='112'!$I$6)),"x",""))</f>
        <v/>
      </c>
      <c r="V78" s="87" t="str">
        <f>IF(ISERROR(FIND('112'!$M$9,G78,1)),"",IF((AND(FIND('112'!$M$9,G78,1)&gt;=1,B78&lt;'112'!$K$9,$O78='112'!$I$6)),"x",""))</f>
        <v/>
      </c>
      <c r="W78" s="87" t="str">
        <f>IF(AND($B78&gt;='1331'!$I$9,$B78&lt;='1331'!$J$9,OR($N78=$W$7,$O78=$W$7)),"x","")</f>
        <v/>
      </c>
      <c r="X78" s="87" t="str">
        <f>IF(AND($N78=$W$7,$B78&lt;'1331'!$I$9),"x","")</f>
        <v/>
      </c>
      <c r="Y78" s="87" t="str">
        <f>IF(AND($O78=$W$7,$B78&lt;'1331'!$I$9),"x","")</f>
        <v/>
      </c>
      <c r="Z78" s="87" t="str">
        <f>IF(AND('341-CT'!$H$9=H78,OR(LEFT(N78,3)=$Z$7,LEFT(O78,3)=$Z$7)),"x","")</f>
        <v/>
      </c>
      <c r="AA78" s="87" t="str">
        <f>IF(OR(TH!N78=TH!$AA$7,O78=TH!$AA$7),"x","")</f>
        <v/>
      </c>
      <c r="AB78" s="87" t="str">
        <f>IF(AND(OR(N78="131",O78="131"),H78='131-CT'!$H$9),"x","")</f>
        <v/>
      </c>
      <c r="AC78" s="87"/>
      <c r="AD78" s="87" t="str">
        <f>IF(AND(MONTH(E78)='IN-NX'!$J$5,'IN-NX'!$D$7=D78),"x","")</f>
        <v/>
      </c>
      <c r="AE78" s="87" t="str">
        <f>IF(AND(OR(LEFT(TH!N78,2)="15",LEFT(TH!O78,2)="15"),'152-CT'!$J$8=TH!F78),"x","")</f>
        <v/>
      </c>
      <c r="AF78" s="87" t="str">
        <f>IF(AND(OR(LEFT(TH!N78,2)="15",LEFT(TH!O78,2)="15"),'THE KHO'!$E$7=TH!F78),"x","")</f>
        <v/>
      </c>
      <c r="AG78" s="87" t="str">
        <f>IF(AND(N78="1521",MONTH(C78)='BK NL'!$M$11),"x","")</f>
        <v/>
      </c>
    </row>
    <row r="79" spans="1:33" s="404" customFormat="1" ht="15.75" customHeight="1">
      <c r="A79" s="399" t="str">
        <f>IF(B79&lt;&gt;"",IF(AND(B79&gt;=_TM1,B79&lt;=_TM2,OR(TH!N79="1111",TH!O79="1111")),TH!D79,""),"")</f>
        <v/>
      </c>
      <c r="B79" s="63">
        <f t="shared" si="1"/>
        <v>1</v>
      </c>
      <c r="C79" s="64">
        <v>42400</v>
      </c>
      <c r="D79" s="64" t="s">
        <v>600</v>
      </c>
      <c r="E79" s="64">
        <v>42385</v>
      </c>
      <c r="F79" s="67" t="s">
        <v>713</v>
      </c>
      <c r="G79" s="362" t="s">
        <v>736</v>
      </c>
      <c r="H79" s="75" t="s">
        <v>697</v>
      </c>
      <c r="I79" s="518"/>
      <c r="J79" s="518"/>
      <c r="K79" s="509"/>
      <c r="L79" s="518"/>
      <c r="M79" s="65">
        <v>2932740</v>
      </c>
      <c r="N79" s="66" t="s">
        <v>9</v>
      </c>
      <c r="O79" s="66" t="s">
        <v>8</v>
      </c>
      <c r="P79" s="87" t="str">
        <f>IF(AND('331-CT'!$E$7=TH!H79,OR(N79="331",O79="331")),"x","")</f>
        <v/>
      </c>
      <c r="Q79" s="87" t="str">
        <f>IF(AND(B79='111'!$L$11,OR($N79=$Q$7,$O79=$Q$7)),"x","")</f>
        <v/>
      </c>
      <c r="R79" s="87" t="str">
        <f>IF(AND($N79=$Q$7,$B79&lt;'111'!$L$11),"x","")</f>
        <v/>
      </c>
      <c r="S79" s="87" t="str">
        <f>IF(AND($O79=$Q$7,$B79&lt;'111'!$L$11),"x","")</f>
        <v/>
      </c>
      <c r="T79" s="87" t="str">
        <f>IF(ISERROR(FIND('112'!$M$9,G79,1)),"",IF((AND(FIND('112'!$M$9,G79,1)&gt;=1,B79='112'!$K$9,OR($N79='112'!$I$6,$O79='112'!$I$6))),"x",""))</f>
        <v/>
      </c>
      <c r="U79" s="87" t="str">
        <f>IF(ISERROR(FIND('112'!$M$9,G79,1)),"",IF((AND(FIND('112'!$M$9,G79,1)&gt;=1,B79&lt;'112'!$K$9,$N79='112'!$I$6)),"x",""))</f>
        <v/>
      </c>
      <c r="V79" s="87" t="str">
        <f>IF(ISERROR(FIND('112'!$M$9,G79,1)),"",IF((AND(FIND('112'!$M$9,G79,1)&gt;=1,B79&lt;'112'!$K$9,$O79='112'!$I$6)),"x",""))</f>
        <v/>
      </c>
      <c r="W79" s="87" t="str">
        <f>IF(AND($B79&gt;='1331'!$I$9,$B79&lt;='1331'!$J$9,OR($N79=$W$7,$O79=$W$7)),"x","")</f>
        <v>x</v>
      </c>
      <c r="X79" s="87" t="str">
        <f>IF(AND($N79=$W$7,$B79&lt;'1331'!$I$9),"x","")</f>
        <v/>
      </c>
      <c r="Y79" s="87" t="str">
        <f>IF(AND($O79=$W$7,$B79&lt;'1331'!$I$9),"x","")</f>
        <v/>
      </c>
      <c r="Z79" s="87" t="str">
        <f>IF(AND('341-CT'!$H$9=H79,OR(LEFT(N79,3)=$Z$7,LEFT(O79,3)=$Z$7)),"x","")</f>
        <v/>
      </c>
      <c r="AA79" s="87" t="str">
        <f>IF(OR(TH!N79=TH!$AA$7,O79=TH!$AA$7),"x","")</f>
        <v/>
      </c>
      <c r="AB79" s="87" t="str">
        <f>IF(AND(OR(N79="131",O79="131"),H79='131-CT'!$H$9),"x","")</f>
        <v/>
      </c>
      <c r="AC79" s="87"/>
      <c r="AD79" s="87" t="str">
        <f>IF(AND(MONTH(E79)='IN-NX'!$J$5,'IN-NX'!$D$7=D79),"x","")</f>
        <v/>
      </c>
      <c r="AE79" s="87" t="str">
        <f>IF(AND(OR(LEFT(TH!N79,2)="15",LEFT(TH!O79,2)="15"),'152-CT'!$J$8=TH!F79),"x","")</f>
        <v/>
      </c>
      <c r="AF79" s="87" t="str">
        <f>IF(AND(OR(LEFT(TH!N79,2)="15",LEFT(TH!O79,2)="15"),'THE KHO'!$E$7=TH!F79),"x","")</f>
        <v/>
      </c>
      <c r="AG79" s="87" t="str">
        <f>IF(AND(N79="1521",MONTH(C79)='BK NL'!$M$11),"x","")</f>
        <v/>
      </c>
    </row>
    <row r="80" spans="1:33" s="404" customFormat="1" ht="15.75" customHeight="1">
      <c r="A80" s="399" t="str">
        <f>IF(B80&lt;&gt;"",IF(AND(B80&gt;=_TM1,B80&lt;=_TM2,OR(TH!N80="1111",TH!O80="1111")),TH!D80,""),"")</f>
        <v/>
      </c>
      <c r="B80" s="63">
        <f t="shared" si="1"/>
        <v>1</v>
      </c>
      <c r="C80" s="64">
        <v>42400</v>
      </c>
      <c r="D80" s="64" t="s">
        <v>600</v>
      </c>
      <c r="E80" s="64">
        <v>42395</v>
      </c>
      <c r="F80" s="67" t="s">
        <v>714</v>
      </c>
      <c r="G80" s="362" t="s">
        <v>737</v>
      </c>
      <c r="H80" s="75" t="s">
        <v>697</v>
      </c>
      <c r="I80" s="518"/>
      <c r="J80" s="518"/>
      <c r="K80" s="509"/>
      <c r="L80" s="518"/>
      <c r="M80" s="65">
        <v>28991500</v>
      </c>
      <c r="N80" s="66" t="s">
        <v>298</v>
      </c>
      <c r="O80" s="66" t="s">
        <v>8</v>
      </c>
      <c r="P80" s="87" t="str">
        <f>IF(AND('331-CT'!$E$7=TH!H80,OR(N80="331",O80="331")),"x","")</f>
        <v/>
      </c>
      <c r="Q80" s="87" t="str">
        <f>IF(AND(B80='111'!$L$11,OR($N80=$Q$7,$O80=$Q$7)),"x","")</f>
        <v/>
      </c>
      <c r="R80" s="87" t="str">
        <f>IF(AND($N80=$Q$7,$B80&lt;'111'!$L$11),"x","")</f>
        <v/>
      </c>
      <c r="S80" s="87" t="str">
        <f>IF(AND($O80=$Q$7,$B80&lt;'111'!$L$11),"x","")</f>
        <v/>
      </c>
      <c r="T80" s="87" t="str">
        <f>IF(ISERROR(FIND('112'!$M$9,G80,1)),"",IF((AND(FIND('112'!$M$9,G80,1)&gt;=1,B80='112'!$K$9,OR($N80='112'!$I$6,$O80='112'!$I$6))),"x",""))</f>
        <v/>
      </c>
      <c r="U80" s="87" t="str">
        <f>IF(ISERROR(FIND('112'!$M$9,G80,1)),"",IF((AND(FIND('112'!$M$9,G80,1)&gt;=1,B80&lt;'112'!$K$9,$N80='112'!$I$6)),"x",""))</f>
        <v/>
      </c>
      <c r="V80" s="87" t="str">
        <f>IF(ISERROR(FIND('112'!$M$9,G80,1)),"",IF((AND(FIND('112'!$M$9,G80,1)&gt;=1,B80&lt;'112'!$K$9,$O80='112'!$I$6)),"x",""))</f>
        <v/>
      </c>
      <c r="W80" s="87" t="str">
        <f>IF(AND($B80&gt;='1331'!$I$9,$B80&lt;='1331'!$J$9,OR($N80=$W$7,$O80=$W$7)),"x","")</f>
        <v/>
      </c>
      <c r="X80" s="87" t="str">
        <f>IF(AND($N80=$W$7,$B80&lt;'1331'!$I$9),"x","")</f>
        <v/>
      </c>
      <c r="Y80" s="87" t="str">
        <f>IF(AND($O80=$W$7,$B80&lt;'1331'!$I$9),"x","")</f>
        <v/>
      </c>
      <c r="Z80" s="87" t="str">
        <f>IF(AND('341-CT'!$H$9=H80,OR(LEFT(N80,3)=$Z$7,LEFT(O80,3)=$Z$7)),"x","")</f>
        <v/>
      </c>
      <c r="AA80" s="87" t="str">
        <f>IF(OR(TH!N80=TH!$AA$7,O80=TH!$AA$7),"x","")</f>
        <v/>
      </c>
      <c r="AB80" s="87" t="str">
        <f>IF(AND(OR(N80="131",O80="131"),H80='131-CT'!$H$9),"x","")</f>
        <v/>
      </c>
      <c r="AC80" s="87"/>
      <c r="AD80" s="87" t="str">
        <f>IF(AND(MONTH(E80)='IN-NX'!$J$5,'IN-NX'!$D$7=D80),"x","")</f>
        <v/>
      </c>
      <c r="AE80" s="87" t="str">
        <f>IF(AND(OR(LEFT(TH!N80,2)="15",LEFT(TH!O80,2)="15"),'152-CT'!$J$8=TH!F80),"x","")</f>
        <v/>
      </c>
      <c r="AF80" s="87" t="str">
        <f>IF(AND(OR(LEFT(TH!N80,2)="15",LEFT(TH!O80,2)="15"),'THE KHO'!$E$7=TH!F80),"x","")</f>
        <v/>
      </c>
      <c r="AG80" s="87" t="str">
        <f>IF(AND(N80="1521",MONTH(C80)='BK NL'!$M$11),"x","")</f>
        <v/>
      </c>
    </row>
    <row r="81" spans="1:33" s="404" customFormat="1" ht="15.75" customHeight="1">
      <c r="A81" s="399" t="str">
        <f>IF(B81&lt;&gt;"",IF(AND(B81&gt;=_TM1,B81&lt;=_TM2,OR(TH!N81="1111",TH!O81="1111")),TH!D81,""),"")</f>
        <v/>
      </c>
      <c r="B81" s="63">
        <f t="shared" si="1"/>
        <v>1</v>
      </c>
      <c r="C81" s="64">
        <v>42400</v>
      </c>
      <c r="D81" s="64" t="s">
        <v>600</v>
      </c>
      <c r="E81" s="64">
        <v>42395</v>
      </c>
      <c r="F81" s="67" t="s">
        <v>715</v>
      </c>
      <c r="G81" s="376" t="s">
        <v>737</v>
      </c>
      <c r="H81" s="75" t="s">
        <v>697</v>
      </c>
      <c r="I81" s="518"/>
      <c r="J81" s="518"/>
      <c r="K81" s="509"/>
      <c r="L81" s="518"/>
      <c r="M81" s="65">
        <v>2899150</v>
      </c>
      <c r="N81" s="66" t="s">
        <v>9</v>
      </c>
      <c r="O81" s="66" t="s">
        <v>8</v>
      </c>
      <c r="P81" s="87" t="str">
        <f>IF(AND('331-CT'!$E$7=TH!H81,OR(N81="331",O81="331")),"x","")</f>
        <v/>
      </c>
      <c r="Q81" s="87" t="str">
        <f>IF(AND(B81='111'!$L$11,OR($N81=$Q$7,$O81=$Q$7)),"x","")</f>
        <v/>
      </c>
      <c r="R81" s="87" t="str">
        <f>IF(AND($N81=$Q$7,$B81&lt;'111'!$L$11),"x","")</f>
        <v/>
      </c>
      <c r="S81" s="87" t="str">
        <f>IF(AND($O81=$Q$7,$B81&lt;'111'!$L$11),"x","")</f>
        <v/>
      </c>
      <c r="T81" s="87" t="str">
        <f>IF(ISERROR(FIND('112'!$M$9,G81,1)),"",IF((AND(FIND('112'!$M$9,G81,1)&gt;=1,B81='112'!$K$9,OR($N81='112'!$I$6,$O81='112'!$I$6))),"x",""))</f>
        <v/>
      </c>
      <c r="U81" s="87" t="str">
        <f>IF(ISERROR(FIND('112'!$M$9,G81,1)),"",IF((AND(FIND('112'!$M$9,G81,1)&gt;=1,B81&lt;'112'!$K$9,$N81='112'!$I$6)),"x",""))</f>
        <v/>
      </c>
      <c r="V81" s="87" t="str">
        <f>IF(ISERROR(FIND('112'!$M$9,G81,1)),"",IF((AND(FIND('112'!$M$9,G81,1)&gt;=1,B81&lt;'112'!$K$9,$O81='112'!$I$6)),"x",""))</f>
        <v/>
      </c>
      <c r="W81" s="87" t="str">
        <f>IF(AND($B81&gt;='1331'!$I$9,$B81&lt;='1331'!$J$9,OR($N81=$W$7,$O81=$W$7)),"x","")</f>
        <v>x</v>
      </c>
      <c r="X81" s="87" t="str">
        <f>IF(AND($N81=$W$7,$B81&lt;'1331'!$I$9),"x","")</f>
        <v/>
      </c>
      <c r="Y81" s="87" t="str">
        <f>IF(AND($O81=$W$7,$B81&lt;'1331'!$I$9),"x","")</f>
        <v/>
      </c>
      <c r="Z81" s="87" t="str">
        <f>IF(AND('341-CT'!$H$9=H81,OR(LEFT(N81,3)=$Z$7,LEFT(O81,3)=$Z$7)),"x","")</f>
        <v/>
      </c>
      <c r="AA81" s="87" t="str">
        <f>IF(OR(TH!N81=TH!$AA$7,O81=TH!$AA$7),"x","")</f>
        <v/>
      </c>
      <c r="AB81" s="87" t="str">
        <f>IF(AND(OR(N81="131",O81="131"),H81='131-CT'!$H$9),"x","")</f>
        <v/>
      </c>
      <c r="AC81" s="87"/>
      <c r="AD81" s="87" t="str">
        <f>IF(AND(MONTH(E81)='IN-NX'!$J$5,'IN-NX'!$D$7=D81),"x","")</f>
        <v/>
      </c>
      <c r="AE81" s="87" t="str">
        <f>IF(AND(OR(LEFT(TH!N81,2)="15",LEFT(TH!O81,2)="15"),'152-CT'!$J$8=TH!F81),"x","")</f>
        <v/>
      </c>
      <c r="AF81" s="87" t="str">
        <f>IF(AND(OR(LEFT(TH!N81,2)="15",LEFT(TH!O81,2)="15"),'THE KHO'!$E$7=TH!F81),"x","")</f>
        <v/>
      </c>
      <c r="AG81" s="87" t="str">
        <f>IF(AND(N81="1521",MONTH(C81)='BK NL'!$M$11),"x","")</f>
        <v/>
      </c>
    </row>
    <row r="82" spans="1:33" s="404" customFormat="1" ht="15.75" customHeight="1">
      <c r="A82" s="399" t="str">
        <f>IF(B82&lt;&gt;"",IF(AND(B82&gt;=_TM1,B82&lt;=_TM2,OR(TH!N82="1111",TH!O82="1111")),TH!D82,""),"")</f>
        <v/>
      </c>
      <c r="B82" s="63">
        <f t="shared" ref="B82:B97" si="4">IF(C82&lt;&gt;"",MONTH(C82),"")</f>
        <v>1</v>
      </c>
      <c r="C82" s="64">
        <f t="shared" ref="C82:C97" si="5">E82</f>
        <v>42374</v>
      </c>
      <c r="D82" s="64" t="s">
        <v>745</v>
      </c>
      <c r="E82" s="64">
        <v>42374</v>
      </c>
      <c r="F82" s="67" t="s">
        <v>364</v>
      </c>
      <c r="G82" s="376" t="s">
        <v>738</v>
      </c>
      <c r="H82" s="75" t="s">
        <v>743</v>
      </c>
      <c r="I82" s="518">
        <v>1000</v>
      </c>
      <c r="J82" s="518">
        <v>13571.429</v>
      </c>
      <c r="K82" s="509"/>
      <c r="L82" s="518"/>
      <c r="M82" s="65">
        <v>13571429</v>
      </c>
      <c r="N82" s="66" t="s">
        <v>292</v>
      </c>
      <c r="O82" s="66" t="s">
        <v>8</v>
      </c>
      <c r="P82" s="87" t="str">
        <f>IF(AND('331-CT'!$E$7=TH!H82,OR(N82="331",O82="331")),"x","")</f>
        <v/>
      </c>
      <c r="Q82" s="87" t="str">
        <f>IF(AND(B82='111'!$L$11,OR($N82=$Q$7,$O82=$Q$7)),"x","")</f>
        <v/>
      </c>
      <c r="R82" s="87" t="str">
        <f>IF(AND($N82=$Q$7,$B82&lt;'111'!$L$11),"x","")</f>
        <v/>
      </c>
      <c r="S82" s="87" t="str">
        <f>IF(AND($O82=$Q$7,$B82&lt;'111'!$L$11),"x","")</f>
        <v/>
      </c>
      <c r="T82" s="87" t="str">
        <f>IF(ISERROR(FIND('112'!$M$9,G82,1)),"",IF((AND(FIND('112'!$M$9,G82,1)&gt;=1,B82='112'!$K$9,OR($N82='112'!$I$6,$O82='112'!$I$6))),"x",""))</f>
        <v/>
      </c>
      <c r="U82" s="87" t="str">
        <f>IF(ISERROR(FIND('112'!$M$9,G82,1)),"",IF((AND(FIND('112'!$M$9,G82,1)&gt;=1,B82&lt;'112'!$K$9,$N82='112'!$I$6)),"x",""))</f>
        <v/>
      </c>
      <c r="V82" s="87" t="str">
        <f>IF(ISERROR(FIND('112'!$M$9,G82,1)),"",IF((AND(FIND('112'!$M$9,G82,1)&gt;=1,B82&lt;'112'!$K$9,$O82='112'!$I$6)),"x",""))</f>
        <v/>
      </c>
      <c r="W82" s="87" t="str">
        <f>IF(AND($B82&gt;='1331'!$I$9,$B82&lt;='1331'!$J$9,OR($N82=$W$7,$O82=$W$7)),"x","")</f>
        <v/>
      </c>
      <c r="X82" s="87" t="str">
        <f>IF(AND($N82=$W$7,$B82&lt;'1331'!$I$9),"x","")</f>
        <v/>
      </c>
      <c r="Y82" s="87" t="str">
        <f>IF(AND($O82=$W$7,$B82&lt;'1331'!$I$9),"x","")</f>
        <v/>
      </c>
      <c r="Z82" s="87" t="str">
        <f>IF(AND('341-CT'!$H$9=H82,OR(LEFT(N82,3)=$Z$7,LEFT(O82,3)=$Z$7)),"x","")</f>
        <v/>
      </c>
      <c r="AA82" s="87" t="str">
        <f>IF(OR(TH!N82=TH!$AA$7,O82=TH!$AA$7),"x","")</f>
        <v/>
      </c>
      <c r="AB82" s="87" t="str">
        <f>IF(AND(OR(N82="131",O82="131"),H82='131-CT'!$H$9),"x","")</f>
        <v/>
      </c>
      <c r="AC82" s="87"/>
      <c r="AD82" s="87" t="str">
        <f>IF(AND(MONTH(E82)='IN-NX'!$J$5,'IN-NX'!$D$7=D82),"x","")</f>
        <v/>
      </c>
      <c r="AE82" s="87" t="str">
        <f>IF(AND(OR(LEFT(TH!N82,2)="15",LEFT(TH!O82,2)="15"),'152-CT'!$J$8=TH!F82),"x","")</f>
        <v/>
      </c>
      <c r="AF82" s="87" t="str">
        <f>IF(AND(OR(LEFT(TH!N82,2)="15",LEFT(TH!O82,2)="15"),'THE KHO'!$E$7=TH!F82),"x","")</f>
        <v>x</v>
      </c>
      <c r="AG82" s="87" t="str">
        <f>IF(AND(N82="1521",MONTH(C82)='BK NL'!$M$11),"x","")</f>
        <v/>
      </c>
    </row>
    <row r="83" spans="1:33" s="404" customFormat="1" ht="15.75" customHeight="1">
      <c r="A83" s="399" t="str">
        <f>IF(B83&lt;&gt;"",IF(AND(B83&gt;=_TM1,B83&lt;=_TM2,OR(TH!N83="1111",TH!O83="1111")),TH!D83,""),"")</f>
        <v/>
      </c>
      <c r="B83" s="63">
        <f t="shared" si="4"/>
        <v>1</v>
      </c>
      <c r="C83" s="64">
        <f t="shared" si="5"/>
        <v>42374</v>
      </c>
      <c r="D83" s="64" t="s">
        <v>745</v>
      </c>
      <c r="E83" s="64">
        <v>42374</v>
      </c>
      <c r="F83" s="67" t="s">
        <v>716</v>
      </c>
      <c r="G83" s="376" t="s">
        <v>738</v>
      </c>
      <c r="H83" s="75" t="s">
        <v>743</v>
      </c>
      <c r="I83" s="518"/>
      <c r="J83" s="518"/>
      <c r="K83" s="509"/>
      <c r="L83" s="518"/>
      <c r="M83" s="65">
        <v>678571</v>
      </c>
      <c r="N83" s="66" t="s">
        <v>9</v>
      </c>
      <c r="O83" s="66" t="s">
        <v>8</v>
      </c>
      <c r="P83" s="87" t="str">
        <f>IF(AND('331-CT'!$E$7=TH!H83,OR(N83="331",O83="331")),"x","")</f>
        <v/>
      </c>
      <c r="Q83" s="87" t="str">
        <f>IF(AND(B83='111'!$L$11,OR($N83=$Q$7,$O83=$Q$7)),"x","")</f>
        <v/>
      </c>
      <c r="R83" s="87" t="str">
        <f>IF(AND($N83=$Q$7,$B83&lt;'111'!$L$11),"x","")</f>
        <v/>
      </c>
      <c r="S83" s="87" t="str">
        <f>IF(AND($O83=$Q$7,$B83&lt;'111'!$L$11),"x","")</f>
        <v/>
      </c>
      <c r="T83" s="87" t="str">
        <f>IF(ISERROR(FIND('112'!$M$9,G83,1)),"",IF((AND(FIND('112'!$M$9,G83,1)&gt;=1,B83='112'!$K$9,OR($N83='112'!$I$6,$O83='112'!$I$6))),"x",""))</f>
        <v/>
      </c>
      <c r="U83" s="87" t="str">
        <f>IF(ISERROR(FIND('112'!$M$9,G83,1)),"",IF((AND(FIND('112'!$M$9,G83,1)&gt;=1,B83&lt;'112'!$K$9,$N83='112'!$I$6)),"x",""))</f>
        <v/>
      </c>
      <c r="V83" s="87" t="str">
        <f>IF(ISERROR(FIND('112'!$M$9,G83,1)),"",IF((AND(FIND('112'!$M$9,G83,1)&gt;=1,B83&lt;'112'!$K$9,$O83='112'!$I$6)),"x",""))</f>
        <v/>
      </c>
      <c r="W83" s="87" t="str">
        <f>IF(AND($B83&gt;='1331'!$I$9,$B83&lt;='1331'!$J$9,OR($N83=$W$7,$O83=$W$7)),"x","")</f>
        <v>x</v>
      </c>
      <c r="X83" s="87" t="str">
        <f>IF(AND($N83=$W$7,$B83&lt;'1331'!$I$9),"x","")</f>
        <v/>
      </c>
      <c r="Y83" s="87" t="str">
        <f>IF(AND($O83=$W$7,$B83&lt;'1331'!$I$9),"x","")</f>
        <v/>
      </c>
      <c r="Z83" s="87" t="str">
        <f>IF(AND('341-CT'!$H$9=H83,OR(LEFT(N83,3)=$Z$7,LEFT(O83,3)=$Z$7)),"x","")</f>
        <v/>
      </c>
      <c r="AA83" s="87" t="str">
        <f>IF(OR(TH!N83=TH!$AA$7,O83=TH!$AA$7),"x","")</f>
        <v/>
      </c>
      <c r="AB83" s="87" t="str">
        <f>IF(AND(OR(N83="131",O83="131"),H83='131-CT'!$H$9),"x","")</f>
        <v/>
      </c>
      <c r="AC83" s="87"/>
      <c r="AD83" s="87" t="str">
        <f>IF(AND(MONTH(E83)='IN-NX'!$J$5,'IN-NX'!$D$7=D83),"x","")</f>
        <v/>
      </c>
      <c r="AE83" s="87" t="str">
        <f>IF(AND(OR(LEFT(TH!N83,2)="15",LEFT(TH!O83,2)="15"),'152-CT'!$J$8=TH!F83),"x","")</f>
        <v/>
      </c>
      <c r="AF83" s="87" t="str">
        <f>IF(AND(OR(LEFT(TH!N83,2)="15",LEFT(TH!O83,2)="15"),'THE KHO'!$E$7=TH!F83),"x","")</f>
        <v/>
      </c>
      <c r="AG83" s="87" t="str">
        <f>IF(AND(N83="1521",MONTH(C83)='BK NL'!$M$11),"x","")</f>
        <v/>
      </c>
    </row>
    <row r="84" spans="1:33" s="404" customFormat="1" ht="15.75" customHeight="1">
      <c r="A84" s="399" t="str">
        <f>IF(B84&lt;&gt;"",IF(AND(B84&gt;=_TM1,B84&lt;=_TM2,OR(TH!N84="1111",TH!O84="1111")),TH!D84,""),"")</f>
        <v/>
      </c>
      <c r="B84" s="63">
        <f t="shared" si="4"/>
        <v>1</v>
      </c>
      <c r="C84" s="64">
        <f t="shared" si="5"/>
        <v>42374</v>
      </c>
      <c r="D84" s="64" t="s">
        <v>746</v>
      </c>
      <c r="E84" s="64">
        <v>42374</v>
      </c>
      <c r="F84" s="67" t="s">
        <v>379</v>
      </c>
      <c r="G84" s="362" t="s">
        <v>740</v>
      </c>
      <c r="H84" s="75" t="s">
        <v>744</v>
      </c>
      <c r="I84" s="518">
        <v>1000</v>
      </c>
      <c r="J84" s="518">
        <v>33000</v>
      </c>
      <c r="K84" s="509"/>
      <c r="L84" s="518"/>
      <c r="M84" s="65">
        <v>33000000</v>
      </c>
      <c r="N84" s="66" t="s">
        <v>292</v>
      </c>
      <c r="O84" s="66" t="s">
        <v>8</v>
      </c>
      <c r="P84" s="87" t="str">
        <f>IF(AND('331-CT'!$E$7=TH!H84,OR(N84="331",O84="331")),"x","")</f>
        <v/>
      </c>
      <c r="Q84" s="87" t="str">
        <f>IF(AND(B84='111'!$L$11,OR($N84=$Q$7,$O84=$Q$7)),"x","")</f>
        <v/>
      </c>
      <c r="R84" s="87" t="str">
        <f>IF(AND($N84=$Q$7,$B84&lt;'111'!$L$11),"x","")</f>
        <v/>
      </c>
      <c r="S84" s="87" t="str">
        <f>IF(AND($O84=$Q$7,$B84&lt;'111'!$L$11),"x","")</f>
        <v/>
      </c>
      <c r="T84" s="87" t="str">
        <f>IF(ISERROR(FIND('112'!$M$9,G84,1)),"",IF((AND(FIND('112'!$M$9,G84,1)&gt;=1,B84='112'!$K$9,OR($N84='112'!$I$6,$O84='112'!$I$6))),"x",""))</f>
        <v/>
      </c>
      <c r="U84" s="87" t="str">
        <f>IF(ISERROR(FIND('112'!$M$9,G84,1)),"",IF((AND(FIND('112'!$M$9,G84,1)&gt;=1,B84&lt;'112'!$K$9,$N84='112'!$I$6)),"x",""))</f>
        <v/>
      </c>
      <c r="V84" s="87" t="str">
        <f>IF(ISERROR(FIND('112'!$M$9,G84,1)),"",IF((AND(FIND('112'!$M$9,G84,1)&gt;=1,B84&lt;'112'!$K$9,$O84='112'!$I$6)),"x",""))</f>
        <v/>
      </c>
      <c r="W84" s="87" t="str">
        <f>IF(AND($B84&gt;='1331'!$I$9,$B84&lt;='1331'!$J$9,OR($N84=$W$7,$O84=$W$7)),"x","")</f>
        <v/>
      </c>
      <c r="X84" s="87" t="str">
        <f>IF(AND($N84=$W$7,$B84&lt;'1331'!$I$9),"x","")</f>
        <v/>
      </c>
      <c r="Y84" s="87" t="str">
        <f>IF(AND($O84=$W$7,$B84&lt;'1331'!$I$9),"x","")</f>
        <v/>
      </c>
      <c r="Z84" s="87" t="str">
        <f>IF(AND('341-CT'!$H$9=H84,OR(LEFT(N84,3)=$Z$7,LEFT(O84,3)=$Z$7)),"x","")</f>
        <v/>
      </c>
      <c r="AA84" s="87" t="str">
        <f>IF(OR(TH!N84=TH!$AA$7,O84=TH!$AA$7),"x","")</f>
        <v/>
      </c>
      <c r="AB84" s="87" t="str">
        <f>IF(AND(OR(N84="131",O84="131"),H84='131-CT'!$H$9),"x","")</f>
        <v/>
      </c>
      <c r="AC84" s="87"/>
      <c r="AD84" s="87" t="str">
        <f>IF(AND(MONTH(E84)='IN-NX'!$J$5,'IN-NX'!$D$7=D84),"x","")</f>
        <v/>
      </c>
      <c r="AE84" s="87" t="str">
        <f>IF(AND(OR(LEFT(TH!N84,2)="15",LEFT(TH!O84,2)="15"),'152-CT'!$J$8=TH!F84),"x","")</f>
        <v/>
      </c>
      <c r="AF84" s="87" t="str">
        <f>IF(AND(OR(LEFT(TH!N84,2)="15",LEFT(TH!O84,2)="15"),'THE KHO'!$E$7=TH!F84),"x","")</f>
        <v/>
      </c>
      <c r="AG84" s="87" t="str">
        <f>IF(AND(N84="1521",MONTH(C84)='BK NL'!$M$11),"x","")</f>
        <v/>
      </c>
    </row>
    <row r="85" spans="1:33" s="404" customFormat="1" ht="15.75" customHeight="1">
      <c r="A85" s="399" t="str">
        <f>IF(B85&lt;&gt;"",IF(AND(B85&gt;=_TM1,B85&lt;=_TM2,OR(TH!N85="1111",TH!O85="1111")),TH!D85,""),"")</f>
        <v/>
      </c>
      <c r="B85" s="63">
        <f t="shared" si="4"/>
        <v>1</v>
      </c>
      <c r="C85" s="64">
        <f t="shared" si="5"/>
        <v>42374</v>
      </c>
      <c r="D85" s="64" t="s">
        <v>746</v>
      </c>
      <c r="E85" s="64">
        <v>42374</v>
      </c>
      <c r="F85" s="67" t="s">
        <v>717</v>
      </c>
      <c r="G85" s="362" t="s">
        <v>740</v>
      </c>
      <c r="H85" s="75" t="s">
        <v>744</v>
      </c>
      <c r="I85" s="518"/>
      <c r="J85" s="518"/>
      <c r="K85" s="509"/>
      <c r="L85" s="518"/>
      <c r="M85" s="65">
        <v>3300000</v>
      </c>
      <c r="N85" s="66" t="s">
        <v>9</v>
      </c>
      <c r="O85" s="66" t="s">
        <v>8</v>
      </c>
      <c r="P85" s="87" t="str">
        <f>IF(AND('331-CT'!$E$7=TH!H85,OR(N85="331",O85="331")),"x","")</f>
        <v/>
      </c>
      <c r="Q85" s="87" t="str">
        <f>IF(AND(B85='111'!$L$11,OR($N85=$Q$7,$O85=$Q$7)),"x","")</f>
        <v/>
      </c>
      <c r="R85" s="87" t="str">
        <f>IF(AND($N85=$Q$7,$B85&lt;'111'!$L$11),"x","")</f>
        <v/>
      </c>
      <c r="S85" s="87" t="str">
        <f>IF(AND($O85=$Q$7,$B85&lt;'111'!$L$11),"x","")</f>
        <v/>
      </c>
      <c r="T85" s="87" t="str">
        <f>IF(ISERROR(FIND('112'!$M$9,G85,1)),"",IF((AND(FIND('112'!$M$9,G85,1)&gt;=1,B85='112'!$K$9,OR($N85='112'!$I$6,$O85='112'!$I$6))),"x",""))</f>
        <v/>
      </c>
      <c r="U85" s="87" t="str">
        <f>IF(ISERROR(FIND('112'!$M$9,G85,1)),"",IF((AND(FIND('112'!$M$9,G85,1)&gt;=1,B85&lt;'112'!$K$9,$N85='112'!$I$6)),"x",""))</f>
        <v/>
      </c>
      <c r="V85" s="87" t="str">
        <f>IF(ISERROR(FIND('112'!$M$9,G85,1)),"",IF((AND(FIND('112'!$M$9,G85,1)&gt;=1,B85&lt;'112'!$K$9,$O85='112'!$I$6)),"x",""))</f>
        <v/>
      </c>
      <c r="W85" s="87" t="str">
        <f>IF(AND($B85&gt;='1331'!$I$9,$B85&lt;='1331'!$J$9,OR($N85=$W$7,$O85=$W$7)),"x","")</f>
        <v>x</v>
      </c>
      <c r="X85" s="87" t="str">
        <f>IF(AND($N85=$W$7,$B85&lt;'1331'!$I$9),"x","")</f>
        <v/>
      </c>
      <c r="Y85" s="87" t="str">
        <f>IF(AND($O85=$W$7,$B85&lt;'1331'!$I$9),"x","")</f>
        <v/>
      </c>
      <c r="Z85" s="87" t="str">
        <f>IF(AND('341-CT'!$H$9=H85,OR(LEFT(N85,3)=$Z$7,LEFT(O85,3)=$Z$7)),"x","")</f>
        <v/>
      </c>
      <c r="AA85" s="87" t="str">
        <f>IF(OR(TH!N85=TH!$AA$7,O85=TH!$AA$7),"x","")</f>
        <v/>
      </c>
      <c r="AB85" s="87" t="str">
        <f>IF(AND(OR(N85="131",O85="131"),H85='131-CT'!$H$9),"x","")</f>
        <v/>
      </c>
      <c r="AC85" s="87"/>
      <c r="AD85" s="87" t="str">
        <f>IF(AND(MONTH(E85)='IN-NX'!$J$5,'IN-NX'!$D$7=D85),"x","")</f>
        <v/>
      </c>
      <c r="AE85" s="87" t="str">
        <f>IF(AND(OR(LEFT(TH!N85,2)="15",LEFT(TH!O85,2)="15"),'152-CT'!$J$8=TH!F85),"x","")</f>
        <v/>
      </c>
      <c r="AF85" s="87" t="str">
        <f>IF(AND(OR(LEFT(TH!N85,2)="15",LEFT(TH!O85,2)="15"),'THE KHO'!$E$7=TH!F85),"x","")</f>
        <v/>
      </c>
      <c r="AG85" s="87" t="str">
        <f>IF(AND(N85="1521",MONTH(C85)='BK NL'!$M$11),"x","")</f>
        <v/>
      </c>
    </row>
    <row r="86" spans="1:33" s="404" customFormat="1" ht="15.75" customHeight="1">
      <c r="A86" s="399" t="str">
        <f>IF(B86&lt;&gt;"",IF(AND(B86&gt;=_TM1,B86&lt;=_TM2,OR(TH!N86="1111",TH!O86="1111")),TH!D86,""),"")</f>
        <v/>
      </c>
      <c r="B86" s="63">
        <f t="shared" si="4"/>
        <v>1</v>
      </c>
      <c r="C86" s="64">
        <f t="shared" si="5"/>
        <v>42375</v>
      </c>
      <c r="D86" s="64" t="s">
        <v>747</v>
      </c>
      <c r="E86" s="64">
        <v>42375</v>
      </c>
      <c r="F86" s="67" t="s">
        <v>718</v>
      </c>
      <c r="G86" s="376" t="s">
        <v>740</v>
      </c>
      <c r="H86" s="75" t="s">
        <v>683</v>
      </c>
      <c r="I86" s="518">
        <v>5400</v>
      </c>
      <c r="J86" s="518">
        <v>14400</v>
      </c>
      <c r="K86" s="509"/>
      <c r="L86" s="518"/>
      <c r="M86" s="65">
        <v>77760000</v>
      </c>
      <c r="N86" s="66" t="s">
        <v>292</v>
      </c>
      <c r="O86" s="66" t="s">
        <v>8</v>
      </c>
      <c r="P86" s="87" t="str">
        <f>IF(AND('331-CT'!$E$7=TH!H86,OR(N86="331",O86="331")),"x","")</f>
        <v/>
      </c>
      <c r="Q86" s="87" t="str">
        <f>IF(AND(B86='111'!$L$11,OR($N86=$Q$7,$O86=$Q$7)),"x","")</f>
        <v/>
      </c>
      <c r="R86" s="87" t="str">
        <f>IF(AND($N86=$Q$7,$B86&lt;'111'!$L$11),"x","")</f>
        <v/>
      </c>
      <c r="S86" s="87" t="str">
        <f>IF(AND($O86=$Q$7,$B86&lt;'111'!$L$11),"x","")</f>
        <v/>
      </c>
      <c r="T86" s="87" t="str">
        <f>IF(ISERROR(FIND('112'!$M$9,G86,1)),"",IF((AND(FIND('112'!$M$9,G86,1)&gt;=1,B86='112'!$K$9,OR($N86='112'!$I$6,$O86='112'!$I$6))),"x",""))</f>
        <v/>
      </c>
      <c r="U86" s="87" t="str">
        <f>IF(ISERROR(FIND('112'!$M$9,G86,1)),"",IF((AND(FIND('112'!$M$9,G86,1)&gt;=1,B86&lt;'112'!$K$9,$N86='112'!$I$6)),"x",""))</f>
        <v/>
      </c>
      <c r="V86" s="87" t="str">
        <f>IF(ISERROR(FIND('112'!$M$9,G86,1)),"",IF((AND(FIND('112'!$M$9,G86,1)&gt;=1,B86&lt;'112'!$K$9,$O86='112'!$I$6)),"x",""))</f>
        <v/>
      </c>
      <c r="W86" s="87" t="str">
        <f>IF(AND($B86&gt;='1331'!$I$9,$B86&lt;='1331'!$J$9,OR($N86=$W$7,$O86=$W$7)),"x","")</f>
        <v/>
      </c>
      <c r="X86" s="87" t="str">
        <f>IF(AND($N86=$W$7,$B86&lt;'1331'!$I$9),"x","")</f>
        <v/>
      </c>
      <c r="Y86" s="87" t="str">
        <f>IF(AND($O86=$W$7,$B86&lt;'1331'!$I$9),"x","")</f>
        <v/>
      </c>
      <c r="Z86" s="87" t="str">
        <f>IF(AND('341-CT'!$H$9=H86,OR(LEFT(N86,3)=$Z$7,LEFT(O86,3)=$Z$7)),"x","")</f>
        <v/>
      </c>
      <c r="AA86" s="87" t="str">
        <f>IF(OR(TH!N86=TH!$AA$7,O86=TH!$AA$7),"x","")</f>
        <v/>
      </c>
      <c r="AB86" s="87" t="str">
        <f>IF(AND(OR(N86="131",O86="131"),H86='131-CT'!$H$9),"x","")</f>
        <v/>
      </c>
      <c r="AC86" s="87"/>
      <c r="AD86" s="87" t="str">
        <f>IF(AND(MONTH(E86)='IN-NX'!$J$5,'IN-NX'!$D$7=D86),"x","")</f>
        <v/>
      </c>
      <c r="AE86" s="87" t="str">
        <f>IF(AND(OR(LEFT(TH!N86,2)="15",LEFT(TH!O86,2)="15"),'152-CT'!$J$8=TH!F86),"x","")</f>
        <v/>
      </c>
      <c r="AF86" s="87" t="str">
        <f>IF(AND(OR(LEFT(TH!N86,2)="15",LEFT(TH!O86,2)="15"),'THE KHO'!$E$7=TH!F86),"x","")</f>
        <v/>
      </c>
      <c r="AG86" s="87" t="str">
        <f>IF(AND(N86="1521",MONTH(C86)='BK NL'!$M$11),"x","")</f>
        <v/>
      </c>
    </row>
    <row r="87" spans="1:33" s="404" customFormat="1" ht="15.75" customHeight="1">
      <c r="A87" s="399" t="str">
        <f>IF(B87&lt;&gt;"",IF(AND(B87&gt;=_TM1,B87&lt;=_TM2,OR(TH!N87="1111",TH!O87="1111")),TH!D87,""),"")</f>
        <v/>
      </c>
      <c r="B87" s="63">
        <f t="shared" si="4"/>
        <v>1</v>
      </c>
      <c r="C87" s="64">
        <f t="shared" si="5"/>
        <v>42375</v>
      </c>
      <c r="D87" s="64" t="s">
        <v>747</v>
      </c>
      <c r="E87" s="64">
        <v>42375</v>
      </c>
      <c r="F87" s="67" t="s">
        <v>719</v>
      </c>
      <c r="G87" s="376" t="s">
        <v>740</v>
      </c>
      <c r="H87" s="75" t="s">
        <v>683</v>
      </c>
      <c r="I87" s="518"/>
      <c r="J87" s="518"/>
      <c r="K87" s="509"/>
      <c r="L87" s="518"/>
      <c r="M87" s="65">
        <v>7776000</v>
      </c>
      <c r="N87" s="66" t="s">
        <v>9</v>
      </c>
      <c r="O87" s="66" t="s">
        <v>8</v>
      </c>
      <c r="P87" s="87" t="str">
        <f>IF(AND('331-CT'!$E$7=TH!H87,OR(N87="331",O87="331")),"x","")</f>
        <v/>
      </c>
      <c r="Q87" s="87" t="str">
        <f>IF(AND(B87='111'!$L$11,OR($N87=$Q$7,$O87=$Q$7)),"x","")</f>
        <v/>
      </c>
      <c r="R87" s="87" t="str">
        <f>IF(AND($N87=$Q$7,$B87&lt;'111'!$L$11),"x","")</f>
        <v/>
      </c>
      <c r="S87" s="87" t="str">
        <f>IF(AND($O87=$Q$7,$B87&lt;'111'!$L$11),"x","")</f>
        <v/>
      </c>
      <c r="T87" s="87" t="str">
        <f>IF(ISERROR(FIND('112'!$M$9,G87,1)),"",IF((AND(FIND('112'!$M$9,G87,1)&gt;=1,B87='112'!$K$9,OR($N87='112'!$I$6,$O87='112'!$I$6))),"x",""))</f>
        <v/>
      </c>
      <c r="U87" s="87" t="str">
        <f>IF(ISERROR(FIND('112'!$M$9,G87,1)),"",IF((AND(FIND('112'!$M$9,G87,1)&gt;=1,B87&lt;'112'!$K$9,$N87='112'!$I$6)),"x",""))</f>
        <v/>
      </c>
      <c r="V87" s="87" t="str">
        <f>IF(ISERROR(FIND('112'!$M$9,G87,1)),"",IF((AND(FIND('112'!$M$9,G87,1)&gt;=1,B87&lt;'112'!$K$9,$O87='112'!$I$6)),"x",""))</f>
        <v/>
      </c>
      <c r="W87" s="87" t="str">
        <f>IF(AND($B87&gt;='1331'!$I$9,$B87&lt;='1331'!$J$9,OR($N87=$W$7,$O87=$W$7)),"x","")</f>
        <v>x</v>
      </c>
      <c r="X87" s="87" t="str">
        <f>IF(AND($N87=$W$7,$B87&lt;'1331'!$I$9),"x","")</f>
        <v/>
      </c>
      <c r="Y87" s="87" t="str">
        <f>IF(AND($O87=$W$7,$B87&lt;'1331'!$I$9),"x","")</f>
        <v/>
      </c>
      <c r="Z87" s="87" t="str">
        <f>IF(AND('341-CT'!$H$9=H87,OR(LEFT(N87,3)=$Z$7,LEFT(O87,3)=$Z$7)),"x","")</f>
        <v/>
      </c>
      <c r="AA87" s="87" t="str">
        <f>IF(OR(TH!N87=TH!$AA$7,O87=TH!$AA$7),"x","")</f>
        <v/>
      </c>
      <c r="AB87" s="87" t="str">
        <f>IF(AND(OR(N87="131",O87="131"),H87='131-CT'!$H$9),"x","")</f>
        <v/>
      </c>
      <c r="AC87" s="87"/>
      <c r="AD87" s="87" t="str">
        <f>IF(AND(MONTH(E87)='IN-NX'!$J$5,'IN-NX'!$D$7=D87),"x","")</f>
        <v/>
      </c>
      <c r="AE87" s="87" t="str">
        <f>IF(AND(OR(LEFT(TH!N87,2)="15",LEFT(TH!O87,2)="15"),'152-CT'!$J$8=TH!F87),"x","")</f>
        <v/>
      </c>
      <c r="AF87" s="87" t="str">
        <f>IF(AND(OR(LEFT(TH!N87,2)="15",LEFT(TH!O87,2)="15"),'THE KHO'!$E$7=TH!F87),"x","")</f>
        <v/>
      </c>
      <c r="AG87" s="87" t="str">
        <f>IF(AND(N87="1521",MONTH(C87)='BK NL'!$M$11),"x","")</f>
        <v/>
      </c>
    </row>
    <row r="88" spans="1:33" s="404" customFormat="1" ht="15.75" customHeight="1">
      <c r="A88" s="399" t="str">
        <f>IF(B88&lt;&gt;"",IF(AND(B88&gt;=_TM1,B88&lt;=_TM2,OR(TH!N88="1111",TH!O88="1111")),TH!D88,""),"")</f>
        <v/>
      </c>
      <c r="B88" s="63">
        <f t="shared" si="4"/>
        <v>1</v>
      </c>
      <c r="C88" s="64">
        <f t="shared" si="5"/>
        <v>42383</v>
      </c>
      <c r="D88" s="64" t="s">
        <v>748</v>
      </c>
      <c r="E88" s="64">
        <v>42383</v>
      </c>
      <c r="F88" s="67" t="s">
        <v>406</v>
      </c>
      <c r="G88" s="362" t="s">
        <v>741</v>
      </c>
      <c r="H88" s="75" t="s">
        <v>680</v>
      </c>
      <c r="I88" s="518">
        <v>1150</v>
      </c>
      <c r="J88" s="518">
        <v>12000</v>
      </c>
      <c r="K88" s="509"/>
      <c r="L88" s="518"/>
      <c r="M88" s="65">
        <v>34371000</v>
      </c>
      <c r="N88" s="66" t="s">
        <v>292</v>
      </c>
      <c r="O88" s="66" t="s">
        <v>8</v>
      </c>
      <c r="P88" s="87" t="str">
        <f>IF(AND('331-CT'!$E$7=TH!H88,OR(N88="331",O88="331")),"x","")</f>
        <v/>
      </c>
      <c r="Q88" s="87" t="str">
        <f>IF(AND(B88='111'!$L$11,OR($N88=$Q$7,$O88=$Q$7)),"x","")</f>
        <v/>
      </c>
      <c r="R88" s="87" t="str">
        <f>IF(AND($N88=$Q$7,$B88&lt;'111'!$L$11),"x","")</f>
        <v/>
      </c>
      <c r="S88" s="87" t="str">
        <f>IF(AND($O88=$Q$7,$B88&lt;'111'!$L$11),"x","")</f>
        <v/>
      </c>
      <c r="T88" s="87" t="str">
        <f>IF(ISERROR(FIND('112'!$M$9,G88,1)),"",IF((AND(FIND('112'!$M$9,G88,1)&gt;=1,B88='112'!$K$9,OR($N88='112'!$I$6,$O88='112'!$I$6))),"x",""))</f>
        <v/>
      </c>
      <c r="U88" s="87" t="str">
        <f>IF(ISERROR(FIND('112'!$M$9,G88,1)),"",IF((AND(FIND('112'!$M$9,G88,1)&gt;=1,B88&lt;'112'!$K$9,$N88='112'!$I$6)),"x",""))</f>
        <v/>
      </c>
      <c r="V88" s="87" t="str">
        <f>IF(ISERROR(FIND('112'!$M$9,G88,1)),"",IF((AND(FIND('112'!$M$9,G88,1)&gt;=1,B88&lt;'112'!$K$9,$O88='112'!$I$6)),"x",""))</f>
        <v/>
      </c>
      <c r="W88" s="87" t="str">
        <f>IF(AND($B88&gt;='1331'!$I$9,$B88&lt;='1331'!$J$9,OR($N88=$W$7,$O88=$W$7)),"x","")</f>
        <v/>
      </c>
      <c r="X88" s="87" t="str">
        <f>IF(AND($N88=$W$7,$B88&lt;'1331'!$I$9),"x","")</f>
        <v/>
      </c>
      <c r="Y88" s="87" t="str">
        <f>IF(AND($O88=$W$7,$B88&lt;'1331'!$I$9),"x","")</f>
        <v/>
      </c>
      <c r="Z88" s="87" t="str">
        <f>IF(AND('341-CT'!$H$9=H88,OR(LEFT(N88,3)=$Z$7,LEFT(O88,3)=$Z$7)),"x","")</f>
        <v/>
      </c>
      <c r="AA88" s="87" t="str">
        <f>IF(OR(TH!N88=TH!$AA$7,O88=TH!$AA$7),"x","")</f>
        <v/>
      </c>
      <c r="AB88" s="87" t="str">
        <f>IF(AND(OR(N88="131",O88="131"),H88='131-CT'!$H$9),"x","")</f>
        <v/>
      </c>
      <c r="AC88" s="87"/>
      <c r="AD88" s="87" t="str">
        <f>IF(AND(MONTH(E88)='IN-NX'!$J$5,'IN-NX'!$D$7=D88),"x","")</f>
        <v/>
      </c>
      <c r="AE88" s="87" t="str">
        <f>IF(AND(OR(LEFT(TH!N88,2)="15",LEFT(TH!O88,2)="15"),'152-CT'!$J$8=TH!F88),"x","")</f>
        <v/>
      </c>
      <c r="AF88" s="87" t="str">
        <f>IF(AND(OR(LEFT(TH!N88,2)="15",LEFT(TH!O88,2)="15"),'THE KHO'!$E$7=TH!F88),"x","")</f>
        <v/>
      </c>
      <c r="AG88" s="87" t="str">
        <f>IF(AND(N88="1521",MONTH(C88)='BK NL'!$M$11),"x","")</f>
        <v/>
      </c>
    </row>
    <row r="89" spans="1:33" s="404" customFormat="1" ht="15.75" customHeight="1">
      <c r="A89" s="399" t="str">
        <f>IF(B89&lt;&gt;"",IF(AND(B89&gt;=_TM1,B89&lt;=_TM2,OR(TH!N89="1111",TH!O89="1111")),TH!D89,""),"")</f>
        <v/>
      </c>
      <c r="B89" s="63">
        <f t="shared" si="4"/>
        <v>1</v>
      </c>
      <c r="C89" s="64">
        <f t="shared" si="5"/>
        <v>42383</v>
      </c>
      <c r="D89" s="64" t="s">
        <v>748</v>
      </c>
      <c r="E89" s="64">
        <v>42383</v>
      </c>
      <c r="F89" s="67" t="s">
        <v>408</v>
      </c>
      <c r="G89" s="362" t="s">
        <v>741</v>
      </c>
      <c r="H89" s="75" t="s">
        <v>680</v>
      </c>
      <c r="I89" s="518">
        <v>150</v>
      </c>
      <c r="J89" s="518">
        <v>9500</v>
      </c>
      <c r="K89" s="509"/>
      <c r="L89" s="518"/>
      <c r="M89" s="65">
        <v>34371000</v>
      </c>
      <c r="N89" s="66" t="s">
        <v>292</v>
      </c>
      <c r="O89" s="66" t="s">
        <v>8</v>
      </c>
      <c r="P89" s="87" t="str">
        <f>IF(AND('331-CT'!$E$7=TH!H89,OR(N89="331",O89="331")),"x","")</f>
        <v/>
      </c>
      <c r="Q89" s="87" t="str">
        <f>IF(AND(B89='111'!$L$11,OR($N89=$Q$7,$O89=$Q$7)),"x","")</f>
        <v/>
      </c>
      <c r="R89" s="87" t="str">
        <f>IF(AND($N89=$Q$7,$B89&lt;'111'!$L$11),"x","")</f>
        <v/>
      </c>
      <c r="S89" s="87" t="str">
        <f>IF(AND($O89=$Q$7,$B89&lt;'111'!$L$11),"x","")</f>
        <v/>
      </c>
      <c r="T89" s="87" t="str">
        <f>IF(ISERROR(FIND('112'!$M$9,G89,1)),"",IF((AND(FIND('112'!$M$9,G89,1)&gt;=1,B89='112'!$K$9,OR($N89='112'!$I$6,$O89='112'!$I$6))),"x",""))</f>
        <v/>
      </c>
      <c r="U89" s="87" t="str">
        <f>IF(ISERROR(FIND('112'!$M$9,G89,1)),"",IF((AND(FIND('112'!$M$9,G89,1)&gt;=1,B89&lt;'112'!$K$9,$N89='112'!$I$6)),"x",""))</f>
        <v/>
      </c>
      <c r="V89" s="87" t="str">
        <f>IF(ISERROR(FIND('112'!$M$9,G89,1)),"",IF((AND(FIND('112'!$M$9,G89,1)&gt;=1,B89&lt;'112'!$K$9,$O89='112'!$I$6)),"x",""))</f>
        <v/>
      </c>
      <c r="W89" s="87" t="str">
        <f>IF(AND($B89&gt;='1331'!$I$9,$B89&lt;='1331'!$J$9,OR($N89=$W$7,$O89=$W$7)),"x","")</f>
        <v/>
      </c>
      <c r="X89" s="87" t="str">
        <f>IF(AND($N89=$W$7,$B89&lt;'1331'!$I$9),"x","")</f>
        <v/>
      </c>
      <c r="Y89" s="87" t="str">
        <f>IF(AND($O89=$W$7,$B89&lt;'1331'!$I$9),"x","")</f>
        <v/>
      </c>
      <c r="Z89" s="87" t="str">
        <f>IF(AND('341-CT'!$H$9=H89,OR(LEFT(N89,3)=$Z$7,LEFT(O89,3)=$Z$7)),"x","")</f>
        <v/>
      </c>
      <c r="AA89" s="87" t="str">
        <f>IF(OR(TH!N89=TH!$AA$7,O89=TH!$AA$7),"x","")</f>
        <v/>
      </c>
      <c r="AB89" s="87" t="str">
        <f>IF(AND(OR(N89="131",O89="131"),H89='131-CT'!$H$9),"x","")</f>
        <v/>
      </c>
      <c r="AC89" s="87"/>
      <c r="AD89" s="87" t="str">
        <f>IF(AND(MONTH(E89)='IN-NX'!$J$5,'IN-NX'!$D$7=D89),"x","")</f>
        <v/>
      </c>
      <c r="AE89" s="87" t="str">
        <f>IF(AND(OR(LEFT(TH!N89,2)="15",LEFT(TH!O89,2)="15"),'152-CT'!$J$8=TH!F89),"x","")</f>
        <v/>
      </c>
      <c r="AF89" s="87" t="str">
        <f>IF(AND(OR(LEFT(TH!N89,2)="15",LEFT(TH!O89,2)="15"),'THE KHO'!$E$7=TH!F89),"x","")</f>
        <v/>
      </c>
      <c r="AG89" s="87" t="str">
        <f>IF(AND(N89="1521",MONTH(C89)='BK NL'!$M$11),"x","")</f>
        <v/>
      </c>
    </row>
    <row r="90" spans="1:33" s="404" customFormat="1" ht="15.75" customHeight="1">
      <c r="A90" s="399" t="str">
        <f>IF(B90&lt;&gt;"",IF(AND(B90&gt;=_TM1,B90&lt;=_TM2,OR(TH!N90="1111",TH!O90="1111")),TH!D90,""),"")</f>
        <v/>
      </c>
      <c r="B90" s="63">
        <f t="shared" si="4"/>
        <v>1</v>
      </c>
      <c r="C90" s="64">
        <f t="shared" si="5"/>
        <v>42383</v>
      </c>
      <c r="D90" s="64" t="s">
        <v>748</v>
      </c>
      <c r="E90" s="64">
        <v>42383</v>
      </c>
      <c r="F90" s="67" t="s">
        <v>410</v>
      </c>
      <c r="G90" s="362" t="s">
        <v>741</v>
      </c>
      <c r="H90" s="75" t="s">
        <v>680</v>
      </c>
      <c r="I90" s="518">
        <v>400</v>
      </c>
      <c r="J90" s="518">
        <v>17000</v>
      </c>
      <c r="K90" s="509"/>
      <c r="L90" s="518"/>
      <c r="M90" s="65">
        <v>34371000</v>
      </c>
      <c r="N90" s="66" t="s">
        <v>292</v>
      </c>
      <c r="O90" s="66" t="s">
        <v>8</v>
      </c>
      <c r="P90" s="87" t="str">
        <f>IF(AND('331-CT'!$E$7=TH!H90,OR(N90="331",O90="331")),"x","")</f>
        <v/>
      </c>
      <c r="Q90" s="87" t="str">
        <f>IF(AND(B90='111'!$L$11,OR($N90=$Q$7,$O90=$Q$7)),"x","")</f>
        <v/>
      </c>
      <c r="R90" s="87" t="str">
        <f>IF(AND($N90=$Q$7,$B90&lt;'111'!$L$11),"x","")</f>
        <v/>
      </c>
      <c r="S90" s="87" t="str">
        <f>IF(AND($O90=$Q$7,$B90&lt;'111'!$L$11),"x","")</f>
        <v/>
      </c>
      <c r="T90" s="87" t="str">
        <f>IF(ISERROR(FIND('112'!$M$9,G90,1)),"",IF((AND(FIND('112'!$M$9,G90,1)&gt;=1,B90='112'!$K$9,OR($N90='112'!$I$6,$O90='112'!$I$6))),"x",""))</f>
        <v/>
      </c>
      <c r="U90" s="87" t="str">
        <f>IF(ISERROR(FIND('112'!$M$9,G90,1)),"",IF((AND(FIND('112'!$M$9,G90,1)&gt;=1,B90&lt;'112'!$K$9,$N90='112'!$I$6)),"x",""))</f>
        <v/>
      </c>
      <c r="V90" s="87" t="str">
        <f>IF(ISERROR(FIND('112'!$M$9,G90,1)),"",IF((AND(FIND('112'!$M$9,G90,1)&gt;=1,B90&lt;'112'!$K$9,$O90='112'!$I$6)),"x",""))</f>
        <v/>
      </c>
      <c r="W90" s="87" t="str">
        <f>IF(AND($B90&gt;='1331'!$I$9,$B90&lt;='1331'!$J$9,OR($N90=$W$7,$O90=$W$7)),"x","")</f>
        <v/>
      </c>
      <c r="X90" s="87" t="str">
        <f>IF(AND($N90=$W$7,$B90&lt;'1331'!$I$9),"x","")</f>
        <v/>
      </c>
      <c r="Y90" s="87" t="str">
        <f>IF(AND($O90=$W$7,$B90&lt;'1331'!$I$9),"x","")</f>
        <v/>
      </c>
      <c r="Z90" s="87" t="str">
        <f>IF(AND('341-CT'!$H$9=H90,OR(LEFT(N90,3)=$Z$7,LEFT(O90,3)=$Z$7)),"x","")</f>
        <v/>
      </c>
      <c r="AA90" s="87" t="str">
        <f>IF(OR(TH!N90=TH!$AA$7,O90=TH!$AA$7),"x","")</f>
        <v/>
      </c>
      <c r="AB90" s="87" t="str">
        <f>IF(AND(OR(N90="131",O90="131"),H90='131-CT'!$H$9),"x","")</f>
        <v/>
      </c>
      <c r="AC90" s="87"/>
      <c r="AD90" s="87" t="str">
        <f>IF(AND(MONTH(E90)='IN-NX'!$J$5,'IN-NX'!$D$7=D90),"x","")</f>
        <v/>
      </c>
      <c r="AE90" s="87" t="str">
        <f>IF(AND(OR(LEFT(TH!N90,2)="15",LEFT(TH!O90,2)="15"),'152-CT'!$J$8=TH!F90),"x","")</f>
        <v/>
      </c>
      <c r="AF90" s="87" t="str">
        <f>IF(AND(OR(LEFT(TH!N90,2)="15",LEFT(TH!O90,2)="15"),'THE KHO'!$E$7=TH!F90),"x","")</f>
        <v/>
      </c>
      <c r="AG90" s="87" t="str">
        <f>IF(AND(N90="1521",MONTH(C90)='BK NL'!$M$11),"x","")</f>
        <v/>
      </c>
    </row>
    <row r="91" spans="1:33" s="406" customFormat="1" ht="15.75" customHeight="1">
      <c r="A91" s="399" t="str">
        <f>IF(B91&lt;&gt;"",IF(AND(B91&gt;=_TM1,B91&lt;=_TM2,OR(TH!N91="1111",TH!O91="1111")),TH!D91,""),"")</f>
        <v/>
      </c>
      <c r="B91" s="63">
        <f t="shared" si="4"/>
        <v>1</v>
      </c>
      <c r="C91" s="64">
        <f t="shared" si="5"/>
        <v>42383</v>
      </c>
      <c r="D91" s="64" t="s">
        <v>748</v>
      </c>
      <c r="E91" s="64">
        <v>42383</v>
      </c>
      <c r="F91" s="67" t="s">
        <v>413</v>
      </c>
      <c r="G91" s="362" t="s">
        <v>741</v>
      </c>
      <c r="H91" s="75" t="s">
        <v>680</v>
      </c>
      <c r="I91" s="518">
        <v>400</v>
      </c>
      <c r="J91" s="518">
        <v>2500</v>
      </c>
      <c r="K91" s="509"/>
      <c r="L91" s="518"/>
      <c r="M91" s="65">
        <v>34371000</v>
      </c>
      <c r="N91" s="66" t="s">
        <v>292</v>
      </c>
      <c r="O91" s="66" t="s">
        <v>8</v>
      </c>
      <c r="P91" s="87" t="str">
        <f>IF(AND('331-CT'!$E$7=TH!H91,OR(N91="331",O91="331")),"x","")</f>
        <v/>
      </c>
      <c r="Q91" s="87" t="str">
        <f>IF(AND(B91='111'!$L$11,OR($N91=$Q$7,$O91=$Q$7)),"x","")</f>
        <v/>
      </c>
      <c r="R91" s="87" t="str">
        <f>IF(AND($N91=$Q$7,$B91&lt;'111'!$L$11),"x","")</f>
        <v/>
      </c>
      <c r="S91" s="87" t="str">
        <f>IF(AND($O91=$Q$7,$B91&lt;'111'!$L$11),"x","")</f>
        <v/>
      </c>
      <c r="T91" s="87" t="str">
        <f>IF(ISERROR(FIND('112'!$M$9,G91,1)),"",IF((AND(FIND('112'!$M$9,G91,1)&gt;=1,B91='112'!$K$9,OR($N91='112'!$I$6,$O91='112'!$I$6))),"x",""))</f>
        <v/>
      </c>
      <c r="U91" s="87" t="str">
        <f>IF(ISERROR(FIND('112'!$M$9,G91,1)),"",IF((AND(FIND('112'!$M$9,G91,1)&gt;=1,B91&lt;'112'!$K$9,$N91='112'!$I$6)),"x",""))</f>
        <v/>
      </c>
      <c r="V91" s="87" t="str">
        <f>IF(ISERROR(FIND('112'!$M$9,G91,1)),"",IF((AND(FIND('112'!$M$9,G91,1)&gt;=1,B91&lt;'112'!$K$9,$O91='112'!$I$6)),"x",""))</f>
        <v/>
      </c>
      <c r="W91" s="87" t="str">
        <f>IF(AND($B91&gt;='1331'!$I$9,$B91&lt;='1331'!$J$9,OR($N91=$W$7,$O91=$W$7)),"x","")</f>
        <v/>
      </c>
      <c r="X91" s="87" t="str">
        <f>IF(AND($N91=$W$7,$B91&lt;'1331'!$I$9),"x","")</f>
        <v/>
      </c>
      <c r="Y91" s="87" t="str">
        <f>IF(AND($O91=$W$7,$B91&lt;'1331'!$I$9),"x","")</f>
        <v/>
      </c>
      <c r="Z91" s="87" t="str">
        <f>IF(AND('341-CT'!$H$9=H91,OR(LEFT(N91,3)=$Z$7,LEFT(O91,3)=$Z$7)),"x","")</f>
        <v/>
      </c>
      <c r="AA91" s="87" t="str">
        <f>IF(OR(TH!N91=TH!$AA$7,O91=TH!$AA$7),"x","")</f>
        <v/>
      </c>
      <c r="AB91" s="87" t="str">
        <f>IF(AND(OR(N91="131",O91="131"),H91='131-CT'!$H$9),"x","")</f>
        <v/>
      </c>
      <c r="AC91" s="87"/>
      <c r="AD91" s="87" t="str">
        <f>IF(AND(MONTH(E91)='IN-NX'!$J$5,'IN-NX'!$D$7=D91),"x","")</f>
        <v/>
      </c>
      <c r="AE91" s="87" t="str">
        <f>IF(AND(OR(LEFT(TH!N91,2)="15",LEFT(TH!O91,2)="15"),'152-CT'!$J$8=TH!F91),"x","")</f>
        <v/>
      </c>
      <c r="AF91" s="87" t="str">
        <f>IF(AND(OR(LEFT(TH!N91,2)="15",LEFT(TH!O91,2)="15"),'THE KHO'!$E$7=TH!F91),"x","")</f>
        <v/>
      </c>
      <c r="AG91" s="87" t="str">
        <f>IF(AND(N91="1521",MONTH(C91)='BK NL'!$M$11),"x","")</f>
        <v/>
      </c>
    </row>
    <row r="92" spans="1:33" s="406" customFormat="1" ht="15.75" customHeight="1">
      <c r="A92" s="399" t="str">
        <f>IF(B92&lt;&gt;"",IF(AND(B92&gt;=_TM1,B92&lt;=_TM2,OR(TH!N92="1111",TH!O92="1111")),TH!D92,""),"")</f>
        <v/>
      </c>
      <c r="B92" s="63">
        <f t="shared" si="4"/>
        <v>1</v>
      </c>
      <c r="C92" s="64">
        <f t="shared" si="5"/>
        <v>42383</v>
      </c>
      <c r="D92" s="64" t="s">
        <v>748</v>
      </c>
      <c r="E92" s="64">
        <v>42383</v>
      </c>
      <c r="F92" s="67" t="s">
        <v>417</v>
      </c>
      <c r="G92" s="362" t="s">
        <v>741</v>
      </c>
      <c r="H92" s="75" t="s">
        <v>680</v>
      </c>
      <c r="I92" s="518">
        <v>620</v>
      </c>
      <c r="J92" s="518">
        <v>18300</v>
      </c>
      <c r="K92" s="509"/>
      <c r="L92" s="518"/>
      <c r="M92" s="65">
        <v>34371000</v>
      </c>
      <c r="N92" s="66" t="s">
        <v>292</v>
      </c>
      <c r="O92" s="66" t="s">
        <v>8</v>
      </c>
      <c r="P92" s="87" t="str">
        <f>IF(AND('331-CT'!$E$7=TH!H92,OR(N92="331",O92="331")),"x","")</f>
        <v/>
      </c>
      <c r="Q92" s="87" t="str">
        <f>IF(AND(B92='111'!$L$11,OR($N92=$Q$7,$O92=$Q$7)),"x","")</f>
        <v/>
      </c>
      <c r="R92" s="87" t="str">
        <f>IF(AND($N92=$Q$7,$B92&lt;'111'!$L$11),"x","")</f>
        <v/>
      </c>
      <c r="S92" s="87" t="str">
        <f>IF(AND($O92=$Q$7,$B92&lt;'111'!$L$11),"x","")</f>
        <v/>
      </c>
      <c r="T92" s="87" t="str">
        <f>IF(ISERROR(FIND('112'!$M$9,G92,1)),"",IF((AND(FIND('112'!$M$9,G92,1)&gt;=1,B92='112'!$K$9,OR($N92='112'!$I$6,$O92='112'!$I$6))),"x",""))</f>
        <v/>
      </c>
      <c r="U92" s="87" t="str">
        <f>IF(ISERROR(FIND('112'!$M$9,G92,1)),"",IF((AND(FIND('112'!$M$9,G92,1)&gt;=1,B92&lt;'112'!$K$9,$N92='112'!$I$6)),"x",""))</f>
        <v/>
      </c>
      <c r="V92" s="87" t="str">
        <f>IF(ISERROR(FIND('112'!$M$9,G92,1)),"",IF((AND(FIND('112'!$M$9,G92,1)&gt;=1,B92&lt;'112'!$K$9,$O92='112'!$I$6)),"x",""))</f>
        <v/>
      </c>
      <c r="W92" s="87" t="str">
        <f>IF(AND($B92&gt;='1331'!$I$9,$B92&lt;='1331'!$J$9,OR($N92=$W$7,$O92=$W$7)),"x","")</f>
        <v/>
      </c>
      <c r="X92" s="87" t="str">
        <f>IF(AND($N92=$W$7,$B92&lt;'1331'!$I$9),"x","")</f>
        <v/>
      </c>
      <c r="Y92" s="87" t="str">
        <f>IF(AND($O92=$W$7,$B92&lt;'1331'!$I$9),"x","")</f>
        <v/>
      </c>
      <c r="Z92" s="87" t="str">
        <f>IF(AND('341-CT'!$H$9=H92,OR(LEFT(N92,3)=$Z$7,LEFT(O92,3)=$Z$7)),"x","")</f>
        <v/>
      </c>
      <c r="AA92" s="87" t="str">
        <f>IF(OR(TH!N92=TH!$AA$7,O92=TH!$AA$7),"x","")</f>
        <v/>
      </c>
      <c r="AB92" s="87" t="str">
        <f>IF(AND(OR(N92="131",O92="131"),H92='131-CT'!$H$9),"x","")</f>
        <v/>
      </c>
      <c r="AC92" s="87"/>
      <c r="AD92" s="87" t="str">
        <f>IF(AND(MONTH(E92)='IN-NX'!$J$5,'IN-NX'!$D$7=D92),"x","")</f>
        <v/>
      </c>
      <c r="AE92" s="87" t="str">
        <f>IF(AND(OR(LEFT(TH!N92,2)="15",LEFT(TH!O92,2)="15"),'152-CT'!$J$8=TH!F92),"x","")</f>
        <v/>
      </c>
      <c r="AF92" s="87" t="str">
        <f>IF(AND(OR(LEFT(TH!N92,2)="15",LEFT(TH!O92,2)="15"),'THE KHO'!$E$7=TH!F92),"x","")</f>
        <v/>
      </c>
      <c r="AG92" s="87" t="str">
        <f>IF(AND(N92="1521",MONTH(C92)='BK NL'!$M$11),"x","")</f>
        <v/>
      </c>
    </row>
    <row r="93" spans="1:33" s="404" customFormat="1" ht="15.75" customHeight="1">
      <c r="A93" s="399" t="str">
        <f>IF(B93&lt;&gt;"",IF(AND(B93&gt;=_TM1,B93&lt;=_TM2,OR(TH!N93="1111",TH!O93="1111")),TH!D93,""),"")</f>
        <v/>
      </c>
      <c r="B93" s="63">
        <f t="shared" si="4"/>
        <v>1</v>
      </c>
      <c r="C93" s="64">
        <f t="shared" si="5"/>
        <v>42383</v>
      </c>
      <c r="D93" s="64" t="s">
        <v>748</v>
      </c>
      <c r="E93" s="64">
        <v>42383</v>
      </c>
      <c r="F93" s="67" t="s">
        <v>720</v>
      </c>
      <c r="G93" s="362" t="s">
        <v>741</v>
      </c>
      <c r="H93" s="75" t="s">
        <v>680</v>
      </c>
      <c r="I93" s="518"/>
      <c r="J93" s="518"/>
      <c r="K93" s="509"/>
      <c r="L93" s="518"/>
      <c r="M93" s="65">
        <v>3437100</v>
      </c>
      <c r="N93" s="66" t="s">
        <v>9</v>
      </c>
      <c r="O93" s="66" t="s">
        <v>8</v>
      </c>
      <c r="P93" s="87" t="str">
        <f>IF(AND('331-CT'!$E$7=TH!H93,OR(N93="331",O93="331")),"x","")</f>
        <v/>
      </c>
      <c r="Q93" s="87" t="str">
        <f>IF(AND(B93='111'!$L$11,OR($N93=$Q$7,$O93=$Q$7)),"x","")</f>
        <v/>
      </c>
      <c r="R93" s="87" t="str">
        <f>IF(AND($N93=$Q$7,$B93&lt;'111'!$L$11),"x","")</f>
        <v/>
      </c>
      <c r="S93" s="87" t="str">
        <f>IF(AND($O93=$Q$7,$B93&lt;'111'!$L$11),"x","")</f>
        <v/>
      </c>
      <c r="T93" s="87" t="str">
        <f>IF(ISERROR(FIND('112'!$M$9,G93,1)),"",IF((AND(FIND('112'!$M$9,G93,1)&gt;=1,B93='112'!$K$9,OR($N93='112'!$I$6,$O93='112'!$I$6))),"x",""))</f>
        <v/>
      </c>
      <c r="U93" s="87" t="str">
        <f>IF(ISERROR(FIND('112'!$M$9,G93,1)),"",IF((AND(FIND('112'!$M$9,G93,1)&gt;=1,B93&lt;'112'!$K$9,$N93='112'!$I$6)),"x",""))</f>
        <v/>
      </c>
      <c r="V93" s="87" t="str">
        <f>IF(ISERROR(FIND('112'!$M$9,G93,1)),"",IF((AND(FIND('112'!$M$9,G93,1)&gt;=1,B93&lt;'112'!$K$9,$O93='112'!$I$6)),"x",""))</f>
        <v/>
      </c>
      <c r="W93" s="87" t="str">
        <f>IF(AND($B93&gt;='1331'!$I$9,$B93&lt;='1331'!$J$9,OR($N93=$W$7,$O93=$W$7)),"x","")</f>
        <v>x</v>
      </c>
      <c r="X93" s="87" t="str">
        <f>IF(AND($N93=$W$7,$B93&lt;'1331'!$I$9),"x","")</f>
        <v/>
      </c>
      <c r="Y93" s="87" t="str">
        <f>IF(AND($O93=$W$7,$B93&lt;'1331'!$I$9),"x","")</f>
        <v/>
      </c>
      <c r="Z93" s="87" t="str">
        <f>IF(AND('341-CT'!$H$9=H93,OR(LEFT(N93,3)=$Z$7,LEFT(O93,3)=$Z$7)),"x","")</f>
        <v/>
      </c>
      <c r="AA93" s="87" t="str">
        <f>IF(OR(TH!N93=TH!$AA$7,O93=TH!$AA$7),"x","")</f>
        <v/>
      </c>
      <c r="AB93" s="87" t="str">
        <f>IF(AND(OR(N93="131",O93="131"),H93='131-CT'!$H$9),"x","")</f>
        <v/>
      </c>
      <c r="AC93" s="87"/>
      <c r="AD93" s="87" t="str">
        <f>IF(AND(MONTH(E93)='IN-NX'!$J$5,'IN-NX'!$D$7=D93),"x","")</f>
        <v/>
      </c>
      <c r="AE93" s="87" t="str">
        <f>IF(AND(OR(LEFT(TH!N93,2)="15",LEFT(TH!O93,2)="15"),'152-CT'!$J$8=TH!F93),"x","")</f>
        <v/>
      </c>
      <c r="AF93" s="87" t="str">
        <f>IF(AND(OR(LEFT(TH!N93,2)="15",LEFT(TH!O93,2)="15"),'THE KHO'!$E$7=TH!F93),"x","")</f>
        <v/>
      </c>
      <c r="AG93" s="87" t="str">
        <f>IF(AND(N93="1521",MONTH(C93)='BK NL'!$M$11),"x","")</f>
        <v/>
      </c>
    </row>
    <row r="94" spans="1:33" s="404" customFormat="1" ht="15.75" customHeight="1">
      <c r="A94" s="399" t="str">
        <f>IF(B94&lt;&gt;"",IF(AND(B94&gt;=_TM1,B94&lt;=_TM2,OR(TH!N94="1111",TH!O94="1111")),TH!D94,""),"")</f>
        <v/>
      </c>
      <c r="B94" s="63">
        <f t="shared" si="4"/>
        <v>1</v>
      </c>
      <c r="C94" s="64">
        <f t="shared" si="5"/>
        <v>42387</v>
      </c>
      <c r="D94" s="64" t="s">
        <v>749</v>
      </c>
      <c r="E94" s="64">
        <v>42387</v>
      </c>
      <c r="F94" s="67" t="s">
        <v>364</v>
      </c>
      <c r="G94" s="376" t="s">
        <v>739</v>
      </c>
      <c r="H94" s="75" t="s">
        <v>743</v>
      </c>
      <c r="I94" s="518">
        <v>1000</v>
      </c>
      <c r="J94" s="518">
        <v>14523.81</v>
      </c>
      <c r="K94" s="509"/>
      <c r="L94" s="518"/>
      <c r="M94" s="65">
        <v>14523810</v>
      </c>
      <c r="N94" s="66" t="s">
        <v>292</v>
      </c>
      <c r="O94" s="66" t="s">
        <v>8</v>
      </c>
      <c r="P94" s="87" t="str">
        <f>IF(AND('331-CT'!$E$7=TH!H94,OR(N94="331",O94="331")),"x","")</f>
        <v/>
      </c>
      <c r="Q94" s="87" t="str">
        <f>IF(AND(B94='111'!$L$11,OR($N94=$Q$7,$O94=$Q$7)),"x","")</f>
        <v/>
      </c>
      <c r="R94" s="87" t="str">
        <f>IF(AND($N94=$Q$7,$B94&lt;'111'!$L$11),"x","")</f>
        <v/>
      </c>
      <c r="S94" s="87" t="str">
        <f>IF(AND($O94=$Q$7,$B94&lt;'111'!$L$11),"x","")</f>
        <v/>
      </c>
      <c r="T94" s="87" t="str">
        <f>IF(ISERROR(FIND('112'!$M$9,G94,1)),"",IF((AND(FIND('112'!$M$9,G94,1)&gt;=1,B94='112'!$K$9,OR($N94='112'!$I$6,$O94='112'!$I$6))),"x",""))</f>
        <v/>
      </c>
      <c r="U94" s="87" t="str">
        <f>IF(ISERROR(FIND('112'!$M$9,G94,1)),"",IF((AND(FIND('112'!$M$9,G94,1)&gt;=1,B94&lt;'112'!$K$9,$N94='112'!$I$6)),"x",""))</f>
        <v/>
      </c>
      <c r="V94" s="87" t="str">
        <f>IF(ISERROR(FIND('112'!$M$9,G94,1)),"",IF((AND(FIND('112'!$M$9,G94,1)&gt;=1,B94&lt;'112'!$K$9,$O94='112'!$I$6)),"x",""))</f>
        <v/>
      </c>
      <c r="W94" s="87" t="str">
        <f>IF(AND($B94&gt;='1331'!$I$9,$B94&lt;='1331'!$J$9,OR($N94=$W$7,$O94=$W$7)),"x","")</f>
        <v/>
      </c>
      <c r="X94" s="87" t="str">
        <f>IF(AND($N94=$W$7,$B94&lt;'1331'!$I$9),"x","")</f>
        <v/>
      </c>
      <c r="Y94" s="87" t="str">
        <f>IF(AND($O94=$W$7,$B94&lt;'1331'!$I$9),"x","")</f>
        <v/>
      </c>
      <c r="Z94" s="87" t="str">
        <f>IF(AND('341-CT'!$H$9=H94,OR(LEFT(N94,3)=$Z$7,LEFT(O94,3)=$Z$7)),"x","")</f>
        <v/>
      </c>
      <c r="AA94" s="87" t="str">
        <f>IF(OR(TH!N94=TH!$AA$7,O94=TH!$AA$7),"x","")</f>
        <v/>
      </c>
      <c r="AB94" s="87" t="str">
        <f>IF(AND(OR(N94="131",O94="131"),H94='131-CT'!$H$9),"x","")</f>
        <v/>
      </c>
      <c r="AC94" s="87"/>
      <c r="AD94" s="87" t="str">
        <f>IF(AND(MONTH(E94)='IN-NX'!$J$5,'IN-NX'!$D$7=D94),"x","")</f>
        <v/>
      </c>
      <c r="AE94" s="87" t="str">
        <f>IF(AND(OR(LEFT(TH!N94,2)="15",LEFT(TH!O94,2)="15"),'152-CT'!$J$8=TH!F94),"x","")</f>
        <v/>
      </c>
      <c r="AF94" s="87" t="str">
        <f>IF(AND(OR(LEFT(TH!N94,2)="15",LEFT(TH!O94,2)="15"),'THE KHO'!$E$7=TH!F94),"x","")</f>
        <v>x</v>
      </c>
      <c r="AG94" s="87" t="str">
        <f>IF(AND(N94="1521",MONTH(C94)='BK NL'!$M$11),"x","")</f>
        <v/>
      </c>
    </row>
    <row r="95" spans="1:33" s="404" customFormat="1" ht="15.75" customHeight="1">
      <c r="A95" s="399" t="str">
        <f>IF(B95&lt;&gt;"",IF(AND(B95&gt;=_TM1,B95&lt;=_TM2,OR(TH!N95="1111",TH!O95="1111")),TH!D95,""),"")</f>
        <v/>
      </c>
      <c r="B95" s="63">
        <f t="shared" si="4"/>
        <v>1</v>
      </c>
      <c r="C95" s="64">
        <f t="shared" si="5"/>
        <v>42387</v>
      </c>
      <c r="D95" s="64" t="s">
        <v>749</v>
      </c>
      <c r="E95" s="64">
        <v>42387</v>
      </c>
      <c r="F95" s="67" t="s">
        <v>716</v>
      </c>
      <c r="G95" s="362" t="s">
        <v>739</v>
      </c>
      <c r="H95" s="75" t="s">
        <v>743</v>
      </c>
      <c r="I95" s="518"/>
      <c r="J95" s="518"/>
      <c r="K95" s="509"/>
      <c r="L95" s="518"/>
      <c r="M95" s="65">
        <v>726190</v>
      </c>
      <c r="N95" s="68" t="s">
        <v>9</v>
      </c>
      <c r="O95" s="66" t="s">
        <v>8</v>
      </c>
      <c r="P95" s="87" t="str">
        <f>IF(AND('331-CT'!$E$7=TH!H95,OR(N95="331",O95="331")),"x","")</f>
        <v/>
      </c>
      <c r="Q95" s="87" t="str">
        <f>IF(AND(B95='111'!$L$11,OR($N95=$Q$7,$O95=$Q$7)),"x","")</f>
        <v/>
      </c>
      <c r="R95" s="87" t="str">
        <f>IF(AND($N95=$Q$7,$B95&lt;'111'!$L$11),"x","")</f>
        <v/>
      </c>
      <c r="S95" s="87" t="str">
        <f>IF(AND($O95=$Q$7,$B95&lt;'111'!$L$11),"x","")</f>
        <v/>
      </c>
      <c r="T95" s="87" t="str">
        <f>IF(ISERROR(FIND('112'!$M$9,G95,1)),"",IF((AND(FIND('112'!$M$9,G95,1)&gt;=1,B95='112'!$K$9,OR($N95='112'!$I$6,$O95='112'!$I$6))),"x",""))</f>
        <v/>
      </c>
      <c r="U95" s="87" t="str">
        <f>IF(ISERROR(FIND('112'!$M$9,G95,1)),"",IF((AND(FIND('112'!$M$9,G95,1)&gt;=1,B95&lt;'112'!$K$9,$N95='112'!$I$6)),"x",""))</f>
        <v/>
      </c>
      <c r="V95" s="87" t="str">
        <f>IF(ISERROR(FIND('112'!$M$9,G95,1)),"",IF((AND(FIND('112'!$M$9,G95,1)&gt;=1,B95&lt;'112'!$K$9,$O95='112'!$I$6)),"x",""))</f>
        <v/>
      </c>
      <c r="W95" s="87" t="str">
        <f>IF(AND($B95&gt;='1331'!$I$9,$B95&lt;='1331'!$J$9,OR($N95=$W$7,$O95=$W$7)),"x","")</f>
        <v>x</v>
      </c>
      <c r="X95" s="87" t="str">
        <f>IF(AND($N95=$W$7,$B95&lt;'1331'!$I$9),"x","")</f>
        <v/>
      </c>
      <c r="Y95" s="87" t="str">
        <f>IF(AND($O95=$W$7,$B95&lt;'1331'!$I$9),"x","")</f>
        <v/>
      </c>
      <c r="Z95" s="87" t="str">
        <f>IF(AND('341-CT'!$H$9=H95,OR(LEFT(N95,3)=$Z$7,LEFT(O95,3)=$Z$7)),"x","")</f>
        <v/>
      </c>
      <c r="AA95" s="87" t="str">
        <f>IF(OR(TH!N95=TH!$AA$7,O95=TH!$AA$7),"x","")</f>
        <v/>
      </c>
      <c r="AB95" s="87" t="str">
        <f>IF(AND(OR(N95="131",O95="131"),H95='131-CT'!$H$9),"x","")</f>
        <v/>
      </c>
      <c r="AC95" s="87"/>
      <c r="AD95" s="87" t="str">
        <f>IF(AND(MONTH(E95)='IN-NX'!$J$5,'IN-NX'!$D$7=D95),"x","")</f>
        <v/>
      </c>
      <c r="AE95" s="87" t="str">
        <f>IF(AND(OR(LEFT(TH!N95,2)="15",LEFT(TH!O95,2)="15"),'152-CT'!$J$8=TH!F95),"x","")</f>
        <v/>
      </c>
      <c r="AF95" s="87" t="str">
        <f>IF(AND(OR(LEFT(TH!N95,2)="15",LEFT(TH!O95,2)="15"),'THE KHO'!$E$7=TH!F95),"x","")</f>
        <v/>
      </c>
      <c r="AG95" s="87" t="str">
        <f>IF(AND(N95="1521",MONTH(C95)='BK NL'!$M$11),"x","")</f>
        <v/>
      </c>
    </row>
    <row r="96" spans="1:33" s="404" customFormat="1" ht="15.75" customHeight="1">
      <c r="A96" s="399" t="str">
        <f>IF(B96&lt;&gt;"",IF(AND(B96&gt;=_TM1,B96&lt;=_TM2,OR(TH!N96="1111",TH!O96="1111")),TH!D96,""),"")</f>
        <v/>
      </c>
      <c r="B96" s="63">
        <f t="shared" si="4"/>
        <v>1</v>
      </c>
      <c r="C96" s="64">
        <f t="shared" si="5"/>
        <v>42391</v>
      </c>
      <c r="D96" s="64" t="s">
        <v>750</v>
      </c>
      <c r="E96" s="64">
        <v>42391</v>
      </c>
      <c r="F96" s="67" t="s">
        <v>721</v>
      </c>
      <c r="G96" s="362" t="s">
        <v>742</v>
      </c>
      <c r="H96" s="75" t="s">
        <v>678</v>
      </c>
      <c r="I96" s="518">
        <v>2500</v>
      </c>
      <c r="J96" s="518">
        <v>14000</v>
      </c>
      <c r="K96" s="509"/>
      <c r="L96" s="518"/>
      <c r="M96" s="65">
        <v>35000000</v>
      </c>
      <c r="N96" s="66" t="s">
        <v>292</v>
      </c>
      <c r="O96" s="66" t="s">
        <v>8</v>
      </c>
      <c r="P96" s="87" t="str">
        <f>IF(AND('331-CT'!$E$7=TH!H96,OR(N96="331",O96="331")),"x","")</f>
        <v/>
      </c>
      <c r="Q96" s="87" t="str">
        <f>IF(AND(B96='111'!$L$11,OR($N96=$Q$7,$O96=$Q$7)),"x","")</f>
        <v/>
      </c>
      <c r="R96" s="87" t="str">
        <f>IF(AND($N96=$Q$7,$B96&lt;'111'!$L$11),"x","")</f>
        <v/>
      </c>
      <c r="S96" s="87" t="str">
        <f>IF(AND($O96=$Q$7,$B96&lt;'111'!$L$11),"x","")</f>
        <v/>
      </c>
      <c r="T96" s="87" t="str">
        <f>IF(ISERROR(FIND('112'!$M$9,G96,1)),"",IF((AND(FIND('112'!$M$9,G96,1)&gt;=1,B96='112'!$K$9,OR($N96='112'!$I$6,$O96='112'!$I$6))),"x",""))</f>
        <v/>
      </c>
      <c r="U96" s="87" t="str">
        <f>IF(ISERROR(FIND('112'!$M$9,G96,1)),"",IF((AND(FIND('112'!$M$9,G96,1)&gt;=1,B96&lt;'112'!$K$9,$N96='112'!$I$6)),"x",""))</f>
        <v/>
      </c>
      <c r="V96" s="87" t="str">
        <f>IF(ISERROR(FIND('112'!$M$9,G96,1)),"",IF((AND(FIND('112'!$M$9,G96,1)&gt;=1,B96&lt;'112'!$K$9,$O96='112'!$I$6)),"x",""))</f>
        <v/>
      </c>
      <c r="W96" s="87" t="str">
        <f>IF(AND($B96&gt;='1331'!$I$9,$B96&lt;='1331'!$J$9,OR($N96=$W$7,$O96=$W$7)),"x","")</f>
        <v/>
      </c>
      <c r="X96" s="87" t="str">
        <f>IF(AND($N96=$W$7,$B96&lt;'1331'!$I$9),"x","")</f>
        <v/>
      </c>
      <c r="Y96" s="87" t="str">
        <f>IF(AND($O96=$W$7,$B96&lt;'1331'!$I$9),"x","")</f>
        <v/>
      </c>
      <c r="Z96" s="87" t="str">
        <f>IF(AND('341-CT'!$H$9=H96,OR(LEFT(N96,3)=$Z$7,LEFT(O96,3)=$Z$7)),"x","")</f>
        <v/>
      </c>
      <c r="AA96" s="87" t="str">
        <f>IF(OR(TH!N96=TH!$AA$7,O96=TH!$AA$7),"x","")</f>
        <v/>
      </c>
      <c r="AB96" s="87" t="str">
        <f>IF(AND(OR(N96="131",O96="131"),H96='131-CT'!$H$9),"x","")</f>
        <v/>
      </c>
      <c r="AC96" s="87"/>
      <c r="AD96" s="87" t="str">
        <f>IF(AND(MONTH(E96)='IN-NX'!$J$5,'IN-NX'!$D$7=D96),"x","")</f>
        <v/>
      </c>
      <c r="AE96" s="87" t="str">
        <f>IF(AND(OR(LEFT(TH!N96,2)="15",LEFT(TH!O96,2)="15"),'152-CT'!$J$8=TH!F96),"x","")</f>
        <v/>
      </c>
      <c r="AF96" s="87" t="str">
        <f>IF(AND(OR(LEFT(TH!N96,2)="15",LEFT(TH!O96,2)="15"),'THE KHO'!$E$7=TH!F96),"x","")</f>
        <v/>
      </c>
      <c r="AG96" s="87" t="str">
        <f>IF(AND(N96="1521",MONTH(C96)='BK NL'!$M$11),"x","")</f>
        <v/>
      </c>
    </row>
    <row r="97" spans="1:33" s="404" customFormat="1" ht="15.75" customHeight="1">
      <c r="A97" s="399" t="str">
        <f>IF(B97&lt;&gt;"",IF(AND(B97&gt;=_TM1,B97&lt;=_TM2,OR(TH!N97="1111",TH!O97="1111")),TH!D97,""),"")</f>
        <v/>
      </c>
      <c r="B97" s="63">
        <f t="shared" si="4"/>
        <v>1</v>
      </c>
      <c r="C97" s="64">
        <f t="shared" si="5"/>
        <v>42391</v>
      </c>
      <c r="D97" s="64" t="s">
        <v>750</v>
      </c>
      <c r="E97" s="64">
        <v>42391</v>
      </c>
      <c r="F97" s="67" t="s">
        <v>722</v>
      </c>
      <c r="G97" s="362" t="s">
        <v>742</v>
      </c>
      <c r="H97" s="75" t="s">
        <v>678</v>
      </c>
      <c r="I97" s="518"/>
      <c r="J97" s="518"/>
      <c r="K97" s="509"/>
      <c r="L97" s="518"/>
      <c r="M97" s="65">
        <v>3500000</v>
      </c>
      <c r="N97" s="66" t="s">
        <v>9</v>
      </c>
      <c r="O97" s="66" t="s">
        <v>8</v>
      </c>
      <c r="P97" s="87" t="str">
        <f>IF(AND('331-CT'!$E$7=TH!H97,OR(N97="331",O97="331")),"x","")</f>
        <v/>
      </c>
      <c r="Q97" s="87" t="str">
        <f>IF(AND(B97='111'!$L$11,OR($N97=$Q$7,$O97=$Q$7)),"x","")</f>
        <v/>
      </c>
      <c r="R97" s="87" t="str">
        <f>IF(AND($N97=$Q$7,$B97&lt;'111'!$L$11),"x","")</f>
        <v/>
      </c>
      <c r="S97" s="87" t="str">
        <f>IF(AND($O97=$Q$7,$B97&lt;'111'!$L$11),"x","")</f>
        <v/>
      </c>
      <c r="T97" s="87" t="str">
        <f>IF(ISERROR(FIND('112'!$M$9,G97,1)),"",IF((AND(FIND('112'!$M$9,G97,1)&gt;=1,B97='112'!$K$9,OR($N97='112'!$I$6,$O97='112'!$I$6))),"x",""))</f>
        <v/>
      </c>
      <c r="U97" s="87" t="str">
        <f>IF(ISERROR(FIND('112'!$M$9,G97,1)),"",IF((AND(FIND('112'!$M$9,G97,1)&gt;=1,B97&lt;'112'!$K$9,$N97='112'!$I$6)),"x",""))</f>
        <v/>
      </c>
      <c r="V97" s="87" t="str">
        <f>IF(ISERROR(FIND('112'!$M$9,G97,1)),"",IF((AND(FIND('112'!$M$9,G97,1)&gt;=1,B97&lt;'112'!$K$9,$O97='112'!$I$6)),"x",""))</f>
        <v/>
      </c>
      <c r="W97" s="87" t="str">
        <f>IF(AND($B97&gt;='1331'!$I$9,$B97&lt;='1331'!$J$9,OR($N97=$W$7,$O97=$W$7)),"x","")</f>
        <v>x</v>
      </c>
      <c r="X97" s="87" t="str">
        <f>IF(AND($N97=$W$7,$B97&lt;'1331'!$I$9),"x","")</f>
        <v/>
      </c>
      <c r="Y97" s="87" t="str">
        <f>IF(AND($O97=$W$7,$B97&lt;'1331'!$I$9),"x","")</f>
        <v/>
      </c>
      <c r="Z97" s="87" t="str">
        <f>IF(AND('341-CT'!$H$9=H97,OR(LEFT(N97,3)=$Z$7,LEFT(O97,3)=$Z$7)),"x","")</f>
        <v/>
      </c>
      <c r="AA97" s="87" t="str">
        <f>IF(OR(TH!N97=TH!$AA$7,O97=TH!$AA$7),"x","")</f>
        <v/>
      </c>
      <c r="AB97" s="87" t="str">
        <f>IF(AND(OR(N97="131",O97="131"),H97='131-CT'!$H$9),"x","")</f>
        <v/>
      </c>
      <c r="AC97" s="87"/>
      <c r="AD97" s="87" t="str">
        <f>IF(AND(MONTH(E97)='IN-NX'!$J$5,'IN-NX'!$D$7=D97),"x","")</f>
        <v/>
      </c>
      <c r="AE97" s="87" t="str">
        <f>IF(AND(OR(LEFT(TH!N97,2)="15",LEFT(TH!O97,2)="15"),'152-CT'!$J$8=TH!F97),"x","")</f>
        <v/>
      </c>
      <c r="AF97" s="87" t="str">
        <f>IF(AND(OR(LEFT(TH!N97,2)="15",LEFT(TH!O97,2)="15"),'THE KHO'!$E$7=TH!F97),"x","")</f>
        <v/>
      </c>
      <c r="AG97" s="87" t="str">
        <f>IF(AND(N97="1521",MONTH(C97)='BK NL'!$M$11),"x","")</f>
        <v/>
      </c>
    </row>
    <row r="98" spans="1:33" s="404" customFormat="1" ht="15.75" customHeight="1">
      <c r="A98" s="399" t="str">
        <f>IF(B98&lt;&gt;"",IF(AND(B98&gt;=_TM1,B98&lt;=_TM2,OR(TH!N98="1111",TH!O98="1111")),TH!D98,""),"")</f>
        <v/>
      </c>
      <c r="B98" s="82">
        <f t="shared" ref="B98:B122" si="6">IF(C98&lt;&gt;"",MONTH(C98),"")</f>
        <v>1</v>
      </c>
      <c r="C98" s="83">
        <f>E98</f>
        <v>42371</v>
      </c>
      <c r="D98" s="83" t="s">
        <v>754</v>
      </c>
      <c r="E98" s="83">
        <v>42371</v>
      </c>
      <c r="F98" s="84" t="s">
        <v>355</v>
      </c>
      <c r="G98" s="378"/>
      <c r="H98" s="85" t="s">
        <v>465</v>
      </c>
      <c r="I98" s="516">
        <v>100</v>
      </c>
      <c r="J98" s="516">
        <v>35444.444444444445</v>
      </c>
      <c r="K98" s="507"/>
      <c r="L98" s="516"/>
      <c r="M98" s="86">
        <f>ROUND(I98*J98,0)</f>
        <v>3544444</v>
      </c>
      <c r="N98" s="87" t="s">
        <v>298</v>
      </c>
      <c r="O98" s="87" t="s">
        <v>292</v>
      </c>
      <c r="P98" s="87" t="str">
        <f>IF(AND('331-CT'!$E$7=TH!H98,OR(N98="331",O98="331")),"x","")</f>
        <v/>
      </c>
      <c r="Q98" s="87" t="str">
        <f>IF(AND(B98='111'!$L$11,OR($N98=$Q$7,$O98=$Q$7)),"x","")</f>
        <v/>
      </c>
      <c r="R98" s="87" t="str">
        <f>IF(AND($N98=$Q$7,$B98&lt;'111'!$L$11),"x","")</f>
        <v/>
      </c>
      <c r="S98" s="87" t="str">
        <f>IF(AND($O98=$Q$7,$B98&lt;'111'!$L$11),"x","")</f>
        <v/>
      </c>
      <c r="T98" s="87" t="str">
        <f>IF(ISERROR(FIND('112'!$M$9,G98,1)),"",IF((AND(FIND('112'!$M$9,G98,1)&gt;=1,B98='112'!$K$9,OR($N98='112'!$I$6,$O98='112'!$I$6))),"x",""))</f>
        <v/>
      </c>
      <c r="U98" s="87" t="str">
        <f>IF(ISERROR(FIND('112'!$M$9,G98,1)),"",IF((AND(FIND('112'!$M$9,G98,1)&gt;=1,B98&lt;'112'!$K$9,$N98='112'!$I$6)),"x",""))</f>
        <v/>
      </c>
      <c r="V98" s="87" t="str">
        <f>IF(ISERROR(FIND('112'!$M$9,G98,1)),"",IF((AND(FIND('112'!$M$9,G98,1)&gt;=1,B98&lt;'112'!$K$9,$O98='112'!$I$6)),"x",""))</f>
        <v/>
      </c>
      <c r="W98" s="87" t="str">
        <f>IF(AND($B98&gt;='1331'!$I$9,$B98&lt;='1331'!$J$9,OR($N98=$W$7,$O98=$W$7)),"x","")</f>
        <v/>
      </c>
      <c r="X98" s="87" t="str">
        <f>IF(AND($N98=$W$7,$B98&lt;'1331'!$I$9),"x","")</f>
        <v/>
      </c>
      <c r="Y98" s="87" t="str">
        <f>IF(AND($O98=$W$7,$B98&lt;'1331'!$I$9),"x","")</f>
        <v/>
      </c>
      <c r="Z98" s="87" t="str">
        <f>IF(AND('341-CT'!$H$9=H98,OR(LEFT(N98,3)=$Z$7,LEFT(O98,3)=$Z$7)),"x","")</f>
        <v/>
      </c>
      <c r="AA98" s="87" t="str">
        <f>IF(OR(TH!N98=TH!$AA$7,O98=TH!$AA$7),"x","")</f>
        <v/>
      </c>
      <c r="AB98" s="87" t="str">
        <f>IF(AND(OR(N98="131",O98="131"),H98='131-CT'!$H$9),"x","")</f>
        <v/>
      </c>
      <c r="AC98" s="87"/>
      <c r="AD98" s="87" t="str">
        <f>IF(AND(MONTH(E98)='IN-NX'!$J$5,'IN-NX'!$D$7=D98),"x","")</f>
        <v>x</v>
      </c>
      <c r="AE98" s="87" t="str">
        <f>IF(AND(OR(LEFT(TH!N98,2)="15",LEFT(TH!O98,2)="15"),'152-CT'!$J$8=TH!F98),"x","")</f>
        <v/>
      </c>
      <c r="AF98" s="87" t="str">
        <f>IF(AND(OR(LEFT(TH!N98,2)="15",LEFT(TH!O98,2)="15"),'THE KHO'!$E$7=TH!F98),"x","")</f>
        <v/>
      </c>
      <c r="AG98" s="87" t="str">
        <f>IF(AND(N98="1521",MONTH(C98)='BK NL'!$M$11),"x","")</f>
        <v/>
      </c>
    </row>
    <row r="99" spans="1:33" s="404" customFormat="1" ht="15.75" customHeight="1">
      <c r="A99" s="399" t="str">
        <f>IF(B99&lt;&gt;"",IF(AND(B99&gt;=_TM1,B99&lt;=_TM2,OR(TH!N99="1111",TH!O99="1111")),TH!D99,""),"")</f>
        <v/>
      </c>
      <c r="B99" s="82">
        <f t="shared" si="6"/>
        <v>1</v>
      </c>
      <c r="C99" s="83">
        <f t="shared" ref="C99:C122" si="7">E99</f>
        <v>42371</v>
      </c>
      <c r="D99" s="83" t="s">
        <v>754</v>
      </c>
      <c r="E99" s="83">
        <v>42371</v>
      </c>
      <c r="F99" s="84" t="s">
        <v>361</v>
      </c>
      <c r="G99" s="378"/>
      <c r="H99" s="85" t="s">
        <v>465</v>
      </c>
      <c r="I99" s="516">
        <v>20</v>
      </c>
      <c r="J99" s="516">
        <v>46741.2</v>
      </c>
      <c r="K99" s="507"/>
      <c r="L99" s="516"/>
      <c r="M99" s="86">
        <f t="shared" ref="M99:M122" si="8">ROUND(I99*J99,0)</f>
        <v>934824</v>
      </c>
      <c r="N99" s="87" t="s">
        <v>298</v>
      </c>
      <c r="O99" s="87" t="s">
        <v>292</v>
      </c>
      <c r="P99" s="87" t="str">
        <f>IF(AND('331-CT'!$E$7=TH!H99,OR(N99="331",O99="331")),"x","")</f>
        <v/>
      </c>
      <c r="Q99" s="87" t="str">
        <f>IF(AND(B99='111'!$L$11,OR($N99=$Q$7,$O99=$Q$7)),"x","")</f>
        <v/>
      </c>
      <c r="R99" s="87" t="str">
        <f>IF(AND($N99=$Q$7,$B99&lt;'111'!$L$11),"x","")</f>
        <v/>
      </c>
      <c r="S99" s="87" t="str">
        <f>IF(AND($O99=$Q$7,$B99&lt;'111'!$L$11),"x","")</f>
        <v/>
      </c>
      <c r="T99" s="87" t="str">
        <f>IF(ISERROR(FIND('112'!$M$9,G99,1)),"",IF((AND(FIND('112'!$M$9,G99,1)&gt;=1,B99='112'!$K$9,OR($N99='112'!$I$6,$O99='112'!$I$6))),"x",""))</f>
        <v/>
      </c>
      <c r="U99" s="87" t="str">
        <f>IF(ISERROR(FIND('112'!$M$9,G99,1)),"",IF((AND(FIND('112'!$M$9,G99,1)&gt;=1,B99&lt;'112'!$K$9,$N99='112'!$I$6)),"x",""))</f>
        <v/>
      </c>
      <c r="V99" s="87" t="str">
        <f>IF(ISERROR(FIND('112'!$M$9,G99,1)),"",IF((AND(FIND('112'!$M$9,G99,1)&gt;=1,B99&lt;'112'!$K$9,$O99='112'!$I$6)),"x",""))</f>
        <v/>
      </c>
      <c r="W99" s="87" t="str">
        <f>IF(AND($B99&gt;='1331'!$I$9,$B99&lt;='1331'!$J$9,OR($N99=$W$7,$O99=$W$7)),"x","")</f>
        <v/>
      </c>
      <c r="X99" s="87" t="str">
        <f>IF(AND($N99=$W$7,$B99&lt;'1331'!$I$9),"x","")</f>
        <v/>
      </c>
      <c r="Y99" s="87" t="str">
        <f>IF(AND($O99=$W$7,$B99&lt;'1331'!$I$9),"x","")</f>
        <v/>
      </c>
      <c r="Z99" s="87" t="str">
        <f>IF(AND('341-CT'!$H$9=H99,OR(LEFT(N99,3)=$Z$7,LEFT(O99,3)=$Z$7)),"x","")</f>
        <v/>
      </c>
      <c r="AA99" s="87" t="str">
        <f>IF(OR(TH!N99=TH!$AA$7,O99=TH!$AA$7),"x","")</f>
        <v/>
      </c>
      <c r="AB99" s="87" t="str">
        <f>IF(AND(OR(N99="131",O99="131"),H99='131-CT'!$H$9),"x","")</f>
        <v/>
      </c>
      <c r="AC99" s="87"/>
      <c r="AD99" s="87" t="str">
        <f>IF(AND(MONTH(E99)='IN-NX'!$J$5,'IN-NX'!$D$7=D99),"x","")</f>
        <v>x</v>
      </c>
      <c r="AE99" s="87" t="str">
        <f>IF(AND(OR(LEFT(TH!N99,2)="15",LEFT(TH!O99,2)="15"),'152-CT'!$J$8=TH!F99),"x","")</f>
        <v/>
      </c>
      <c r="AF99" s="87" t="str">
        <f>IF(AND(OR(LEFT(TH!N99,2)="15",LEFT(TH!O99,2)="15"),'THE KHO'!$E$7=TH!F99),"x","")</f>
        <v/>
      </c>
      <c r="AG99" s="87" t="str">
        <f>IF(AND(N99="1521",MONTH(C99)='BK NL'!$M$11),"x","")</f>
        <v/>
      </c>
    </row>
    <row r="100" spans="1:33" s="404" customFormat="1" ht="15.75" customHeight="1">
      <c r="A100" s="399" t="str">
        <f>IF(B100&lt;&gt;"",IF(AND(B100&gt;=_TM1,B100&lt;=_TM2,OR(TH!N100="1111",TH!O100="1111")),TH!D100,""),"")</f>
        <v/>
      </c>
      <c r="B100" s="63">
        <f t="shared" si="6"/>
        <v>1</v>
      </c>
      <c r="C100" s="83">
        <f t="shared" si="7"/>
        <v>42371</v>
      </c>
      <c r="D100" s="83" t="s">
        <v>754</v>
      </c>
      <c r="E100" s="64">
        <v>42371</v>
      </c>
      <c r="F100" s="67" t="s">
        <v>364</v>
      </c>
      <c r="G100" s="362"/>
      <c r="H100" s="75" t="s">
        <v>465</v>
      </c>
      <c r="I100" s="518">
        <v>150</v>
      </c>
      <c r="J100" s="518">
        <v>11666.673333333334</v>
      </c>
      <c r="K100" s="509"/>
      <c r="L100" s="518"/>
      <c r="M100" s="86">
        <f t="shared" si="8"/>
        <v>1750001</v>
      </c>
      <c r="N100" s="66" t="s">
        <v>298</v>
      </c>
      <c r="O100" s="66" t="s">
        <v>292</v>
      </c>
      <c r="P100" s="87" t="str">
        <f>IF(AND('331-CT'!$E$7=TH!H100,OR(N100="331",O100="331")),"x","")</f>
        <v/>
      </c>
      <c r="Q100" s="87" t="str">
        <f>IF(AND(B100='111'!$L$11,OR($N100=$Q$7,$O100=$Q$7)),"x","")</f>
        <v/>
      </c>
      <c r="R100" s="87" t="str">
        <f>IF(AND($N100=$Q$7,$B100&lt;'111'!$L$11),"x","")</f>
        <v/>
      </c>
      <c r="S100" s="87" t="str">
        <f>IF(AND($O100=$Q$7,$B100&lt;'111'!$L$11),"x","")</f>
        <v/>
      </c>
      <c r="T100" s="87" t="str">
        <f>IF(ISERROR(FIND('112'!$M$9,G100,1)),"",IF((AND(FIND('112'!$M$9,G100,1)&gt;=1,B100='112'!$K$9,OR($N100='112'!$I$6,$O100='112'!$I$6))),"x",""))</f>
        <v/>
      </c>
      <c r="U100" s="87" t="str">
        <f>IF(ISERROR(FIND('112'!$M$9,G100,1)),"",IF((AND(FIND('112'!$M$9,G100,1)&gt;=1,B100&lt;'112'!$K$9,$N100='112'!$I$6)),"x",""))</f>
        <v/>
      </c>
      <c r="V100" s="87" t="str">
        <f>IF(ISERROR(FIND('112'!$M$9,G100,1)),"",IF((AND(FIND('112'!$M$9,G100,1)&gt;=1,B100&lt;'112'!$K$9,$O100='112'!$I$6)),"x",""))</f>
        <v/>
      </c>
      <c r="W100" s="87" t="str">
        <f>IF(AND($B100&gt;='1331'!$I$9,$B100&lt;='1331'!$J$9,OR($N100=$W$7,$O100=$W$7)),"x","")</f>
        <v/>
      </c>
      <c r="X100" s="87" t="str">
        <f>IF(AND($N100=$W$7,$B100&lt;'1331'!$I$9),"x","")</f>
        <v/>
      </c>
      <c r="Y100" s="87" t="str">
        <f>IF(AND($O100=$W$7,$B100&lt;'1331'!$I$9),"x","")</f>
        <v/>
      </c>
      <c r="Z100" s="87" t="str">
        <f>IF(AND('341-CT'!$H$9=H100,OR(LEFT(N100,3)=$Z$7,LEFT(O100,3)=$Z$7)),"x","")</f>
        <v/>
      </c>
      <c r="AA100" s="87" t="str">
        <f>IF(OR(TH!N100=TH!$AA$7,O100=TH!$AA$7),"x","")</f>
        <v/>
      </c>
      <c r="AB100" s="87" t="str">
        <f>IF(AND(OR(N100="131",O100="131"),H100='131-CT'!$H$9),"x","")</f>
        <v/>
      </c>
      <c r="AC100" s="87"/>
      <c r="AD100" s="87" t="str">
        <f>IF(AND(MONTH(E100)='IN-NX'!$J$5,'IN-NX'!$D$7=D100),"x","")</f>
        <v>x</v>
      </c>
      <c r="AE100" s="87" t="str">
        <f>IF(AND(OR(LEFT(TH!N100,2)="15",LEFT(TH!O100,2)="15"),'152-CT'!$J$8=TH!F100),"x","")</f>
        <v/>
      </c>
      <c r="AF100" s="87" t="str">
        <f>IF(AND(OR(LEFT(TH!N100,2)="15",LEFT(TH!O100,2)="15"),'THE KHO'!$E$7=TH!F100),"x","")</f>
        <v>x</v>
      </c>
      <c r="AG100" s="87" t="str">
        <f>IF(AND(N100="1521",MONTH(C100)='BK NL'!$M$11),"x","")</f>
        <v/>
      </c>
    </row>
    <row r="101" spans="1:33" s="404" customFormat="1" ht="15.75" customHeight="1">
      <c r="A101" s="399" t="str">
        <f>IF(B101&lt;&gt;"",IF(AND(B101&gt;=_TM1,B101&lt;=_TM2,OR(TH!N101="1111",TH!O101="1111")),TH!D101,""),"")</f>
        <v/>
      </c>
      <c r="B101" s="63">
        <f t="shared" si="6"/>
        <v>1</v>
      </c>
      <c r="C101" s="83">
        <f t="shared" si="7"/>
        <v>42376</v>
      </c>
      <c r="D101" s="83" t="s">
        <v>755</v>
      </c>
      <c r="E101" s="64">
        <v>42376</v>
      </c>
      <c r="F101" s="67" t="s">
        <v>238</v>
      </c>
      <c r="G101" s="362"/>
      <c r="H101" s="75" t="s">
        <v>465</v>
      </c>
      <c r="I101" s="518">
        <v>100</v>
      </c>
      <c r="J101" s="518">
        <v>21979.791919191921</v>
      </c>
      <c r="K101" s="509"/>
      <c r="L101" s="518"/>
      <c r="M101" s="86">
        <f t="shared" si="8"/>
        <v>2197979</v>
      </c>
      <c r="N101" s="66" t="s">
        <v>298</v>
      </c>
      <c r="O101" s="66" t="s">
        <v>292</v>
      </c>
      <c r="P101" s="87" t="str">
        <f>IF(AND('331-CT'!$E$7=TH!H101,OR(N101="331",O101="331")),"x","")</f>
        <v/>
      </c>
      <c r="Q101" s="87" t="str">
        <f>IF(AND(B101='111'!$L$11,OR($N101=$Q$7,$O101=$Q$7)),"x","")</f>
        <v/>
      </c>
      <c r="R101" s="87" t="str">
        <f>IF(AND($N101=$Q$7,$B101&lt;'111'!$L$11),"x","")</f>
        <v/>
      </c>
      <c r="S101" s="87" t="str">
        <f>IF(AND($O101=$Q$7,$B101&lt;'111'!$L$11),"x","")</f>
        <v/>
      </c>
      <c r="T101" s="87" t="str">
        <f>IF(ISERROR(FIND('112'!$M$9,G101,1)),"",IF((AND(FIND('112'!$M$9,G101,1)&gt;=1,B101='112'!$K$9,OR($N101='112'!$I$6,$O101='112'!$I$6))),"x",""))</f>
        <v/>
      </c>
      <c r="U101" s="87" t="str">
        <f>IF(ISERROR(FIND('112'!$M$9,G101,1)),"",IF((AND(FIND('112'!$M$9,G101,1)&gt;=1,B101&lt;'112'!$K$9,$N101='112'!$I$6)),"x",""))</f>
        <v/>
      </c>
      <c r="V101" s="87" t="str">
        <f>IF(ISERROR(FIND('112'!$M$9,G101,1)),"",IF((AND(FIND('112'!$M$9,G101,1)&gt;=1,B101&lt;'112'!$K$9,$O101='112'!$I$6)),"x",""))</f>
        <v/>
      </c>
      <c r="W101" s="87" t="str">
        <f>IF(AND($B101&gt;='1331'!$I$9,$B101&lt;='1331'!$J$9,OR($N101=$W$7,$O101=$W$7)),"x","")</f>
        <v/>
      </c>
      <c r="X101" s="87" t="str">
        <f>IF(AND($N101=$W$7,$B101&lt;'1331'!$I$9),"x","")</f>
        <v/>
      </c>
      <c r="Y101" s="87" t="str">
        <f>IF(AND($O101=$W$7,$B101&lt;'1331'!$I$9),"x","")</f>
        <v/>
      </c>
      <c r="Z101" s="87" t="str">
        <f>IF(AND('341-CT'!$H$9=H101,OR(LEFT(N101,3)=$Z$7,LEFT(O101,3)=$Z$7)),"x","")</f>
        <v/>
      </c>
      <c r="AA101" s="87" t="str">
        <f>IF(OR(TH!N101=TH!$AA$7,O101=TH!$AA$7),"x","")</f>
        <v/>
      </c>
      <c r="AB101" s="87" t="str">
        <f>IF(AND(OR(N101="131",O101="131"),H101='131-CT'!$H$9),"x","")</f>
        <v/>
      </c>
      <c r="AC101" s="87"/>
      <c r="AD101" s="87" t="str">
        <f>IF(AND(MONTH(E101)='IN-NX'!$J$5,'IN-NX'!$D$7=D101),"x","")</f>
        <v/>
      </c>
      <c r="AE101" s="87" t="str">
        <f>IF(AND(OR(LEFT(TH!N101,2)="15",LEFT(TH!O101,2)="15"),'152-CT'!$J$8=TH!F101),"x","")</f>
        <v/>
      </c>
      <c r="AF101" s="87" t="str">
        <f>IF(AND(OR(LEFT(TH!N101,2)="15",LEFT(TH!O101,2)="15"),'THE KHO'!$E$7=TH!F101),"x","")</f>
        <v/>
      </c>
      <c r="AG101" s="87" t="str">
        <f>IF(AND(N101="1521",MONTH(C101)='BK NL'!$M$11),"x","")</f>
        <v/>
      </c>
    </row>
    <row r="102" spans="1:33" s="404" customFormat="1" ht="15.75" customHeight="1">
      <c r="A102" s="399" t="str">
        <f>IF(B102&lt;&gt;"",IF(AND(B102&gt;=_TM1,B102&lt;=_TM2,OR(TH!N102="1111",TH!O102="1111")),TH!D102,""),"")</f>
        <v/>
      </c>
      <c r="B102" s="63">
        <f t="shared" si="6"/>
        <v>1</v>
      </c>
      <c r="C102" s="83">
        <f t="shared" si="7"/>
        <v>42376</v>
      </c>
      <c r="D102" s="83" t="s">
        <v>755</v>
      </c>
      <c r="E102" s="64">
        <v>42376</v>
      </c>
      <c r="F102" s="67" t="s">
        <v>372</v>
      </c>
      <c r="G102" s="362"/>
      <c r="H102" s="75" t="s">
        <v>465</v>
      </c>
      <c r="I102" s="518">
        <v>810</v>
      </c>
      <c r="J102" s="518">
        <v>14899.999259259259</v>
      </c>
      <c r="K102" s="509"/>
      <c r="L102" s="518"/>
      <c r="M102" s="86">
        <f t="shared" si="8"/>
        <v>12068999</v>
      </c>
      <c r="N102" s="66" t="s">
        <v>298</v>
      </c>
      <c r="O102" s="66" t="s">
        <v>292</v>
      </c>
      <c r="P102" s="87" t="str">
        <f>IF(AND('331-CT'!$E$7=TH!H102,OR(N102="331",O102="331")),"x","")</f>
        <v/>
      </c>
      <c r="Q102" s="87" t="str">
        <f>IF(AND(B102='111'!$L$11,OR($N102=$Q$7,$O102=$Q$7)),"x","")</f>
        <v/>
      </c>
      <c r="R102" s="87" t="str">
        <f>IF(AND($N102=$Q$7,$B102&lt;'111'!$L$11),"x","")</f>
        <v/>
      </c>
      <c r="S102" s="87" t="str">
        <f>IF(AND($O102=$Q$7,$B102&lt;'111'!$L$11),"x","")</f>
        <v/>
      </c>
      <c r="T102" s="87" t="str">
        <f>IF(ISERROR(FIND('112'!$M$9,G102,1)),"",IF((AND(FIND('112'!$M$9,G102,1)&gt;=1,B102='112'!$K$9,OR($N102='112'!$I$6,$O102='112'!$I$6))),"x",""))</f>
        <v/>
      </c>
      <c r="U102" s="87" t="str">
        <f>IF(ISERROR(FIND('112'!$M$9,G102,1)),"",IF((AND(FIND('112'!$M$9,G102,1)&gt;=1,B102&lt;'112'!$K$9,$N102='112'!$I$6)),"x",""))</f>
        <v/>
      </c>
      <c r="V102" s="87" t="str">
        <f>IF(ISERROR(FIND('112'!$M$9,G102,1)),"",IF((AND(FIND('112'!$M$9,G102,1)&gt;=1,B102&lt;'112'!$K$9,$O102='112'!$I$6)),"x",""))</f>
        <v/>
      </c>
      <c r="W102" s="87" t="str">
        <f>IF(AND($B102&gt;='1331'!$I$9,$B102&lt;='1331'!$J$9,OR($N102=$W$7,$O102=$W$7)),"x","")</f>
        <v/>
      </c>
      <c r="X102" s="87" t="str">
        <f>IF(AND($N102=$W$7,$B102&lt;'1331'!$I$9),"x","")</f>
        <v/>
      </c>
      <c r="Y102" s="87" t="str">
        <f>IF(AND($O102=$W$7,$B102&lt;'1331'!$I$9),"x","")</f>
        <v/>
      </c>
      <c r="Z102" s="87" t="str">
        <f>IF(AND('341-CT'!$H$9=H102,OR(LEFT(N102,3)=$Z$7,LEFT(O102,3)=$Z$7)),"x","")</f>
        <v/>
      </c>
      <c r="AA102" s="87" t="str">
        <f>IF(OR(TH!N102=TH!$AA$7,O102=TH!$AA$7),"x","")</f>
        <v/>
      </c>
      <c r="AB102" s="87" t="str">
        <f>IF(AND(OR(N102="131",O102="131"),H102='131-CT'!$H$9),"x","")</f>
        <v/>
      </c>
      <c r="AC102" s="87"/>
      <c r="AD102" s="87" t="str">
        <f>IF(AND(MONTH(E102)='IN-NX'!$J$5,'IN-NX'!$D$7=D102),"x","")</f>
        <v/>
      </c>
      <c r="AE102" s="87" t="str">
        <f>IF(AND(OR(LEFT(TH!N102,2)="15",LEFT(TH!O102,2)="15"),'152-CT'!$J$8=TH!F102),"x","")</f>
        <v/>
      </c>
      <c r="AF102" s="87" t="str">
        <f>IF(AND(OR(LEFT(TH!N102,2)="15",LEFT(TH!O102,2)="15"),'THE KHO'!$E$7=TH!F102),"x","")</f>
        <v/>
      </c>
      <c r="AG102" s="87" t="str">
        <f>IF(AND(N102="1521",MONTH(C102)='BK NL'!$M$11),"x","")</f>
        <v/>
      </c>
    </row>
    <row r="103" spans="1:33" s="404" customFormat="1" ht="15.75" customHeight="1">
      <c r="A103" s="399" t="str">
        <f>IF(B103&lt;&gt;"",IF(AND(B103&gt;=_TM1,B103&lt;=_TM2,OR(TH!N103="1111",TH!O103="1111")),TH!D103,""),"")</f>
        <v/>
      </c>
      <c r="B103" s="63">
        <f t="shared" si="6"/>
        <v>1</v>
      </c>
      <c r="C103" s="83">
        <f t="shared" si="7"/>
        <v>42384</v>
      </c>
      <c r="D103" s="83" t="s">
        <v>756</v>
      </c>
      <c r="E103" s="64">
        <v>42384</v>
      </c>
      <c r="F103" s="67" t="s">
        <v>375</v>
      </c>
      <c r="G103" s="362"/>
      <c r="H103" s="75" t="s">
        <v>465</v>
      </c>
      <c r="I103" s="518">
        <v>200</v>
      </c>
      <c r="J103" s="518">
        <v>8500</v>
      </c>
      <c r="K103" s="509"/>
      <c r="L103" s="518"/>
      <c r="M103" s="86">
        <f t="shared" si="8"/>
        <v>1700000</v>
      </c>
      <c r="N103" s="66" t="s">
        <v>298</v>
      </c>
      <c r="O103" s="66" t="s">
        <v>292</v>
      </c>
      <c r="P103" s="87" t="str">
        <f>IF(AND('331-CT'!$E$7=TH!H103,OR(N103="331",O103="331")),"x","")</f>
        <v/>
      </c>
      <c r="Q103" s="87" t="str">
        <f>IF(AND(B103='111'!$L$11,OR($N103=$Q$7,$O103=$Q$7)),"x","")</f>
        <v/>
      </c>
      <c r="R103" s="87" t="str">
        <f>IF(AND($N103=$Q$7,$B103&lt;'111'!$L$11),"x","")</f>
        <v/>
      </c>
      <c r="S103" s="87" t="str">
        <f>IF(AND($O103=$Q$7,$B103&lt;'111'!$L$11),"x","")</f>
        <v/>
      </c>
      <c r="T103" s="87" t="str">
        <f>IF(ISERROR(FIND('112'!$M$9,G103,1)),"",IF((AND(FIND('112'!$M$9,G103,1)&gt;=1,B103='112'!$K$9,OR($N103='112'!$I$6,$O103='112'!$I$6))),"x",""))</f>
        <v/>
      </c>
      <c r="U103" s="87" t="str">
        <f>IF(ISERROR(FIND('112'!$M$9,G103,1)),"",IF((AND(FIND('112'!$M$9,G103,1)&gt;=1,B103&lt;'112'!$K$9,$N103='112'!$I$6)),"x",""))</f>
        <v/>
      </c>
      <c r="V103" s="87" t="str">
        <f>IF(ISERROR(FIND('112'!$M$9,G103,1)),"",IF((AND(FIND('112'!$M$9,G103,1)&gt;=1,B103&lt;'112'!$K$9,$O103='112'!$I$6)),"x",""))</f>
        <v/>
      </c>
      <c r="W103" s="87" t="str">
        <f>IF(AND($B103&gt;='1331'!$I$9,$B103&lt;='1331'!$J$9,OR($N103=$W$7,$O103=$W$7)),"x","")</f>
        <v/>
      </c>
      <c r="X103" s="87" t="str">
        <f>IF(AND($N103=$W$7,$B103&lt;'1331'!$I$9),"x","")</f>
        <v/>
      </c>
      <c r="Y103" s="87" t="str">
        <f>IF(AND($O103=$W$7,$B103&lt;'1331'!$I$9),"x","")</f>
        <v/>
      </c>
      <c r="Z103" s="87" t="str">
        <f>IF(AND('341-CT'!$H$9=H103,OR(LEFT(N103,3)=$Z$7,LEFT(O103,3)=$Z$7)),"x","")</f>
        <v/>
      </c>
      <c r="AA103" s="87" t="str">
        <f>IF(OR(TH!N103=TH!$AA$7,O103=TH!$AA$7),"x","")</f>
        <v/>
      </c>
      <c r="AB103" s="87" t="str">
        <f>IF(AND(OR(N103="131",O103="131"),H103='131-CT'!$H$9),"x","")</f>
        <v/>
      </c>
      <c r="AC103" s="87"/>
      <c r="AD103" s="87" t="str">
        <f>IF(AND(MONTH(E103)='IN-NX'!$J$5,'IN-NX'!$D$7=D103),"x","")</f>
        <v/>
      </c>
      <c r="AE103" s="87" t="str">
        <f>IF(AND(OR(LEFT(TH!N103,2)="15",LEFT(TH!O103,2)="15"),'152-CT'!$J$8=TH!F103),"x","")</f>
        <v/>
      </c>
      <c r="AF103" s="87" t="str">
        <f>IF(AND(OR(LEFT(TH!N103,2)="15",LEFT(TH!O103,2)="15"),'THE KHO'!$E$7=TH!F103),"x","")</f>
        <v/>
      </c>
      <c r="AG103" s="87" t="str">
        <f>IF(AND(N103="1521",MONTH(C103)='BK NL'!$M$11),"x","")</f>
        <v/>
      </c>
    </row>
    <row r="104" spans="1:33" s="404" customFormat="1" ht="15.75" customHeight="1">
      <c r="A104" s="399" t="str">
        <f>IF(B104&lt;&gt;"",IF(AND(B104&gt;=_TM1,B104&lt;=_TM2,OR(TH!N104="1111",TH!O104="1111")),TH!D104,""),"")</f>
        <v/>
      </c>
      <c r="B104" s="63">
        <f t="shared" si="6"/>
        <v>1</v>
      </c>
      <c r="C104" s="83">
        <f t="shared" si="7"/>
        <v>42384</v>
      </c>
      <c r="D104" s="83" t="s">
        <v>756</v>
      </c>
      <c r="E104" s="64">
        <v>42384</v>
      </c>
      <c r="F104" s="67" t="s">
        <v>379</v>
      </c>
      <c r="G104" s="362"/>
      <c r="H104" s="77" t="s">
        <v>465</v>
      </c>
      <c r="I104" s="520">
        <v>1000</v>
      </c>
      <c r="J104" s="520">
        <v>323.05155766077667</v>
      </c>
      <c r="K104" s="511"/>
      <c r="L104" s="520"/>
      <c r="M104" s="86">
        <f t="shared" si="8"/>
        <v>323052</v>
      </c>
      <c r="N104" s="66" t="s">
        <v>298</v>
      </c>
      <c r="O104" s="66" t="s">
        <v>292</v>
      </c>
      <c r="P104" s="87" t="str">
        <f>IF(AND('331-CT'!$E$7=TH!H104,OR(N104="331",O104="331")),"x","")</f>
        <v/>
      </c>
      <c r="Q104" s="87" t="str">
        <f>IF(AND(B104='111'!$L$11,OR($N104=$Q$7,$O104=$Q$7)),"x","")</f>
        <v/>
      </c>
      <c r="R104" s="87" t="str">
        <f>IF(AND($N104=$Q$7,$B104&lt;'111'!$L$11),"x","")</f>
        <v/>
      </c>
      <c r="S104" s="87" t="str">
        <f>IF(AND($O104=$Q$7,$B104&lt;'111'!$L$11),"x","")</f>
        <v/>
      </c>
      <c r="T104" s="87" t="str">
        <f>IF(ISERROR(FIND('112'!$M$9,G104,1)),"",IF((AND(FIND('112'!$M$9,G104,1)&gt;=1,B104='112'!$K$9,OR($N104='112'!$I$6,$O104='112'!$I$6))),"x",""))</f>
        <v/>
      </c>
      <c r="U104" s="87" t="str">
        <f>IF(ISERROR(FIND('112'!$M$9,G104,1)),"",IF((AND(FIND('112'!$M$9,G104,1)&gt;=1,B104&lt;'112'!$K$9,$N104='112'!$I$6)),"x",""))</f>
        <v/>
      </c>
      <c r="V104" s="87" t="str">
        <f>IF(ISERROR(FIND('112'!$M$9,G104,1)),"",IF((AND(FIND('112'!$M$9,G104,1)&gt;=1,B104&lt;'112'!$K$9,$O104='112'!$I$6)),"x",""))</f>
        <v/>
      </c>
      <c r="W104" s="87" t="str">
        <f>IF(AND($B104&gt;='1331'!$I$9,$B104&lt;='1331'!$J$9,OR($N104=$W$7,$O104=$W$7)),"x","")</f>
        <v/>
      </c>
      <c r="X104" s="87" t="str">
        <f>IF(AND($N104=$W$7,$B104&lt;'1331'!$I$9),"x","")</f>
        <v/>
      </c>
      <c r="Y104" s="87" t="str">
        <f>IF(AND($O104=$W$7,$B104&lt;'1331'!$I$9),"x","")</f>
        <v/>
      </c>
      <c r="Z104" s="87" t="str">
        <f>IF(AND('341-CT'!$H$9=H104,OR(LEFT(N104,3)=$Z$7,LEFT(O104,3)=$Z$7)),"x","")</f>
        <v/>
      </c>
      <c r="AA104" s="87" t="str">
        <f>IF(OR(TH!N104=TH!$AA$7,O104=TH!$AA$7),"x","")</f>
        <v/>
      </c>
      <c r="AB104" s="87" t="str">
        <f>IF(AND(OR(N104="131",O104="131"),H104='131-CT'!$H$9),"x","")</f>
        <v/>
      </c>
      <c r="AC104" s="87"/>
      <c r="AD104" s="87" t="str">
        <f>IF(AND(MONTH(E104)='IN-NX'!$J$5,'IN-NX'!$D$7=D104),"x","")</f>
        <v/>
      </c>
      <c r="AE104" s="87" t="str">
        <f>IF(AND(OR(LEFT(TH!N104,2)="15",LEFT(TH!O104,2)="15"),'152-CT'!$J$8=TH!F104),"x","")</f>
        <v/>
      </c>
      <c r="AF104" s="87" t="str">
        <f>IF(AND(OR(LEFT(TH!N104,2)="15",LEFT(TH!O104,2)="15"),'THE KHO'!$E$7=TH!F104),"x","")</f>
        <v/>
      </c>
      <c r="AG104" s="87" t="str">
        <f>IF(AND(N104="1521",MONTH(C104)='BK NL'!$M$11),"x","")</f>
        <v/>
      </c>
    </row>
    <row r="105" spans="1:33" s="404" customFormat="1" ht="15.75" customHeight="1">
      <c r="A105" s="399" t="str">
        <f>IF(B105&lt;&gt;"",IF(AND(B105&gt;=_TM1,B105&lt;=_TM2,OR(TH!N105="1111",TH!O105="1111")),TH!D105,""),"")</f>
        <v/>
      </c>
      <c r="B105" s="63">
        <f t="shared" si="6"/>
        <v>1</v>
      </c>
      <c r="C105" s="83">
        <f t="shared" si="7"/>
        <v>42388</v>
      </c>
      <c r="D105" s="83" t="s">
        <v>757</v>
      </c>
      <c r="E105" s="64">
        <v>42388</v>
      </c>
      <c r="F105" s="67" t="s">
        <v>410</v>
      </c>
      <c r="G105" s="362"/>
      <c r="H105" s="77" t="s">
        <v>465</v>
      </c>
      <c r="I105" s="520">
        <v>400</v>
      </c>
      <c r="J105" s="520">
        <v>17000</v>
      </c>
      <c r="K105" s="511"/>
      <c r="L105" s="520"/>
      <c r="M105" s="86">
        <f t="shared" si="8"/>
        <v>6800000</v>
      </c>
      <c r="N105" s="66" t="s">
        <v>298</v>
      </c>
      <c r="O105" s="66" t="s">
        <v>292</v>
      </c>
      <c r="P105" s="87" t="str">
        <f>IF(AND('331-CT'!$E$7=TH!H105,OR(N105="331",O105="331")),"x","")</f>
        <v/>
      </c>
      <c r="Q105" s="87" t="str">
        <f>IF(AND(B105='111'!$L$11,OR($N105=$Q$7,$O105=$Q$7)),"x","")</f>
        <v/>
      </c>
      <c r="R105" s="87" t="str">
        <f>IF(AND($N105=$Q$7,$B105&lt;'111'!$L$11),"x","")</f>
        <v/>
      </c>
      <c r="S105" s="87" t="str">
        <f>IF(AND($O105=$Q$7,$B105&lt;'111'!$L$11),"x","")</f>
        <v/>
      </c>
      <c r="T105" s="87" t="str">
        <f>IF(ISERROR(FIND('112'!$M$9,G105,1)),"",IF((AND(FIND('112'!$M$9,G105,1)&gt;=1,B105='112'!$K$9,OR($N105='112'!$I$6,$O105='112'!$I$6))),"x",""))</f>
        <v/>
      </c>
      <c r="U105" s="87" t="str">
        <f>IF(ISERROR(FIND('112'!$M$9,G105,1)),"",IF((AND(FIND('112'!$M$9,G105,1)&gt;=1,B105&lt;'112'!$K$9,$N105='112'!$I$6)),"x",""))</f>
        <v/>
      </c>
      <c r="V105" s="87" t="str">
        <f>IF(ISERROR(FIND('112'!$M$9,G105,1)),"",IF((AND(FIND('112'!$M$9,G105,1)&gt;=1,B105&lt;'112'!$K$9,$O105='112'!$I$6)),"x",""))</f>
        <v/>
      </c>
      <c r="W105" s="87" t="str">
        <f>IF(AND($B105&gt;='1331'!$I$9,$B105&lt;='1331'!$J$9,OR($N105=$W$7,$O105=$W$7)),"x","")</f>
        <v/>
      </c>
      <c r="X105" s="87" t="str">
        <f>IF(AND($N105=$W$7,$B105&lt;'1331'!$I$9),"x","")</f>
        <v/>
      </c>
      <c r="Y105" s="87" t="str">
        <f>IF(AND($O105=$W$7,$B105&lt;'1331'!$I$9),"x","")</f>
        <v/>
      </c>
      <c r="Z105" s="87" t="str">
        <f>IF(AND('341-CT'!$H$9=H105,OR(LEFT(N105,3)=$Z$7,LEFT(O105,3)=$Z$7)),"x","")</f>
        <v/>
      </c>
      <c r="AA105" s="87" t="str">
        <f>IF(OR(TH!N105=TH!$AA$7,O105=TH!$AA$7),"x","")</f>
        <v/>
      </c>
      <c r="AB105" s="87" t="str">
        <f>IF(AND(OR(N105="131",O105="131"),H105='131-CT'!$H$9),"x","")</f>
        <v/>
      </c>
      <c r="AC105" s="87"/>
      <c r="AD105" s="87" t="str">
        <f>IF(AND(MONTH(E105)='IN-NX'!$J$5,'IN-NX'!$D$7=D105),"x","")</f>
        <v/>
      </c>
      <c r="AE105" s="87" t="str">
        <f>IF(AND(OR(LEFT(TH!N105,2)="15",LEFT(TH!O105,2)="15"),'152-CT'!$J$8=TH!F105),"x","")</f>
        <v/>
      </c>
      <c r="AF105" s="87" t="str">
        <f>IF(AND(OR(LEFT(TH!N105,2)="15",LEFT(TH!O105,2)="15"),'THE KHO'!$E$7=TH!F105),"x","")</f>
        <v/>
      </c>
      <c r="AG105" s="87" t="str">
        <f>IF(AND(N105="1521",MONTH(C105)='BK NL'!$M$11),"x","")</f>
        <v/>
      </c>
    </row>
    <row r="106" spans="1:33" s="404" customFormat="1" ht="15.75" customHeight="1">
      <c r="A106" s="399" t="str">
        <f>IF(B106&lt;&gt;"",IF(AND(B106&gt;=_TM1,B106&lt;=_TM2,OR(TH!N106="1111",TH!O106="1111")),TH!D106,""),"")</f>
        <v/>
      </c>
      <c r="B106" s="63">
        <f t="shared" si="6"/>
        <v>1</v>
      </c>
      <c r="C106" s="83">
        <f t="shared" si="7"/>
        <v>42388</v>
      </c>
      <c r="D106" s="83" t="s">
        <v>757</v>
      </c>
      <c r="E106" s="64">
        <v>42388</v>
      </c>
      <c r="F106" s="67" t="s">
        <v>413</v>
      </c>
      <c r="G106" s="362"/>
      <c r="H106" s="75" t="s">
        <v>465</v>
      </c>
      <c r="I106" s="518">
        <v>400</v>
      </c>
      <c r="J106" s="518">
        <v>2500</v>
      </c>
      <c r="K106" s="509"/>
      <c r="L106" s="518"/>
      <c r="M106" s="86">
        <f t="shared" si="8"/>
        <v>1000000</v>
      </c>
      <c r="N106" s="66" t="s">
        <v>298</v>
      </c>
      <c r="O106" s="66" t="s">
        <v>292</v>
      </c>
      <c r="P106" s="87" t="str">
        <f>IF(AND('331-CT'!$E$7=TH!H106,OR(N106="331",O106="331")),"x","")</f>
        <v/>
      </c>
      <c r="Q106" s="87" t="str">
        <f>IF(AND(B106='111'!$L$11,OR($N106=$Q$7,$O106=$Q$7)),"x","")</f>
        <v/>
      </c>
      <c r="R106" s="87" t="str">
        <f>IF(AND($N106=$Q$7,$B106&lt;'111'!$L$11),"x","")</f>
        <v/>
      </c>
      <c r="S106" s="87" t="str">
        <f>IF(AND($O106=$Q$7,$B106&lt;'111'!$L$11),"x","")</f>
        <v/>
      </c>
      <c r="T106" s="87" t="str">
        <f>IF(ISERROR(FIND('112'!$M$9,G106,1)),"",IF((AND(FIND('112'!$M$9,G106,1)&gt;=1,B106='112'!$K$9,OR($N106='112'!$I$6,$O106='112'!$I$6))),"x",""))</f>
        <v/>
      </c>
      <c r="U106" s="87" t="str">
        <f>IF(ISERROR(FIND('112'!$M$9,G106,1)),"",IF((AND(FIND('112'!$M$9,G106,1)&gt;=1,B106&lt;'112'!$K$9,$N106='112'!$I$6)),"x",""))</f>
        <v/>
      </c>
      <c r="V106" s="87" t="str">
        <f>IF(ISERROR(FIND('112'!$M$9,G106,1)),"",IF((AND(FIND('112'!$M$9,G106,1)&gt;=1,B106&lt;'112'!$K$9,$O106='112'!$I$6)),"x",""))</f>
        <v/>
      </c>
      <c r="W106" s="87" t="str">
        <f>IF(AND($B106&gt;='1331'!$I$9,$B106&lt;='1331'!$J$9,OR($N106=$W$7,$O106=$W$7)),"x","")</f>
        <v/>
      </c>
      <c r="X106" s="87" t="str">
        <f>IF(AND($N106=$W$7,$B106&lt;'1331'!$I$9),"x","")</f>
        <v/>
      </c>
      <c r="Y106" s="87" t="str">
        <f>IF(AND($O106=$W$7,$B106&lt;'1331'!$I$9),"x","")</f>
        <v/>
      </c>
      <c r="Z106" s="87" t="str">
        <f>IF(AND('341-CT'!$H$9=H106,OR(LEFT(N106,3)=$Z$7,LEFT(O106,3)=$Z$7)),"x","")</f>
        <v/>
      </c>
      <c r="AA106" s="87" t="str">
        <f>IF(OR(TH!N106=TH!$AA$7,O106=TH!$AA$7),"x","")</f>
        <v/>
      </c>
      <c r="AB106" s="87" t="str">
        <f>IF(AND(OR(N106="131",O106="131"),H106='131-CT'!$H$9),"x","")</f>
        <v/>
      </c>
      <c r="AC106" s="87"/>
      <c r="AD106" s="87" t="str">
        <f>IF(AND(MONTH(E106)='IN-NX'!$J$5,'IN-NX'!$D$7=D106),"x","")</f>
        <v/>
      </c>
      <c r="AE106" s="87" t="str">
        <f>IF(AND(OR(LEFT(TH!N106,2)="15",LEFT(TH!O106,2)="15"),'152-CT'!$J$8=TH!F106),"x","")</f>
        <v/>
      </c>
      <c r="AF106" s="87" t="str">
        <f>IF(AND(OR(LEFT(TH!N106,2)="15",LEFT(TH!O106,2)="15"),'THE KHO'!$E$7=TH!F106),"x","")</f>
        <v/>
      </c>
      <c r="AG106" s="87" t="str">
        <f>IF(AND(N106="1521",MONTH(C106)='BK NL'!$M$11),"x","")</f>
        <v/>
      </c>
    </row>
    <row r="107" spans="1:33" s="404" customFormat="1" ht="15.75" customHeight="1">
      <c r="A107" s="399" t="str">
        <f>IF(B107&lt;&gt;"",IF(AND(B107&gt;=_TM1,B107&lt;=_TM2,OR(TH!N107="1111",TH!O107="1111")),TH!D107,""),"")</f>
        <v/>
      </c>
      <c r="B107" s="63">
        <f t="shared" si="6"/>
        <v>1</v>
      </c>
      <c r="C107" s="83">
        <f t="shared" si="7"/>
        <v>42391</v>
      </c>
      <c r="D107" s="83" t="s">
        <v>758</v>
      </c>
      <c r="E107" s="64">
        <v>42391</v>
      </c>
      <c r="F107" s="67" t="s">
        <v>417</v>
      </c>
      <c r="G107" s="362"/>
      <c r="H107" s="77" t="s">
        <v>465</v>
      </c>
      <c r="I107" s="520">
        <v>620</v>
      </c>
      <c r="J107" s="520">
        <v>18300</v>
      </c>
      <c r="K107" s="511"/>
      <c r="L107" s="520"/>
      <c r="M107" s="86">
        <f t="shared" si="8"/>
        <v>11346000</v>
      </c>
      <c r="N107" s="66" t="s">
        <v>298</v>
      </c>
      <c r="O107" s="66" t="s">
        <v>292</v>
      </c>
      <c r="P107" s="87" t="str">
        <f>IF(AND('331-CT'!$E$7=TH!H107,OR(N107="331",O107="331")),"x","")</f>
        <v/>
      </c>
      <c r="Q107" s="87" t="str">
        <f>IF(AND(B107='111'!$L$11,OR($N107=$Q$7,$O107=$Q$7)),"x","")</f>
        <v/>
      </c>
      <c r="R107" s="87" t="str">
        <f>IF(AND($N107=$Q$7,$B107&lt;'111'!$L$11),"x","")</f>
        <v/>
      </c>
      <c r="S107" s="87" t="str">
        <f>IF(AND($O107=$Q$7,$B107&lt;'111'!$L$11),"x","")</f>
        <v/>
      </c>
      <c r="T107" s="87" t="str">
        <f>IF(ISERROR(FIND('112'!$M$9,G107,1)),"",IF((AND(FIND('112'!$M$9,G107,1)&gt;=1,B107='112'!$K$9,OR($N107='112'!$I$6,$O107='112'!$I$6))),"x",""))</f>
        <v/>
      </c>
      <c r="U107" s="87" t="str">
        <f>IF(ISERROR(FIND('112'!$M$9,G107,1)),"",IF((AND(FIND('112'!$M$9,G107,1)&gt;=1,B107&lt;'112'!$K$9,$N107='112'!$I$6)),"x",""))</f>
        <v/>
      </c>
      <c r="V107" s="87" t="str">
        <f>IF(ISERROR(FIND('112'!$M$9,G107,1)),"",IF((AND(FIND('112'!$M$9,G107,1)&gt;=1,B107&lt;'112'!$K$9,$O107='112'!$I$6)),"x",""))</f>
        <v/>
      </c>
      <c r="W107" s="87" t="str">
        <f>IF(AND($B107&gt;='1331'!$I$9,$B107&lt;='1331'!$J$9,OR($N107=$W$7,$O107=$W$7)),"x","")</f>
        <v/>
      </c>
      <c r="X107" s="87" t="str">
        <f>IF(AND($N107=$W$7,$B107&lt;'1331'!$I$9),"x","")</f>
        <v/>
      </c>
      <c r="Y107" s="87" t="str">
        <f>IF(AND($O107=$W$7,$B107&lt;'1331'!$I$9),"x","")</f>
        <v/>
      </c>
      <c r="Z107" s="87" t="str">
        <f>IF(AND('341-CT'!$H$9=H107,OR(LEFT(N107,3)=$Z$7,LEFT(O107,3)=$Z$7)),"x","")</f>
        <v/>
      </c>
      <c r="AA107" s="87" t="str">
        <f>IF(OR(TH!N107=TH!$AA$7,O107=TH!$AA$7),"x","")</f>
        <v/>
      </c>
      <c r="AB107" s="87" t="str">
        <f>IF(AND(OR(N107="131",O107="131"),H107='131-CT'!$H$9),"x","")</f>
        <v/>
      </c>
      <c r="AC107" s="87"/>
      <c r="AD107" s="87" t="str">
        <f>IF(AND(MONTH(E107)='IN-NX'!$J$5,'IN-NX'!$D$7=D107),"x","")</f>
        <v/>
      </c>
      <c r="AE107" s="87" t="str">
        <f>IF(AND(OR(LEFT(TH!N107,2)="15",LEFT(TH!O107,2)="15"),'152-CT'!$J$8=TH!F107),"x","")</f>
        <v/>
      </c>
      <c r="AF107" s="87" t="str">
        <f>IF(AND(OR(LEFT(TH!N107,2)="15",LEFT(TH!O107,2)="15"),'THE KHO'!$E$7=TH!F107),"x","")</f>
        <v/>
      </c>
      <c r="AG107" s="87" t="str">
        <f>IF(AND(N107="1521",MONTH(C107)='BK NL'!$M$11),"x","")</f>
        <v/>
      </c>
    </row>
    <row r="108" spans="1:33" s="404" customFormat="1" ht="15.75" customHeight="1">
      <c r="A108" s="399" t="str">
        <f>IF(B108&lt;&gt;"",IF(AND(B108&gt;=_TM1,B108&lt;=_TM2,OR(TH!N108="1111",TH!O108="1111")),TH!D108,""),"")</f>
        <v/>
      </c>
      <c r="B108" s="63">
        <f t="shared" si="6"/>
        <v>1</v>
      </c>
      <c r="C108" s="83">
        <f t="shared" si="7"/>
        <v>42398</v>
      </c>
      <c r="D108" s="83" t="s">
        <v>759</v>
      </c>
      <c r="E108" s="64">
        <v>42398</v>
      </c>
      <c r="F108" s="67" t="s">
        <v>406</v>
      </c>
      <c r="G108" s="362"/>
      <c r="H108" s="75" t="s">
        <v>465</v>
      </c>
      <c r="I108" s="518">
        <v>1150</v>
      </c>
      <c r="J108" s="518">
        <v>12000</v>
      </c>
      <c r="K108" s="509"/>
      <c r="L108" s="518"/>
      <c r="M108" s="86">
        <f t="shared" si="8"/>
        <v>13800000</v>
      </c>
      <c r="N108" s="66" t="s">
        <v>298</v>
      </c>
      <c r="O108" s="66" t="s">
        <v>292</v>
      </c>
      <c r="P108" s="87" t="str">
        <f>IF(AND('331-CT'!$E$7=TH!H108,OR(N108="331",O108="331")),"x","")</f>
        <v/>
      </c>
      <c r="Q108" s="87" t="str">
        <f>IF(AND(B108='111'!$L$11,OR($N108=$Q$7,$O108=$Q$7)),"x","")</f>
        <v/>
      </c>
      <c r="R108" s="87" t="str">
        <f>IF(AND($N108=$Q$7,$B108&lt;'111'!$L$11),"x","")</f>
        <v/>
      </c>
      <c r="S108" s="87" t="str">
        <f>IF(AND($O108=$Q$7,$B108&lt;'111'!$L$11),"x","")</f>
        <v/>
      </c>
      <c r="T108" s="87" t="str">
        <f>IF(ISERROR(FIND('112'!$M$9,G108,1)),"",IF((AND(FIND('112'!$M$9,G108,1)&gt;=1,B108='112'!$K$9,OR($N108='112'!$I$6,$O108='112'!$I$6))),"x",""))</f>
        <v/>
      </c>
      <c r="U108" s="87" t="str">
        <f>IF(ISERROR(FIND('112'!$M$9,G108,1)),"",IF((AND(FIND('112'!$M$9,G108,1)&gt;=1,B108&lt;'112'!$K$9,$N108='112'!$I$6)),"x",""))</f>
        <v/>
      </c>
      <c r="V108" s="87" t="str">
        <f>IF(ISERROR(FIND('112'!$M$9,G108,1)),"",IF((AND(FIND('112'!$M$9,G108,1)&gt;=1,B108&lt;'112'!$K$9,$O108='112'!$I$6)),"x",""))</f>
        <v/>
      </c>
      <c r="W108" s="87" t="str">
        <f>IF(AND($B108&gt;='1331'!$I$9,$B108&lt;='1331'!$J$9,OR($N108=$W$7,$O108=$W$7)),"x","")</f>
        <v/>
      </c>
      <c r="X108" s="87" t="str">
        <f>IF(AND($N108=$W$7,$B108&lt;'1331'!$I$9),"x","")</f>
        <v/>
      </c>
      <c r="Y108" s="87" t="str">
        <f>IF(AND($O108=$W$7,$B108&lt;'1331'!$I$9),"x","")</f>
        <v/>
      </c>
      <c r="Z108" s="87" t="str">
        <f>IF(AND('341-CT'!$H$9=H108,OR(LEFT(N108,3)=$Z$7,LEFT(O108,3)=$Z$7)),"x","")</f>
        <v/>
      </c>
      <c r="AA108" s="87" t="str">
        <f>IF(OR(TH!N108=TH!$AA$7,O108=TH!$AA$7),"x","")</f>
        <v/>
      </c>
      <c r="AB108" s="87" t="str">
        <f>IF(AND(OR(N108="131",O108="131"),H108='131-CT'!$H$9),"x","")</f>
        <v/>
      </c>
      <c r="AC108" s="87"/>
      <c r="AD108" s="87" t="str">
        <f>IF(AND(MONTH(E108)='IN-NX'!$J$5,'IN-NX'!$D$7=D108),"x","")</f>
        <v/>
      </c>
      <c r="AE108" s="87" t="str">
        <f>IF(AND(OR(LEFT(TH!N108,2)="15",LEFT(TH!O108,2)="15"),'152-CT'!$J$8=TH!F108),"x","")</f>
        <v/>
      </c>
      <c r="AF108" s="87" t="str">
        <f>IF(AND(OR(LEFT(TH!N108,2)="15",LEFT(TH!O108,2)="15"),'THE KHO'!$E$7=TH!F108),"x","")</f>
        <v/>
      </c>
      <c r="AG108" s="87" t="str">
        <f>IF(AND(N108="1521",MONTH(C108)='BK NL'!$M$11),"x","")</f>
        <v/>
      </c>
    </row>
    <row r="109" spans="1:33" s="404" customFormat="1" ht="15.75" customHeight="1">
      <c r="A109" s="399" t="str">
        <f>IF(B109&lt;&gt;"",IF(AND(B109&gt;=_TM1,B109&lt;=_TM2,OR(TH!N109="1111",TH!O109="1111")),TH!D109,""),"")</f>
        <v/>
      </c>
      <c r="B109" s="63">
        <f t="shared" si="6"/>
        <v>1</v>
      </c>
      <c r="C109" s="83">
        <f t="shared" si="7"/>
        <v>42398</v>
      </c>
      <c r="D109" s="83" t="s">
        <v>759</v>
      </c>
      <c r="E109" s="64">
        <v>42398</v>
      </c>
      <c r="F109" s="67" t="s">
        <v>408</v>
      </c>
      <c r="G109" s="362"/>
      <c r="H109" s="75" t="s">
        <v>465</v>
      </c>
      <c r="I109" s="518">
        <v>150</v>
      </c>
      <c r="J109" s="518">
        <v>9500</v>
      </c>
      <c r="K109" s="509"/>
      <c r="L109" s="518"/>
      <c r="M109" s="86">
        <f t="shared" si="8"/>
        <v>1425000</v>
      </c>
      <c r="N109" s="66" t="s">
        <v>298</v>
      </c>
      <c r="O109" s="66" t="s">
        <v>292</v>
      </c>
      <c r="P109" s="87" t="str">
        <f>IF(AND('331-CT'!$E$7=TH!H109,OR(N109="331",O109="331")),"x","")</f>
        <v/>
      </c>
      <c r="Q109" s="87" t="str">
        <f>IF(AND(B109='111'!$L$11,OR($N109=$Q$7,$O109=$Q$7)),"x","")</f>
        <v/>
      </c>
      <c r="R109" s="87" t="str">
        <f>IF(AND($N109=$Q$7,$B109&lt;'111'!$L$11),"x","")</f>
        <v/>
      </c>
      <c r="S109" s="87" t="str">
        <f>IF(AND($O109=$Q$7,$B109&lt;'111'!$L$11),"x","")</f>
        <v/>
      </c>
      <c r="T109" s="87" t="str">
        <f>IF(ISERROR(FIND('112'!$M$9,G109,1)),"",IF((AND(FIND('112'!$M$9,G109,1)&gt;=1,B109='112'!$K$9,OR($N109='112'!$I$6,$O109='112'!$I$6))),"x",""))</f>
        <v/>
      </c>
      <c r="U109" s="87" t="str">
        <f>IF(ISERROR(FIND('112'!$M$9,G109,1)),"",IF((AND(FIND('112'!$M$9,G109,1)&gt;=1,B109&lt;'112'!$K$9,$N109='112'!$I$6)),"x",""))</f>
        <v/>
      </c>
      <c r="V109" s="87" t="str">
        <f>IF(ISERROR(FIND('112'!$M$9,G109,1)),"",IF((AND(FIND('112'!$M$9,G109,1)&gt;=1,B109&lt;'112'!$K$9,$O109='112'!$I$6)),"x",""))</f>
        <v/>
      </c>
      <c r="W109" s="87" t="str">
        <f>IF(AND($B109&gt;='1331'!$I$9,$B109&lt;='1331'!$J$9,OR($N109=$W$7,$O109=$W$7)),"x","")</f>
        <v/>
      </c>
      <c r="X109" s="87" t="str">
        <f>IF(AND($N109=$W$7,$B109&lt;'1331'!$I$9),"x","")</f>
        <v/>
      </c>
      <c r="Y109" s="87" t="str">
        <f>IF(AND($O109=$W$7,$B109&lt;'1331'!$I$9),"x","")</f>
        <v/>
      </c>
      <c r="Z109" s="87" t="str">
        <f>IF(AND('341-CT'!$H$9=H109,OR(LEFT(N109,3)=$Z$7,LEFT(O109,3)=$Z$7)),"x","")</f>
        <v/>
      </c>
      <c r="AA109" s="87" t="str">
        <f>IF(OR(TH!N109=TH!$AA$7,O109=TH!$AA$7),"x","")</f>
        <v/>
      </c>
      <c r="AB109" s="87" t="str">
        <f>IF(AND(OR(N109="131",O109="131"),H109='131-CT'!$H$9),"x","")</f>
        <v/>
      </c>
      <c r="AC109" s="87"/>
      <c r="AD109" s="87" t="str">
        <f>IF(AND(MONTH(E109)='IN-NX'!$J$5,'IN-NX'!$D$7=D109),"x","")</f>
        <v/>
      </c>
      <c r="AE109" s="87" t="str">
        <f>IF(AND(OR(LEFT(TH!N109,2)="15",LEFT(TH!O109,2)="15"),'152-CT'!$J$8=TH!F109),"x","")</f>
        <v/>
      </c>
      <c r="AF109" s="87" t="str">
        <f>IF(AND(OR(LEFT(TH!N109,2)="15",LEFT(TH!O109,2)="15"),'THE KHO'!$E$7=TH!F109),"x","")</f>
        <v/>
      </c>
      <c r="AG109" s="87" t="str">
        <f>IF(AND(N109="1521",MONTH(C109)='BK NL'!$M$11),"x","")</f>
        <v/>
      </c>
    </row>
    <row r="110" spans="1:33" s="404" customFormat="1" ht="15.75" customHeight="1">
      <c r="A110" s="399" t="str">
        <f>IF(B110&lt;&gt;"",IF(AND(B110&gt;=_TM1,B110&lt;=_TM2,OR(TH!N110="1111",TH!O110="1111")),TH!D110,""),"")</f>
        <v/>
      </c>
      <c r="B110" s="63">
        <f t="shared" si="6"/>
        <v>1</v>
      </c>
      <c r="C110" s="83">
        <f t="shared" si="7"/>
        <v>42371</v>
      </c>
      <c r="D110" s="64" t="s">
        <v>753</v>
      </c>
      <c r="E110" s="64">
        <v>42371</v>
      </c>
      <c r="F110" s="67" t="s">
        <v>751</v>
      </c>
      <c r="G110" s="362"/>
      <c r="H110" s="75" t="s">
        <v>465</v>
      </c>
      <c r="I110" s="520">
        <v>38400</v>
      </c>
      <c r="J110" s="520">
        <v>18500</v>
      </c>
      <c r="K110" s="511"/>
      <c r="L110" s="520"/>
      <c r="M110" s="86">
        <f t="shared" si="8"/>
        <v>710400000</v>
      </c>
      <c r="N110" s="66" t="s">
        <v>298</v>
      </c>
      <c r="O110" s="66" t="s">
        <v>290</v>
      </c>
      <c r="P110" s="87" t="str">
        <f>IF(AND('331-CT'!$E$7=TH!H110,OR(N110="331",O110="331")),"x","")</f>
        <v/>
      </c>
      <c r="Q110" s="87" t="str">
        <f>IF(AND(B110='111'!$L$11,OR($N110=$Q$7,$O110=$Q$7)),"x","")</f>
        <v/>
      </c>
      <c r="R110" s="87" t="str">
        <f>IF(AND($N110=$Q$7,$B110&lt;'111'!$L$11),"x","")</f>
        <v/>
      </c>
      <c r="S110" s="87" t="str">
        <f>IF(AND($O110=$Q$7,$B110&lt;'111'!$L$11),"x","")</f>
        <v/>
      </c>
      <c r="T110" s="87" t="str">
        <f>IF(ISERROR(FIND('112'!$M$9,G110,1)),"",IF((AND(FIND('112'!$M$9,G110,1)&gt;=1,B110='112'!$K$9,OR($N110='112'!$I$6,$O110='112'!$I$6))),"x",""))</f>
        <v/>
      </c>
      <c r="U110" s="87" t="str">
        <f>IF(ISERROR(FIND('112'!$M$9,G110,1)),"",IF((AND(FIND('112'!$M$9,G110,1)&gt;=1,B110&lt;'112'!$K$9,$N110='112'!$I$6)),"x",""))</f>
        <v/>
      </c>
      <c r="V110" s="87" t="str">
        <f>IF(ISERROR(FIND('112'!$M$9,G110,1)),"",IF((AND(FIND('112'!$M$9,G110,1)&gt;=1,B110&lt;'112'!$K$9,$O110='112'!$I$6)),"x",""))</f>
        <v/>
      </c>
      <c r="W110" s="87" t="str">
        <f>IF(AND($B110&gt;='1331'!$I$9,$B110&lt;='1331'!$J$9,OR($N110=$W$7,$O110=$W$7)),"x","")</f>
        <v/>
      </c>
      <c r="X110" s="87" t="str">
        <f>IF(AND($N110=$W$7,$B110&lt;'1331'!$I$9),"x","")</f>
        <v/>
      </c>
      <c r="Y110" s="87" t="str">
        <f>IF(AND($O110=$W$7,$B110&lt;'1331'!$I$9),"x","")</f>
        <v/>
      </c>
      <c r="Z110" s="87" t="str">
        <f>IF(AND('341-CT'!$H$9=H110,OR(LEFT(N110,3)=$Z$7,LEFT(O110,3)=$Z$7)),"x","")</f>
        <v/>
      </c>
      <c r="AA110" s="87" t="str">
        <f>IF(OR(TH!N110=TH!$AA$7,O110=TH!$AA$7),"x","")</f>
        <v/>
      </c>
      <c r="AB110" s="87" t="str">
        <f>IF(AND(OR(N110="131",O110="131"),H110='131-CT'!$H$9),"x","")</f>
        <v/>
      </c>
      <c r="AC110" s="87"/>
      <c r="AD110" s="87" t="str">
        <f>IF(AND(MONTH(E110)='IN-NX'!$J$5,'IN-NX'!$D$7=D110),"x","")</f>
        <v/>
      </c>
      <c r="AE110" s="87" t="str">
        <f>IF(AND(OR(LEFT(TH!N110,2)="15",LEFT(TH!O110,2)="15"),'152-CT'!$J$8=TH!F110),"x","")</f>
        <v/>
      </c>
      <c r="AF110" s="87" t="str">
        <f>IF(AND(OR(LEFT(TH!N110,2)="15",LEFT(TH!O110,2)="15"),'THE KHO'!$E$7=TH!F110),"x","")</f>
        <v/>
      </c>
      <c r="AG110" s="87" t="str">
        <f>IF(AND(N110="1521",MONTH(C110)='BK NL'!$M$11),"x","")</f>
        <v/>
      </c>
    </row>
    <row r="111" spans="1:33" s="404" customFormat="1" ht="15.75" customHeight="1">
      <c r="A111" s="399" t="str">
        <f>IF(B111&lt;&gt;"",IF(AND(B111&gt;=_TM1,B111&lt;=_TM2,OR(TH!N111="1111",TH!O111="1111")),TH!D111,""),"")</f>
        <v/>
      </c>
      <c r="B111" s="63">
        <f t="shared" si="6"/>
        <v>1</v>
      </c>
      <c r="C111" s="83">
        <f t="shared" si="7"/>
        <v>42374</v>
      </c>
      <c r="D111" s="64" t="s">
        <v>760</v>
      </c>
      <c r="E111" s="64">
        <v>42374</v>
      </c>
      <c r="F111" s="67" t="s">
        <v>752</v>
      </c>
      <c r="G111" s="362"/>
      <c r="H111" s="75" t="s">
        <v>465</v>
      </c>
      <c r="I111" s="520">
        <v>26500</v>
      </c>
      <c r="J111" s="520">
        <v>14500</v>
      </c>
      <c r="K111" s="511"/>
      <c r="L111" s="520"/>
      <c r="M111" s="86">
        <f t="shared" si="8"/>
        <v>384250000</v>
      </c>
      <c r="N111" s="66" t="s">
        <v>298</v>
      </c>
      <c r="O111" s="66" t="s">
        <v>290</v>
      </c>
      <c r="P111" s="87" t="str">
        <f>IF(AND('331-CT'!$E$7=TH!H111,OR(N111="331",O111="331")),"x","")</f>
        <v/>
      </c>
      <c r="Q111" s="87" t="str">
        <f>IF(AND(B111='111'!$L$11,OR($N111=$Q$7,$O111=$Q$7)),"x","")</f>
        <v/>
      </c>
      <c r="R111" s="87" t="str">
        <f>IF(AND($N111=$Q$7,$B111&lt;'111'!$L$11),"x","")</f>
        <v/>
      </c>
      <c r="S111" s="87" t="str">
        <f>IF(AND($O111=$Q$7,$B111&lt;'111'!$L$11),"x","")</f>
        <v/>
      </c>
      <c r="T111" s="87" t="str">
        <f>IF(ISERROR(FIND('112'!$M$9,G111,1)),"",IF((AND(FIND('112'!$M$9,G111,1)&gt;=1,B111='112'!$K$9,OR($N111='112'!$I$6,$O111='112'!$I$6))),"x",""))</f>
        <v/>
      </c>
      <c r="U111" s="87" t="str">
        <f>IF(ISERROR(FIND('112'!$M$9,G111,1)),"",IF((AND(FIND('112'!$M$9,G111,1)&gt;=1,B111&lt;'112'!$K$9,$N111='112'!$I$6)),"x",""))</f>
        <v/>
      </c>
      <c r="V111" s="87" t="str">
        <f>IF(ISERROR(FIND('112'!$M$9,G111,1)),"",IF((AND(FIND('112'!$M$9,G111,1)&gt;=1,B111&lt;'112'!$K$9,$O111='112'!$I$6)),"x",""))</f>
        <v/>
      </c>
      <c r="W111" s="87" t="str">
        <f>IF(AND($B111&gt;='1331'!$I$9,$B111&lt;='1331'!$J$9,OR($N111=$W$7,$O111=$W$7)),"x","")</f>
        <v/>
      </c>
      <c r="X111" s="87" t="str">
        <f>IF(AND($N111=$W$7,$B111&lt;'1331'!$I$9),"x","")</f>
        <v/>
      </c>
      <c r="Y111" s="87" t="str">
        <f>IF(AND($O111=$W$7,$B111&lt;'1331'!$I$9),"x","")</f>
        <v/>
      </c>
      <c r="Z111" s="87" t="str">
        <f>IF(AND('341-CT'!$H$9=H111,OR(LEFT(N111,3)=$Z$7,LEFT(O111,3)=$Z$7)),"x","")</f>
        <v/>
      </c>
      <c r="AA111" s="87" t="str">
        <f>IF(OR(TH!N111=TH!$AA$7,O111=TH!$AA$7),"x","")</f>
        <v/>
      </c>
      <c r="AB111" s="87" t="str">
        <f>IF(AND(OR(N111="131",O111="131"),H111='131-CT'!$H$9),"x","")</f>
        <v/>
      </c>
      <c r="AC111" s="87"/>
      <c r="AD111" s="87" t="str">
        <f>IF(AND(MONTH(E111)='IN-NX'!$J$5,'IN-NX'!$D$7=D111),"x","")</f>
        <v/>
      </c>
      <c r="AE111" s="87" t="str">
        <f>IF(AND(OR(LEFT(TH!N111,2)="15",LEFT(TH!O111,2)="15"),'152-CT'!$J$8=TH!F111),"x","")</f>
        <v/>
      </c>
      <c r="AF111" s="87" t="str">
        <f>IF(AND(OR(LEFT(TH!N111,2)="15",LEFT(TH!O111,2)="15"),'THE KHO'!$E$7=TH!F111),"x","")</f>
        <v/>
      </c>
      <c r="AG111" s="87" t="str">
        <f>IF(AND(N111="1521",MONTH(C111)='BK NL'!$M$11),"x","")</f>
        <v/>
      </c>
    </row>
    <row r="112" spans="1:33" s="404" customFormat="1" ht="15.75" customHeight="1">
      <c r="A112" s="399" t="str">
        <f>IF(B112&lt;&gt;"",IF(AND(B112&gt;=_TM1,B112&lt;=_TM2,OR(TH!N112="1111",TH!O112="1111")),TH!D112,""),"")</f>
        <v/>
      </c>
      <c r="B112" s="63">
        <f t="shared" si="6"/>
        <v>1</v>
      </c>
      <c r="C112" s="83">
        <f t="shared" si="7"/>
        <v>42382</v>
      </c>
      <c r="D112" s="64" t="s">
        <v>761</v>
      </c>
      <c r="E112" s="64">
        <v>42382</v>
      </c>
      <c r="F112" s="67" t="s">
        <v>752</v>
      </c>
      <c r="G112" s="362"/>
      <c r="H112" s="75" t="s">
        <v>465</v>
      </c>
      <c r="I112" s="520">
        <v>26500</v>
      </c>
      <c r="J112" s="520">
        <v>14500</v>
      </c>
      <c r="K112" s="511"/>
      <c r="L112" s="520"/>
      <c r="M112" s="86">
        <f t="shared" si="8"/>
        <v>384250000</v>
      </c>
      <c r="N112" s="66" t="s">
        <v>298</v>
      </c>
      <c r="O112" s="66" t="s">
        <v>290</v>
      </c>
      <c r="P112" s="87" t="str">
        <f>IF(AND('331-CT'!$E$7=TH!H112,OR(N112="331",O112="331")),"x","")</f>
        <v/>
      </c>
      <c r="Q112" s="87" t="str">
        <f>IF(AND(B112='111'!$L$11,OR($N112=$Q$7,$O112=$Q$7)),"x","")</f>
        <v/>
      </c>
      <c r="R112" s="87" t="str">
        <f>IF(AND($N112=$Q$7,$B112&lt;'111'!$L$11),"x","")</f>
        <v/>
      </c>
      <c r="S112" s="87" t="str">
        <f>IF(AND($O112=$Q$7,$B112&lt;'111'!$L$11),"x","")</f>
        <v/>
      </c>
      <c r="T112" s="87" t="str">
        <f>IF(ISERROR(FIND('112'!$M$9,G112,1)),"",IF((AND(FIND('112'!$M$9,G112,1)&gt;=1,B112='112'!$K$9,OR($N112='112'!$I$6,$O112='112'!$I$6))),"x",""))</f>
        <v/>
      </c>
      <c r="U112" s="87" t="str">
        <f>IF(ISERROR(FIND('112'!$M$9,G112,1)),"",IF((AND(FIND('112'!$M$9,G112,1)&gt;=1,B112&lt;'112'!$K$9,$N112='112'!$I$6)),"x",""))</f>
        <v/>
      </c>
      <c r="V112" s="87" t="str">
        <f>IF(ISERROR(FIND('112'!$M$9,G112,1)),"",IF((AND(FIND('112'!$M$9,G112,1)&gt;=1,B112&lt;'112'!$K$9,$O112='112'!$I$6)),"x",""))</f>
        <v/>
      </c>
      <c r="W112" s="87" t="str">
        <f>IF(AND($B112&gt;='1331'!$I$9,$B112&lt;='1331'!$J$9,OR($N112=$W$7,$O112=$W$7)),"x","")</f>
        <v/>
      </c>
      <c r="X112" s="87" t="str">
        <f>IF(AND($N112=$W$7,$B112&lt;'1331'!$I$9),"x","")</f>
        <v/>
      </c>
      <c r="Y112" s="87" t="str">
        <f>IF(AND($O112=$W$7,$B112&lt;'1331'!$I$9),"x","")</f>
        <v/>
      </c>
      <c r="Z112" s="87" t="str">
        <f>IF(AND('341-CT'!$H$9=H112,OR(LEFT(N112,3)=$Z$7,LEFT(O112,3)=$Z$7)),"x","")</f>
        <v/>
      </c>
      <c r="AA112" s="87" t="str">
        <f>IF(OR(TH!N112=TH!$AA$7,O112=TH!$AA$7),"x","")</f>
        <v/>
      </c>
      <c r="AB112" s="87" t="str">
        <f>IF(AND(OR(N112="131",O112="131"),H112='131-CT'!$H$9),"x","")</f>
        <v/>
      </c>
      <c r="AC112" s="87"/>
      <c r="AD112" s="87" t="str">
        <f>IF(AND(MONTH(E112)='IN-NX'!$J$5,'IN-NX'!$D$7=D112),"x","")</f>
        <v/>
      </c>
      <c r="AE112" s="87" t="str">
        <f>IF(AND(OR(LEFT(TH!N112,2)="15",LEFT(TH!O112,2)="15"),'152-CT'!$J$8=TH!F112),"x","")</f>
        <v/>
      </c>
      <c r="AF112" s="87" t="str">
        <f>IF(AND(OR(LEFT(TH!N112,2)="15",LEFT(TH!O112,2)="15"),'THE KHO'!$E$7=TH!F112),"x","")</f>
        <v/>
      </c>
      <c r="AG112" s="87" t="str">
        <f>IF(AND(N112="1521",MONTH(C112)='BK NL'!$M$11),"x","")</f>
        <v/>
      </c>
    </row>
    <row r="113" spans="1:33" s="404" customFormat="1" ht="15.75" customHeight="1">
      <c r="A113" s="399" t="str">
        <f>IF(B113&lt;&gt;"",IF(AND(B113&gt;=_TM1,B113&lt;=_TM2,OR(TH!N113="1111",TH!O113="1111")),TH!D113,""),"")</f>
        <v/>
      </c>
      <c r="B113" s="63">
        <f t="shared" si="6"/>
        <v>1</v>
      </c>
      <c r="C113" s="83">
        <f t="shared" si="7"/>
        <v>42386</v>
      </c>
      <c r="D113" s="64" t="s">
        <v>762</v>
      </c>
      <c r="E113" s="64">
        <v>42386</v>
      </c>
      <c r="F113" s="67" t="s">
        <v>752</v>
      </c>
      <c r="G113" s="376"/>
      <c r="H113" s="75" t="s">
        <v>465</v>
      </c>
      <c r="I113" s="520">
        <v>26500</v>
      </c>
      <c r="J113" s="520">
        <v>14500</v>
      </c>
      <c r="K113" s="511"/>
      <c r="L113" s="520"/>
      <c r="M113" s="86">
        <f t="shared" si="8"/>
        <v>384250000</v>
      </c>
      <c r="N113" s="88" t="s">
        <v>298</v>
      </c>
      <c r="O113" s="88" t="s">
        <v>290</v>
      </c>
      <c r="P113" s="87" t="str">
        <f>IF(AND('331-CT'!$E$7=TH!H113,OR(N113="331",O113="331")),"x","")</f>
        <v/>
      </c>
      <c r="Q113" s="87" t="str">
        <f>IF(AND(B113='111'!$L$11,OR($N113=$Q$7,$O113=$Q$7)),"x","")</f>
        <v/>
      </c>
      <c r="R113" s="87" t="str">
        <f>IF(AND($N113=$Q$7,$B113&lt;'111'!$L$11),"x","")</f>
        <v/>
      </c>
      <c r="S113" s="87" t="str">
        <f>IF(AND($O113=$Q$7,$B113&lt;'111'!$L$11),"x","")</f>
        <v/>
      </c>
      <c r="T113" s="87" t="str">
        <f>IF(ISERROR(FIND('112'!$M$9,G113,1)),"",IF((AND(FIND('112'!$M$9,G113,1)&gt;=1,B113='112'!$K$9,OR($N113='112'!$I$6,$O113='112'!$I$6))),"x",""))</f>
        <v/>
      </c>
      <c r="U113" s="87" t="str">
        <f>IF(ISERROR(FIND('112'!$M$9,G113,1)),"",IF((AND(FIND('112'!$M$9,G113,1)&gt;=1,B113&lt;'112'!$K$9,$N113='112'!$I$6)),"x",""))</f>
        <v/>
      </c>
      <c r="V113" s="87" t="str">
        <f>IF(ISERROR(FIND('112'!$M$9,G113,1)),"",IF((AND(FIND('112'!$M$9,G113,1)&gt;=1,B113&lt;'112'!$K$9,$O113='112'!$I$6)),"x",""))</f>
        <v/>
      </c>
      <c r="W113" s="87" t="str">
        <f>IF(AND($B113&gt;='1331'!$I$9,$B113&lt;='1331'!$J$9,OR($N113=$W$7,$O113=$W$7)),"x","")</f>
        <v/>
      </c>
      <c r="X113" s="87" t="str">
        <f>IF(AND($N113=$W$7,$B113&lt;'1331'!$I$9),"x","")</f>
        <v/>
      </c>
      <c r="Y113" s="87" t="str">
        <f>IF(AND($O113=$W$7,$B113&lt;'1331'!$I$9),"x","")</f>
        <v/>
      </c>
      <c r="Z113" s="87" t="str">
        <f>IF(AND('341-CT'!$H$9=H113,OR(LEFT(N113,3)=$Z$7,LEFT(O113,3)=$Z$7)),"x","")</f>
        <v/>
      </c>
      <c r="AA113" s="87" t="str">
        <f>IF(OR(TH!N113=TH!$AA$7,O113=TH!$AA$7),"x","")</f>
        <v/>
      </c>
      <c r="AB113" s="87" t="str">
        <f>IF(AND(OR(N113="131",O113="131"),H113='131-CT'!$H$9),"x","")</f>
        <v/>
      </c>
      <c r="AC113" s="87"/>
      <c r="AD113" s="87" t="str">
        <f>IF(AND(MONTH(E113)='IN-NX'!$J$5,'IN-NX'!$D$7=D113),"x","")</f>
        <v/>
      </c>
      <c r="AE113" s="87" t="str">
        <f>IF(AND(OR(LEFT(TH!N113,2)="15",LEFT(TH!O113,2)="15"),'152-CT'!$J$8=TH!F113),"x","")</f>
        <v/>
      </c>
      <c r="AF113" s="87" t="str">
        <f>IF(AND(OR(LEFT(TH!N113,2)="15",LEFT(TH!O113,2)="15"),'THE KHO'!$E$7=TH!F113),"x","")</f>
        <v/>
      </c>
      <c r="AG113" s="87" t="str">
        <f>IF(AND(N113="1521",MONTH(C113)='BK NL'!$M$11),"x","")</f>
        <v/>
      </c>
    </row>
    <row r="114" spans="1:33" s="404" customFormat="1" ht="15.75" customHeight="1">
      <c r="A114" s="399" t="str">
        <f>IF(B114&lt;&gt;"",IF(AND(B114&gt;=_TM1,B114&lt;=_TM2,OR(TH!N114="1111",TH!O114="1111")),TH!D114,""),"")</f>
        <v/>
      </c>
      <c r="B114" s="63">
        <f t="shared" si="6"/>
        <v>1</v>
      </c>
      <c r="C114" s="83">
        <f t="shared" si="7"/>
        <v>42390</v>
      </c>
      <c r="D114" s="64" t="s">
        <v>763</v>
      </c>
      <c r="E114" s="64">
        <v>42390</v>
      </c>
      <c r="F114" s="67" t="s">
        <v>752</v>
      </c>
      <c r="G114" s="362"/>
      <c r="H114" s="75" t="s">
        <v>465</v>
      </c>
      <c r="I114" s="518">
        <v>26500</v>
      </c>
      <c r="J114" s="518">
        <v>14500</v>
      </c>
      <c r="K114" s="509"/>
      <c r="L114" s="518"/>
      <c r="M114" s="86">
        <f t="shared" si="8"/>
        <v>384250000</v>
      </c>
      <c r="N114" s="66" t="s">
        <v>298</v>
      </c>
      <c r="O114" s="66" t="s">
        <v>290</v>
      </c>
      <c r="P114" s="87" t="str">
        <f>IF(AND('331-CT'!$E$7=TH!H114,OR(N114="331",O114="331")),"x","")</f>
        <v/>
      </c>
      <c r="Q114" s="87" t="str">
        <f>IF(AND(B114='111'!$L$11,OR($N114=$Q$7,$O114=$Q$7)),"x","")</f>
        <v/>
      </c>
      <c r="R114" s="87" t="str">
        <f>IF(AND($N114=$Q$7,$B114&lt;'111'!$L$11),"x","")</f>
        <v/>
      </c>
      <c r="S114" s="87" t="str">
        <f>IF(AND($O114=$Q$7,$B114&lt;'111'!$L$11),"x","")</f>
        <v/>
      </c>
      <c r="T114" s="87" t="str">
        <f>IF(ISERROR(FIND('112'!$M$9,G114,1)),"",IF((AND(FIND('112'!$M$9,G114,1)&gt;=1,B114='112'!$K$9,OR($N114='112'!$I$6,$O114='112'!$I$6))),"x",""))</f>
        <v/>
      </c>
      <c r="U114" s="87" t="str">
        <f>IF(ISERROR(FIND('112'!$M$9,G114,1)),"",IF((AND(FIND('112'!$M$9,G114,1)&gt;=1,B114&lt;'112'!$K$9,$N114='112'!$I$6)),"x",""))</f>
        <v/>
      </c>
      <c r="V114" s="87" t="str">
        <f>IF(ISERROR(FIND('112'!$M$9,G114,1)),"",IF((AND(FIND('112'!$M$9,G114,1)&gt;=1,B114&lt;'112'!$K$9,$O114='112'!$I$6)),"x",""))</f>
        <v/>
      </c>
      <c r="W114" s="87" t="str">
        <f>IF(AND($B114&gt;='1331'!$I$9,$B114&lt;='1331'!$J$9,OR($N114=$W$7,$O114=$W$7)),"x","")</f>
        <v/>
      </c>
      <c r="X114" s="87" t="str">
        <f>IF(AND($N114=$W$7,$B114&lt;'1331'!$I$9),"x","")</f>
        <v/>
      </c>
      <c r="Y114" s="87" t="str">
        <f>IF(AND($O114=$W$7,$B114&lt;'1331'!$I$9),"x","")</f>
        <v/>
      </c>
      <c r="Z114" s="87" t="str">
        <f>IF(AND('341-CT'!$H$9=H114,OR(LEFT(N114,3)=$Z$7,LEFT(O114,3)=$Z$7)),"x","")</f>
        <v/>
      </c>
      <c r="AA114" s="87" t="str">
        <f>IF(OR(TH!N114=TH!$AA$7,O114=TH!$AA$7),"x","")</f>
        <v/>
      </c>
      <c r="AB114" s="87" t="str">
        <f>IF(AND(OR(N114="131",O114="131"),H114='131-CT'!$H$9),"x","")</f>
        <v/>
      </c>
      <c r="AC114" s="87"/>
      <c r="AD114" s="87" t="str">
        <f>IF(AND(MONTH(E114)='IN-NX'!$J$5,'IN-NX'!$D$7=D114),"x","")</f>
        <v/>
      </c>
      <c r="AE114" s="87" t="str">
        <f>IF(AND(OR(LEFT(TH!N114,2)="15",LEFT(TH!O114,2)="15"),'152-CT'!$J$8=TH!F114),"x","")</f>
        <v/>
      </c>
      <c r="AF114" s="87" t="str">
        <f>IF(AND(OR(LEFT(TH!N114,2)="15",LEFT(TH!O114,2)="15"),'THE KHO'!$E$7=TH!F114),"x","")</f>
        <v/>
      </c>
      <c r="AG114" s="87" t="str">
        <f>IF(AND(N114="1521",MONTH(C114)='BK NL'!$M$11),"x","")</f>
        <v/>
      </c>
    </row>
    <row r="115" spans="1:33" s="404" customFormat="1" ht="15.75" customHeight="1">
      <c r="A115" s="399" t="str">
        <f>IF(B115&lt;&gt;"",IF(AND(B115&gt;=_TM1,B115&lt;=_TM2,OR(TH!N115="1111",TH!O115="1111")),TH!D115,""),"")</f>
        <v/>
      </c>
      <c r="B115" s="63">
        <f t="shared" si="6"/>
        <v>1</v>
      </c>
      <c r="C115" s="83">
        <f t="shared" si="7"/>
        <v>42394</v>
      </c>
      <c r="D115" s="64" t="s">
        <v>764</v>
      </c>
      <c r="E115" s="64">
        <v>42394</v>
      </c>
      <c r="F115" s="67" t="s">
        <v>752</v>
      </c>
      <c r="G115" s="362"/>
      <c r="H115" s="75" t="s">
        <v>465</v>
      </c>
      <c r="I115" s="518">
        <v>26000</v>
      </c>
      <c r="J115" s="518">
        <v>14500</v>
      </c>
      <c r="K115" s="509"/>
      <c r="L115" s="518"/>
      <c r="M115" s="86">
        <f t="shared" si="8"/>
        <v>377000000</v>
      </c>
      <c r="N115" s="66" t="s">
        <v>298</v>
      </c>
      <c r="O115" s="66" t="s">
        <v>290</v>
      </c>
      <c r="P115" s="87" t="str">
        <f>IF(AND('331-CT'!$E$7=TH!H115,OR(N115="331",O115="331")),"x","")</f>
        <v/>
      </c>
      <c r="Q115" s="87" t="str">
        <f>IF(AND(B115='111'!$L$11,OR($N115=$Q$7,$O115=$Q$7)),"x","")</f>
        <v/>
      </c>
      <c r="R115" s="87" t="str">
        <f>IF(AND($N115=$Q$7,$B115&lt;'111'!$L$11),"x","")</f>
        <v/>
      </c>
      <c r="S115" s="87" t="str">
        <f>IF(AND($O115=$Q$7,$B115&lt;'111'!$L$11),"x","")</f>
        <v/>
      </c>
      <c r="T115" s="87" t="str">
        <f>IF(ISERROR(FIND('112'!$M$9,G115,1)),"",IF((AND(FIND('112'!$M$9,G115,1)&gt;=1,B115='112'!$K$9,OR($N115='112'!$I$6,$O115='112'!$I$6))),"x",""))</f>
        <v/>
      </c>
      <c r="U115" s="87" t="str">
        <f>IF(ISERROR(FIND('112'!$M$9,G115,1)),"",IF((AND(FIND('112'!$M$9,G115,1)&gt;=1,B115&lt;'112'!$K$9,$N115='112'!$I$6)),"x",""))</f>
        <v/>
      </c>
      <c r="V115" s="87" t="str">
        <f>IF(ISERROR(FIND('112'!$M$9,G115,1)),"",IF((AND(FIND('112'!$M$9,G115,1)&gt;=1,B115&lt;'112'!$K$9,$O115='112'!$I$6)),"x",""))</f>
        <v/>
      </c>
      <c r="W115" s="87" t="str">
        <f>IF(AND($B115&gt;='1331'!$I$9,$B115&lt;='1331'!$J$9,OR($N115=$W$7,$O115=$W$7)),"x","")</f>
        <v/>
      </c>
      <c r="X115" s="87" t="str">
        <f>IF(AND($N115=$W$7,$B115&lt;'1331'!$I$9),"x","")</f>
        <v/>
      </c>
      <c r="Y115" s="87" t="str">
        <f>IF(AND($O115=$W$7,$B115&lt;'1331'!$I$9),"x","")</f>
        <v/>
      </c>
      <c r="Z115" s="87" t="str">
        <f>IF(AND('341-CT'!$H$9=H115,OR(LEFT(N115,3)=$Z$7,LEFT(O115,3)=$Z$7)),"x","")</f>
        <v/>
      </c>
      <c r="AA115" s="87" t="str">
        <f>IF(OR(TH!N115=TH!$AA$7,O115=TH!$AA$7),"x","")</f>
        <v/>
      </c>
      <c r="AB115" s="87" t="str">
        <f>IF(AND(OR(N115="131",O115="131"),H115='131-CT'!$H$9),"x","")</f>
        <v/>
      </c>
      <c r="AC115" s="87"/>
      <c r="AD115" s="87" t="str">
        <f>IF(AND(MONTH(E115)='IN-NX'!$J$5,'IN-NX'!$D$7=D115),"x","")</f>
        <v/>
      </c>
      <c r="AE115" s="87" t="str">
        <f>IF(AND(OR(LEFT(TH!N115,2)="15",LEFT(TH!O115,2)="15"),'152-CT'!$J$8=TH!F115),"x","")</f>
        <v/>
      </c>
      <c r="AF115" s="87" t="str">
        <f>IF(AND(OR(LEFT(TH!N115,2)="15",LEFT(TH!O115,2)="15"),'THE KHO'!$E$7=TH!F115),"x","")</f>
        <v/>
      </c>
      <c r="AG115" s="87" t="str">
        <f>IF(AND(N115="1521",MONTH(C115)='BK NL'!$M$11),"x","")</f>
        <v/>
      </c>
    </row>
    <row r="116" spans="1:33" s="404" customFormat="1" ht="15.75" customHeight="1">
      <c r="A116" s="399" t="str">
        <f>IF(B116&lt;&gt;"",IF(AND(B116&gt;=_TM1,B116&lt;=_TM2,OR(TH!N116="1111",TH!O116="1111")),TH!D116,""),"")</f>
        <v/>
      </c>
      <c r="B116" s="63">
        <f t="shared" si="6"/>
        <v>1</v>
      </c>
      <c r="C116" s="83">
        <f t="shared" si="7"/>
        <v>42389</v>
      </c>
      <c r="D116" s="64" t="s">
        <v>767</v>
      </c>
      <c r="E116" s="64">
        <v>42389</v>
      </c>
      <c r="F116" s="67" t="s">
        <v>467</v>
      </c>
      <c r="G116" s="362"/>
      <c r="H116" s="75" t="s">
        <v>765</v>
      </c>
      <c r="I116" s="518">
        <v>7100</v>
      </c>
      <c r="J116" s="518"/>
      <c r="K116" s="509"/>
      <c r="L116" s="518"/>
      <c r="M116" s="86">
        <f t="shared" si="8"/>
        <v>0</v>
      </c>
      <c r="N116" s="66" t="s">
        <v>300</v>
      </c>
      <c r="O116" s="66" t="s">
        <v>298</v>
      </c>
      <c r="P116" s="87" t="str">
        <f>IF(AND('331-CT'!$E$7=TH!H116,OR(N116="331",O116="331")),"x","")</f>
        <v/>
      </c>
      <c r="Q116" s="87" t="str">
        <f>IF(AND(B116='111'!$L$11,OR($N116=$Q$7,$O116=$Q$7)),"x","")</f>
        <v/>
      </c>
      <c r="R116" s="87" t="str">
        <f>IF(AND($N116=$Q$7,$B116&lt;'111'!$L$11),"x","")</f>
        <v/>
      </c>
      <c r="S116" s="87" t="str">
        <f>IF(AND($O116=$Q$7,$B116&lt;'111'!$L$11),"x","")</f>
        <v/>
      </c>
      <c r="T116" s="87" t="str">
        <f>IF(ISERROR(FIND('112'!$M$9,G116,1)),"",IF((AND(FIND('112'!$M$9,G116,1)&gt;=1,B116='112'!$K$9,OR($N116='112'!$I$6,$O116='112'!$I$6))),"x",""))</f>
        <v/>
      </c>
      <c r="U116" s="87" t="str">
        <f>IF(ISERROR(FIND('112'!$M$9,G116,1)),"",IF((AND(FIND('112'!$M$9,G116,1)&gt;=1,B116&lt;'112'!$K$9,$N116='112'!$I$6)),"x",""))</f>
        <v/>
      </c>
      <c r="V116" s="87" t="str">
        <f>IF(ISERROR(FIND('112'!$M$9,G116,1)),"",IF((AND(FIND('112'!$M$9,G116,1)&gt;=1,B116&lt;'112'!$K$9,$O116='112'!$I$6)),"x",""))</f>
        <v/>
      </c>
      <c r="W116" s="87" t="str">
        <f>IF(AND($B116&gt;='1331'!$I$9,$B116&lt;='1331'!$J$9,OR($N116=$W$7,$O116=$W$7)),"x","")</f>
        <v/>
      </c>
      <c r="X116" s="87" t="str">
        <f>IF(AND($N116=$W$7,$B116&lt;'1331'!$I$9),"x","")</f>
        <v/>
      </c>
      <c r="Y116" s="87" t="str">
        <f>IF(AND($O116=$W$7,$B116&lt;'1331'!$I$9),"x","")</f>
        <v/>
      </c>
      <c r="Z116" s="87" t="str">
        <f>IF(AND('341-CT'!$H$9=H116,OR(LEFT(N116,3)=$Z$7,LEFT(O116,3)=$Z$7)),"x","")</f>
        <v/>
      </c>
      <c r="AA116" s="87" t="str">
        <f>IF(OR(TH!N116=TH!$AA$7,O116=TH!$AA$7),"x","")</f>
        <v/>
      </c>
      <c r="AB116" s="87" t="str">
        <f>IF(AND(OR(N116="131",O116="131"),H116='131-CT'!$H$9),"x","")</f>
        <v/>
      </c>
      <c r="AC116" s="87"/>
      <c r="AD116" s="87" t="str">
        <f>IF(AND(MONTH(E116)='IN-NX'!$J$5,'IN-NX'!$D$7=D116),"x","")</f>
        <v/>
      </c>
      <c r="AE116" s="87" t="str">
        <f>IF(AND(OR(LEFT(TH!N116,2)="15",LEFT(TH!O116,2)="15"),'152-CT'!$J$8=TH!F116),"x","")</f>
        <v>x</v>
      </c>
      <c r="AF116" s="87" t="str">
        <f>IF(AND(OR(LEFT(TH!N116,2)="15",LEFT(TH!O116,2)="15"),'THE KHO'!$E$7=TH!F116),"x","")</f>
        <v/>
      </c>
      <c r="AG116" s="87" t="str">
        <f>IF(AND(N116="1521",MONTH(C116)='BK NL'!$M$11),"x","")</f>
        <v/>
      </c>
    </row>
    <row r="117" spans="1:33" s="404" customFormat="1" ht="15.75" customHeight="1">
      <c r="A117" s="399" t="str">
        <f>IF(B117&lt;&gt;"",IF(AND(B117&gt;=_TM1,B117&lt;=_TM2,OR(TH!N117="1111",TH!O117="1111")),TH!D117,""),"")</f>
        <v/>
      </c>
      <c r="B117" s="63">
        <f t="shared" si="6"/>
        <v>1</v>
      </c>
      <c r="C117" s="83">
        <f t="shared" si="7"/>
        <v>42393</v>
      </c>
      <c r="D117" s="64" t="s">
        <v>768</v>
      </c>
      <c r="E117" s="64">
        <v>42393</v>
      </c>
      <c r="F117" s="67" t="s">
        <v>469</v>
      </c>
      <c r="G117" s="362"/>
      <c r="H117" s="75" t="s">
        <v>765</v>
      </c>
      <c r="I117" s="518">
        <v>4800</v>
      </c>
      <c r="J117" s="518"/>
      <c r="K117" s="509"/>
      <c r="L117" s="518"/>
      <c r="M117" s="86">
        <f t="shared" si="8"/>
        <v>0</v>
      </c>
      <c r="N117" s="66" t="s">
        <v>300</v>
      </c>
      <c r="O117" s="66" t="s">
        <v>298</v>
      </c>
      <c r="P117" s="87" t="str">
        <f>IF(AND('331-CT'!$E$7=TH!H117,OR(N117="331",O117="331")),"x","")</f>
        <v/>
      </c>
      <c r="Q117" s="87" t="str">
        <f>IF(AND(B117='111'!$L$11,OR($N117=$Q$7,$O117=$Q$7)),"x","")</f>
        <v/>
      </c>
      <c r="R117" s="87" t="str">
        <f>IF(AND($N117=$Q$7,$B117&lt;'111'!$L$11),"x","")</f>
        <v/>
      </c>
      <c r="S117" s="87" t="str">
        <f>IF(AND($O117=$Q$7,$B117&lt;'111'!$L$11),"x","")</f>
        <v/>
      </c>
      <c r="T117" s="87" t="str">
        <f>IF(ISERROR(FIND('112'!$M$9,G117,1)),"",IF((AND(FIND('112'!$M$9,G117,1)&gt;=1,B117='112'!$K$9,OR($N117='112'!$I$6,$O117='112'!$I$6))),"x",""))</f>
        <v/>
      </c>
      <c r="U117" s="87" t="str">
        <f>IF(ISERROR(FIND('112'!$M$9,G117,1)),"",IF((AND(FIND('112'!$M$9,G117,1)&gt;=1,B117&lt;'112'!$K$9,$N117='112'!$I$6)),"x",""))</f>
        <v/>
      </c>
      <c r="V117" s="87" t="str">
        <f>IF(ISERROR(FIND('112'!$M$9,G117,1)),"",IF((AND(FIND('112'!$M$9,G117,1)&gt;=1,B117&lt;'112'!$K$9,$O117='112'!$I$6)),"x",""))</f>
        <v/>
      </c>
      <c r="W117" s="87" t="str">
        <f>IF(AND($B117&gt;='1331'!$I$9,$B117&lt;='1331'!$J$9,OR($N117=$W$7,$O117=$W$7)),"x","")</f>
        <v/>
      </c>
      <c r="X117" s="87" t="str">
        <f>IF(AND($N117=$W$7,$B117&lt;'1331'!$I$9),"x","")</f>
        <v/>
      </c>
      <c r="Y117" s="87" t="str">
        <f>IF(AND($O117=$W$7,$B117&lt;'1331'!$I$9),"x","")</f>
        <v/>
      </c>
      <c r="Z117" s="87" t="str">
        <f>IF(AND('341-CT'!$H$9=H117,OR(LEFT(N117,3)=$Z$7,LEFT(O117,3)=$Z$7)),"x","")</f>
        <v/>
      </c>
      <c r="AA117" s="87" t="str">
        <f>IF(OR(TH!N117=TH!$AA$7,O117=TH!$AA$7),"x","")</f>
        <v/>
      </c>
      <c r="AB117" s="87" t="str">
        <f>IF(AND(OR(N117="131",O117="131"),H117='131-CT'!$H$9),"x","")</f>
        <v/>
      </c>
      <c r="AC117" s="87"/>
      <c r="AD117" s="87" t="str">
        <f>IF(AND(MONTH(E117)='IN-NX'!$J$5,'IN-NX'!$D$7=D117),"x","")</f>
        <v/>
      </c>
      <c r="AE117" s="87" t="str">
        <f>IF(AND(OR(LEFT(TH!N117,2)="15",LEFT(TH!O117,2)="15"),'152-CT'!$J$8=TH!F117),"x","")</f>
        <v/>
      </c>
      <c r="AF117" s="87" t="str">
        <f>IF(AND(OR(LEFT(TH!N117,2)="15",LEFT(TH!O117,2)="15"),'THE KHO'!$E$7=TH!F117),"x","")</f>
        <v/>
      </c>
      <c r="AG117" s="87" t="str">
        <f>IF(AND(N117="1521",MONTH(C117)='BK NL'!$M$11),"x","")</f>
        <v/>
      </c>
    </row>
    <row r="118" spans="1:33" s="404" customFormat="1" ht="15.75" customHeight="1">
      <c r="A118" s="399" t="str">
        <f>IF(B118&lt;&gt;"",IF(AND(B118&gt;=_TM1,B118&lt;=_TM2,OR(TH!N118="1111",TH!O118="1111")),TH!D118,""),"")</f>
        <v/>
      </c>
      <c r="B118" s="63">
        <f t="shared" si="6"/>
        <v>1</v>
      </c>
      <c r="C118" s="83">
        <f t="shared" si="7"/>
        <v>42400</v>
      </c>
      <c r="D118" s="64" t="s">
        <v>769</v>
      </c>
      <c r="E118" s="64">
        <v>42400</v>
      </c>
      <c r="F118" s="67" t="s">
        <v>468</v>
      </c>
      <c r="G118" s="362"/>
      <c r="H118" s="75" t="s">
        <v>765</v>
      </c>
      <c r="I118" s="518">
        <v>12000</v>
      </c>
      <c r="J118" s="518"/>
      <c r="K118" s="509"/>
      <c r="L118" s="518"/>
      <c r="M118" s="86">
        <f t="shared" si="8"/>
        <v>0</v>
      </c>
      <c r="N118" s="66" t="s">
        <v>300</v>
      </c>
      <c r="O118" s="66" t="s">
        <v>298</v>
      </c>
      <c r="P118" s="87" t="str">
        <f>IF(AND('331-CT'!$E$7=TH!H118,OR(N118="331",O118="331")),"x","")</f>
        <v/>
      </c>
      <c r="Q118" s="87" t="str">
        <f>IF(AND(B118='111'!$L$11,OR($N118=$Q$7,$O118=$Q$7)),"x","")</f>
        <v/>
      </c>
      <c r="R118" s="87" t="str">
        <f>IF(AND($N118=$Q$7,$B118&lt;'111'!$L$11),"x","")</f>
        <v/>
      </c>
      <c r="S118" s="87" t="str">
        <f>IF(AND($O118=$Q$7,$B118&lt;'111'!$L$11),"x","")</f>
        <v/>
      </c>
      <c r="T118" s="87" t="str">
        <f>IF(ISERROR(FIND('112'!$M$9,G118,1)),"",IF((AND(FIND('112'!$M$9,G118,1)&gt;=1,B118='112'!$K$9,OR($N118='112'!$I$6,$O118='112'!$I$6))),"x",""))</f>
        <v/>
      </c>
      <c r="U118" s="87" t="str">
        <f>IF(ISERROR(FIND('112'!$M$9,G118,1)),"",IF((AND(FIND('112'!$M$9,G118,1)&gt;=1,B118&lt;'112'!$K$9,$N118='112'!$I$6)),"x",""))</f>
        <v/>
      </c>
      <c r="V118" s="87" t="str">
        <f>IF(ISERROR(FIND('112'!$M$9,G118,1)),"",IF((AND(FIND('112'!$M$9,G118,1)&gt;=1,B118&lt;'112'!$K$9,$O118='112'!$I$6)),"x",""))</f>
        <v/>
      </c>
      <c r="W118" s="87" t="str">
        <f>IF(AND($B118&gt;='1331'!$I$9,$B118&lt;='1331'!$J$9,OR($N118=$W$7,$O118=$W$7)),"x","")</f>
        <v/>
      </c>
      <c r="X118" s="87" t="str">
        <f>IF(AND($N118=$W$7,$B118&lt;'1331'!$I$9),"x","")</f>
        <v/>
      </c>
      <c r="Y118" s="87" t="str">
        <f>IF(AND($O118=$W$7,$B118&lt;'1331'!$I$9),"x","")</f>
        <v/>
      </c>
      <c r="Z118" s="87" t="str">
        <f>IF(AND('341-CT'!$H$9=H118,OR(LEFT(N118,3)=$Z$7,LEFT(O118,3)=$Z$7)),"x","")</f>
        <v/>
      </c>
      <c r="AA118" s="87" t="str">
        <f>IF(OR(TH!N118=TH!$AA$7,O118=TH!$AA$7),"x","")</f>
        <v/>
      </c>
      <c r="AB118" s="87" t="str">
        <f>IF(AND(OR(N118="131",O118="131"),H118='131-CT'!$H$9),"x","")</f>
        <v/>
      </c>
      <c r="AC118" s="87"/>
      <c r="AD118" s="87" t="str">
        <f>IF(AND(MONTH(E118)='IN-NX'!$J$5,'IN-NX'!$D$7=D118),"x","")</f>
        <v/>
      </c>
      <c r="AE118" s="87" t="str">
        <f>IF(AND(OR(LEFT(TH!N118,2)="15",LEFT(TH!O118,2)="15"),'152-CT'!$J$8=TH!F118),"x","")</f>
        <v/>
      </c>
      <c r="AF118" s="87" t="str">
        <f>IF(AND(OR(LEFT(TH!N118,2)="15",LEFT(TH!O118,2)="15"),'THE KHO'!$E$7=TH!F118),"x","")</f>
        <v/>
      </c>
      <c r="AG118" s="87" t="str">
        <f>IF(AND(N118="1521",MONTH(C118)='BK NL'!$M$11),"x","")</f>
        <v/>
      </c>
    </row>
    <row r="119" spans="1:33" s="404" customFormat="1" ht="15.75" customHeight="1">
      <c r="A119" s="399" t="str">
        <f>IF(B119&lt;&gt;"",IF(AND(B119&gt;=_TM1,B119&lt;=_TM2,OR(TH!N119="1111",TH!O119="1111")),TH!D119,""),"")</f>
        <v/>
      </c>
      <c r="B119" s="63">
        <f t="shared" si="6"/>
        <v>1</v>
      </c>
      <c r="C119" s="83">
        <f t="shared" si="7"/>
        <v>42395</v>
      </c>
      <c r="D119" s="64" t="s">
        <v>647</v>
      </c>
      <c r="E119" s="64">
        <v>42395</v>
      </c>
      <c r="F119" s="67" t="s">
        <v>467</v>
      </c>
      <c r="G119" s="362"/>
      <c r="H119" s="75" t="s">
        <v>655</v>
      </c>
      <c r="I119" s="518">
        <v>7100</v>
      </c>
      <c r="J119" s="518"/>
      <c r="K119" s="509"/>
      <c r="L119" s="518"/>
      <c r="M119" s="86">
        <f t="shared" si="8"/>
        <v>0</v>
      </c>
      <c r="N119" s="66" t="s">
        <v>310</v>
      </c>
      <c r="O119" s="66" t="s">
        <v>300</v>
      </c>
      <c r="P119" s="87" t="str">
        <f>IF(AND('331-CT'!$E$7=TH!H119,OR(N119="331",O119="331")),"x","")</f>
        <v/>
      </c>
      <c r="Q119" s="87" t="str">
        <f>IF(AND(B119='111'!$L$11,OR($N119=$Q$7,$O119=$Q$7)),"x","")</f>
        <v/>
      </c>
      <c r="R119" s="87" t="str">
        <f>IF(AND($N119=$Q$7,$B119&lt;'111'!$L$11),"x","")</f>
        <v/>
      </c>
      <c r="S119" s="87" t="str">
        <f>IF(AND($O119=$Q$7,$B119&lt;'111'!$L$11),"x","")</f>
        <v/>
      </c>
      <c r="T119" s="87" t="str">
        <f>IF(ISERROR(FIND('112'!$M$9,G119,1)),"",IF((AND(FIND('112'!$M$9,G119,1)&gt;=1,B119='112'!$K$9,OR($N119='112'!$I$6,$O119='112'!$I$6))),"x",""))</f>
        <v/>
      </c>
      <c r="U119" s="87" t="str">
        <f>IF(ISERROR(FIND('112'!$M$9,G119,1)),"",IF((AND(FIND('112'!$M$9,G119,1)&gt;=1,B119&lt;'112'!$K$9,$N119='112'!$I$6)),"x",""))</f>
        <v/>
      </c>
      <c r="V119" s="87" t="str">
        <f>IF(ISERROR(FIND('112'!$M$9,G119,1)),"",IF((AND(FIND('112'!$M$9,G119,1)&gt;=1,B119&lt;'112'!$K$9,$O119='112'!$I$6)),"x",""))</f>
        <v/>
      </c>
      <c r="W119" s="87" t="str">
        <f>IF(AND($B119&gt;='1331'!$I$9,$B119&lt;='1331'!$J$9,OR($N119=$W$7,$O119=$W$7)),"x","")</f>
        <v/>
      </c>
      <c r="X119" s="87" t="str">
        <f>IF(AND($N119=$W$7,$B119&lt;'1331'!$I$9),"x","")</f>
        <v/>
      </c>
      <c r="Y119" s="87" t="str">
        <f>IF(AND($O119=$W$7,$B119&lt;'1331'!$I$9),"x","")</f>
        <v/>
      </c>
      <c r="Z119" s="87" t="str">
        <f>IF(AND('341-CT'!$H$9=H119,OR(LEFT(N119,3)=$Z$7,LEFT(O119,3)=$Z$7)),"x","")</f>
        <v/>
      </c>
      <c r="AA119" s="87" t="str">
        <f>IF(OR(TH!N119=TH!$AA$7,O119=TH!$AA$7),"x","")</f>
        <v/>
      </c>
      <c r="AB119" s="87" t="str">
        <f>IF(AND(OR(N119="131",O119="131"),H119='131-CT'!$H$9),"x","")</f>
        <v/>
      </c>
      <c r="AC119" s="87"/>
      <c r="AD119" s="87" t="str">
        <f>IF(AND(MONTH(E119)='IN-NX'!$J$5,'IN-NX'!$D$7=D119),"x","")</f>
        <v/>
      </c>
      <c r="AE119" s="87" t="str">
        <f>IF(AND(OR(LEFT(TH!N119,2)="15",LEFT(TH!O119,2)="15"),'152-CT'!$J$8=TH!F119),"x","")</f>
        <v>x</v>
      </c>
      <c r="AF119" s="87" t="str">
        <f>IF(AND(OR(LEFT(TH!N119,2)="15",LEFT(TH!O119,2)="15"),'THE KHO'!$E$7=TH!F119),"x","")</f>
        <v/>
      </c>
      <c r="AG119" s="87" t="str">
        <f>IF(AND(N119="1521",MONTH(C119)='BK NL'!$M$11),"x","")</f>
        <v/>
      </c>
    </row>
    <row r="120" spans="1:33" s="404" customFormat="1" ht="15.75" customHeight="1">
      <c r="A120" s="399" t="str">
        <f>IF(B120&lt;&gt;"",IF(AND(B120&gt;=_TM1,B120&lt;=_TM2,OR(TH!N120="1111",TH!O120="1111")),TH!D120,""),"")</f>
        <v/>
      </c>
      <c r="B120" s="63">
        <f t="shared" si="6"/>
        <v>1</v>
      </c>
      <c r="C120" s="83">
        <f t="shared" si="7"/>
        <v>42395</v>
      </c>
      <c r="D120" s="64" t="s">
        <v>648</v>
      </c>
      <c r="E120" s="64">
        <v>42395</v>
      </c>
      <c r="F120" s="67" t="s">
        <v>469</v>
      </c>
      <c r="G120" s="362"/>
      <c r="H120" s="75" t="s">
        <v>649</v>
      </c>
      <c r="I120" s="518">
        <v>4800</v>
      </c>
      <c r="J120" s="518"/>
      <c r="K120" s="509"/>
      <c r="L120" s="518"/>
      <c r="M120" s="86">
        <f t="shared" si="8"/>
        <v>0</v>
      </c>
      <c r="N120" s="66" t="s">
        <v>310</v>
      </c>
      <c r="O120" s="66" t="s">
        <v>300</v>
      </c>
      <c r="P120" s="87" t="str">
        <f>IF(AND('331-CT'!$E$7=TH!H120,OR(N120="331",O120="331")),"x","")</f>
        <v/>
      </c>
      <c r="Q120" s="87" t="str">
        <f>IF(AND(B120='111'!$L$11,OR($N120=$Q$7,$O120=$Q$7)),"x","")</f>
        <v/>
      </c>
      <c r="R120" s="87" t="str">
        <f>IF(AND($N120=$Q$7,$B120&lt;'111'!$L$11),"x","")</f>
        <v/>
      </c>
      <c r="S120" s="87" t="str">
        <f>IF(AND($O120=$Q$7,$B120&lt;'111'!$L$11),"x","")</f>
        <v/>
      </c>
      <c r="T120" s="87" t="str">
        <f>IF(ISERROR(FIND('112'!$M$9,G120,1)),"",IF((AND(FIND('112'!$M$9,G120,1)&gt;=1,B120='112'!$K$9,OR($N120='112'!$I$6,$O120='112'!$I$6))),"x",""))</f>
        <v/>
      </c>
      <c r="U120" s="87" t="str">
        <f>IF(ISERROR(FIND('112'!$M$9,G120,1)),"",IF((AND(FIND('112'!$M$9,G120,1)&gt;=1,B120&lt;'112'!$K$9,$N120='112'!$I$6)),"x",""))</f>
        <v/>
      </c>
      <c r="V120" s="87" t="str">
        <f>IF(ISERROR(FIND('112'!$M$9,G120,1)),"",IF((AND(FIND('112'!$M$9,G120,1)&gt;=1,B120&lt;'112'!$K$9,$O120='112'!$I$6)),"x",""))</f>
        <v/>
      </c>
      <c r="W120" s="87" t="str">
        <f>IF(AND($B120&gt;='1331'!$I$9,$B120&lt;='1331'!$J$9,OR($N120=$W$7,$O120=$W$7)),"x","")</f>
        <v/>
      </c>
      <c r="X120" s="87" t="str">
        <f>IF(AND($N120=$W$7,$B120&lt;'1331'!$I$9),"x","")</f>
        <v/>
      </c>
      <c r="Y120" s="87" t="str">
        <f>IF(AND($O120=$W$7,$B120&lt;'1331'!$I$9),"x","")</f>
        <v/>
      </c>
      <c r="Z120" s="87" t="str">
        <f>IF(AND('341-CT'!$H$9=H120,OR(LEFT(N120,3)=$Z$7,LEFT(O120,3)=$Z$7)),"x","")</f>
        <v/>
      </c>
      <c r="AA120" s="87" t="str">
        <f>IF(OR(TH!N120=TH!$AA$7,O120=TH!$AA$7),"x","")</f>
        <v/>
      </c>
      <c r="AB120" s="87" t="str">
        <f>IF(AND(OR(N120="131",O120="131"),H120='131-CT'!$H$9),"x","")</f>
        <v/>
      </c>
      <c r="AC120" s="87"/>
      <c r="AD120" s="87" t="str">
        <f>IF(AND(MONTH(E120)='IN-NX'!$J$5,'IN-NX'!$D$7=D120),"x","")</f>
        <v/>
      </c>
      <c r="AE120" s="87" t="str">
        <f>IF(AND(OR(LEFT(TH!N120,2)="15",LEFT(TH!O120,2)="15"),'152-CT'!$J$8=TH!F120),"x","")</f>
        <v/>
      </c>
      <c r="AF120" s="87" t="str">
        <f>IF(AND(OR(LEFT(TH!N120,2)="15",LEFT(TH!O120,2)="15"),'THE KHO'!$E$7=TH!F120),"x","")</f>
        <v/>
      </c>
      <c r="AG120" s="87" t="str">
        <f>IF(AND(N120="1521",MONTH(C120)='BK NL'!$M$11),"x","")</f>
        <v/>
      </c>
    </row>
    <row r="121" spans="1:33" s="404" customFormat="1" ht="15.75" customHeight="1">
      <c r="A121" s="399" t="str">
        <f>IF(B121&lt;&gt;"",IF(AND(B121&gt;=_TM1,B121&lt;=_TM2,OR(TH!N121="1111",TH!O121="1111")),TH!D121,""),"")</f>
        <v/>
      </c>
      <c r="B121" s="63">
        <f t="shared" si="6"/>
        <v>2</v>
      </c>
      <c r="C121" s="83">
        <f t="shared" si="7"/>
        <v>42402</v>
      </c>
      <c r="D121" s="64" t="s">
        <v>767</v>
      </c>
      <c r="E121" s="64">
        <v>42402</v>
      </c>
      <c r="F121" s="67" t="s">
        <v>468</v>
      </c>
      <c r="G121" s="362"/>
      <c r="H121" s="7" t="s">
        <v>652</v>
      </c>
      <c r="I121" s="518">
        <v>12000</v>
      </c>
      <c r="J121" s="518"/>
      <c r="K121" s="509"/>
      <c r="L121" s="518"/>
      <c r="M121" s="86">
        <f t="shared" si="8"/>
        <v>0</v>
      </c>
      <c r="N121" s="66" t="s">
        <v>310</v>
      </c>
      <c r="O121" s="66" t="s">
        <v>300</v>
      </c>
      <c r="P121" s="87" t="str">
        <f>IF(AND('331-CT'!$E$7=TH!H121,OR(N121="331",O121="331")),"x","")</f>
        <v/>
      </c>
      <c r="Q121" s="87" t="str">
        <f>IF(AND(B121='111'!$L$11,OR($N121=$Q$7,$O121=$Q$7)),"x","")</f>
        <v/>
      </c>
      <c r="R121" s="87" t="str">
        <f>IF(AND($N121=$Q$7,$B121&lt;'111'!$L$11),"x","")</f>
        <v/>
      </c>
      <c r="S121" s="87" t="str">
        <f>IF(AND($O121=$Q$7,$B121&lt;'111'!$L$11),"x","")</f>
        <v/>
      </c>
      <c r="T121" s="87" t="str">
        <f>IF(ISERROR(FIND('112'!$M$9,G121,1)),"",IF((AND(FIND('112'!$M$9,G121,1)&gt;=1,B121='112'!$K$9,OR($N121='112'!$I$6,$O121='112'!$I$6))),"x",""))</f>
        <v/>
      </c>
      <c r="U121" s="87" t="str">
        <f>IF(ISERROR(FIND('112'!$M$9,G121,1)),"",IF((AND(FIND('112'!$M$9,G121,1)&gt;=1,B121&lt;'112'!$K$9,$N121='112'!$I$6)),"x",""))</f>
        <v/>
      </c>
      <c r="V121" s="87" t="str">
        <f>IF(ISERROR(FIND('112'!$M$9,G121,1)),"",IF((AND(FIND('112'!$M$9,G121,1)&gt;=1,B121&lt;'112'!$K$9,$O121='112'!$I$6)),"x",""))</f>
        <v/>
      </c>
      <c r="W121" s="87" t="str">
        <f>IF(AND($B121&gt;='1331'!$I$9,$B121&lt;='1331'!$J$9,OR($N121=$W$7,$O121=$W$7)),"x","")</f>
        <v/>
      </c>
      <c r="X121" s="87" t="str">
        <f>IF(AND($N121=$W$7,$B121&lt;'1331'!$I$9),"x","")</f>
        <v/>
      </c>
      <c r="Y121" s="87" t="str">
        <f>IF(AND($O121=$W$7,$B121&lt;'1331'!$I$9),"x","")</f>
        <v/>
      </c>
      <c r="Z121" s="87" t="str">
        <f>IF(AND('341-CT'!$H$9=H121,OR(LEFT(N121,3)=$Z$7,LEFT(O121,3)=$Z$7)),"x","")</f>
        <v/>
      </c>
      <c r="AA121" s="87" t="str">
        <f>IF(OR(TH!N121=TH!$AA$7,O121=TH!$AA$7),"x","")</f>
        <v/>
      </c>
      <c r="AB121" s="87" t="str">
        <f>IF(AND(OR(N121="131",O121="131"),H121='131-CT'!$H$9),"x","")</f>
        <v/>
      </c>
      <c r="AC121" s="87"/>
      <c r="AD121" s="87" t="str">
        <f>IF(AND(MONTH(E121)='IN-NX'!$J$5,'IN-NX'!$D$7=D121),"x","")</f>
        <v/>
      </c>
      <c r="AE121" s="87" t="str">
        <f>IF(AND(OR(LEFT(TH!N121,2)="15",LEFT(TH!O121,2)="15"),'152-CT'!$J$8=TH!F121),"x","")</f>
        <v/>
      </c>
      <c r="AF121" s="87" t="str">
        <f>IF(AND(OR(LEFT(TH!N121,2)="15",LEFT(TH!O121,2)="15"),'THE KHO'!$E$7=TH!F121),"x","")</f>
        <v/>
      </c>
      <c r="AG121" s="87" t="str">
        <f>IF(AND(N121="1521",MONTH(C121)='BK NL'!$M$11),"x","")</f>
        <v/>
      </c>
    </row>
    <row r="122" spans="1:33" s="404" customFormat="1" ht="15.75" customHeight="1">
      <c r="A122" s="399" t="str">
        <f>IF(B122&lt;&gt;"",IF(AND(B122&gt;=_TM1,B122&lt;=_TM2,OR(TH!N122="1111",TH!O122="1111")),TH!D122,""),"")</f>
        <v/>
      </c>
      <c r="B122" s="63">
        <f t="shared" si="6"/>
        <v>2</v>
      </c>
      <c r="C122" s="83">
        <f t="shared" si="7"/>
        <v>42429</v>
      </c>
      <c r="D122" s="64" t="s">
        <v>647</v>
      </c>
      <c r="E122" s="64">
        <v>42429</v>
      </c>
      <c r="F122" s="67" t="s">
        <v>468</v>
      </c>
      <c r="G122" s="362"/>
      <c r="H122" s="75" t="s">
        <v>766</v>
      </c>
      <c r="I122" s="518">
        <v>8000</v>
      </c>
      <c r="J122" s="518"/>
      <c r="K122" s="509"/>
      <c r="L122" s="518"/>
      <c r="M122" s="86">
        <f t="shared" si="8"/>
        <v>0</v>
      </c>
      <c r="N122" s="69" t="s">
        <v>300</v>
      </c>
      <c r="O122" s="66" t="s">
        <v>298</v>
      </c>
      <c r="P122" s="87" t="str">
        <f>IF(AND('331-CT'!$E$7=TH!H122,OR(N122="331",O122="331")),"x","")</f>
        <v/>
      </c>
      <c r="Q122" s="87" t="str">
        <f>IF(AND(B122='111'!$L$11,OR($N122=$Q$7,$O122=$Q$7)),"x","")</f>
        <v/>
      </c>
      <c r="R122" s="87" t="str">
        <f>IF(AND($N122=$Q$7,$B122&lt;'111'!$L$11),"x","")</f>
        <v/>
      </c>
      <c r="S122" s="87" t="str">
        <f>IF(AND($O122=$Q$7,$B122&lt;'111'!$L$11),"x","")</f>
        <v/>
      </c>
      <c r="T122" s="87" t="str">
        <f>IF(ISERROR(FIND('112'!$M$9,G122,1)),"",IF((AND(FIND('112'!$M$9,G122,1)&gt;=1,B122='112'!$K$9,OR($N122='112'!$I$6,$O122='112'!$I$6))),"x",""))</f>
        <v/>
      </c>
      <c r="U122" s="87" t="str">
        <f>IF(ISERROR(FIND('112'!$M$9,G122,1)),"",IF((AND(FIND('112'!$M$9,G122,1)&gt;=1,B122&lt;'112'!$K$9,$N122='112'!$I$6)),"x",""))</f>
        <v/>
      </c>
      <c r="V122" s="87" t="str">
        <f>IF(ISERROR(FIND('112'!$M$9,G122,1)),"",IF((AND(FIND('112'!$M$9,G122,1)&gt;=1,B122&lt;'112'!$K$9,$O122='112'!$I$6)),"x",""))</f>
        <v/>
      </c>
      <c r="W122" s="87" t="str">
        <f>IF(AND($B122&gt;='1331'!$I$9,$B122&lt;='1331'!$J$9,OR($N122=$W$7,$O122=$W$7)),"x","")</f>
        <v/>
      </c>
      <c r="X122" s="87" t="str">
        <f>IF(AND($N122=$W$7,$B122&lt;'1331'!$I$9),"x","")</f>
        <v/>
      </c>
      <c r="Y122" s="87" t="str">
        <f>IF(AND($O122=$W$7,$B122&lt;'1331'!$I$9),"x","")</f>
        <v/>
      </c>
      <c r="Z122" s="87" t="str">
        <f>IF(AND('341-CT'!$H$9=H122,OR(LEFT(N122,3)=$Z$7,LEFT(O122,3)=$Z$7)),"x","")</f>
        <v/>
      </c>
      <c r="AA122" s="87" t="str">
        <f>IF(OR(TH!N122=TH!$AA$7,O122=TH!$AA$7),"x","")</f>
        <v/>
      </c>
      <c r="AB122" s="87" t="str">
        <f>IF(AND(OR(N122="131",O122="131"),H122='131-CT'!$H$9),"x","")</f>
        <v/>
      </c>
      <c r="AC122" s="87"/>
      <c r="AD122" s="87" t="str">
        <f>IF(AND(MONTH(E122)='IN-NX'!$J$5,'IN-NX'!$D$7=D122),"x","")</f>
        <v/>
      </c>
      <c r="AE122" s="87" t="str">
        <f>IF(AND(OR(LEFT(TH!N122,2)="15",LEFT(TH!O122,2)="15"),'152-CT'!$J$8=TH!F122),"x","")</f>
        <v/>
      </c>
      <c r="AF122" s="87" t="str">
        <f>IF(AND(OR(LEFT(TH!N122,2)="15",LEFT(TH!O122,2)="15"),'THE KHO'!$E$7=TH!F122),"x","")</f>
        <v/>
      </c>
      <c r="AG122" s="87" t="str">
        <f>IF(AND(N122="1521",MONTH(C122)='BK NL'!$M$11),"x","")</f>
        <v/>
      </c>
    </row>
    <row r="123" spans="1:33" s="404" customFormat="1" ht="15.75" customHeight="1">
      <c r="A123" s="399" t="str">
        <f>IF(B123&lt;&gt;"",IF(AND(B123&gt;=_TM1,B123&lt;=_TM2,OR(TH!N123="1111",TH!O123="1111")),TH!D123,""),"")</f>
        <v>C01</v>
      </c>
      <c r="B123" s="63">
        <f>IF(C123&lt;&gt;"",MONTH(C123),"")</f>
        <v>1</v>
      </c>
      <c r="C123" s="64">
        <v>42371</v>
      </c>
      <c r="D123" s="64" t="s">
        <v>948</v>
      </c>
      <c r="E123" s="64">
        <v>42368</v>
      </c>
      <c r="F123" s="67" t="s">
        <v>844</v>
      </c>
      <c r="G123" s="376" t="s">
        <v>879</v>
      </c>
      <c r="H123" s="75" t="s">
        <v>880</v>
      </c>
      <c r="I123" s="518"/>
      <c r="J123" s="518"/>
      <c r="K123" s="509"/>
      <c r="L123" s="518"/>
      <c r="M123" s="65">
        <v>4399997</v>
      </c>
      <c r="N123" s="88" t="s">
        <v>101</v>
      </c>
      <c r="O123" s="66" t="s">
        <v>63</v>
      </c>
      <c r="P123" s="87" t="str">
        <f>IF(AND('331-CT'!$E$7=TH!H123,OR(N123="331",O123="331")),"x","")</f>
        <v/>
      </c>
      <c r="Q123" s="87" t="str">
        <f>IF(AND(B123='111'!$L$11,OR($N123=$Q$7,$O123=$Q$7)),"x","")</f>
        <v>x</v>
      </c>
      <c r="R123" s="87" t="str">
        <f>IF(AND($N123=$Q$7,$B123&lt;'111'!$L$11),"x","")</f>
        <v/>
      </c>
      <c r="S123" s="87" t="str">
        <f>IF(AND($O123=$Q$7,$B123&lt;'111'!$L$11),"x","")</f>
        <v/>
      </c>
      <c r="T123" s="87" t="str">
        <f>IF(ISERROR(FIND('112'!$M$9,G123,1)),"",IF((AND(FIND('112'!$M$9,G123,1)&gt;=1,B123='112'!$K$9,OR($N123='112'!$I$6,$O123='112'!$I$6))),"x",""))</f>
        <v/>
      </c>
      <c r="U123" s="87" t="str">
        <f>IF(ISERROR(FIND('112'!$M$9,G123,1)),"",IF((AND(FIND('112'!$M$9,G123,1)&gt;=1,B123&lt;'112'!$K$9,$N123='112'!$I$6)),"x",""))</f>
        <v/>
      </c>
      <c r="V123" s="87" t="str">
        <f>IF(ISERROR(FIND('112'!$M$9,G123,1)),"",IF((AND(FIND('112'!$M$9,G123,1)&gt;=1,B123&lt;'112'!$K$9,$O123='112'!$I$6)),"x",""))</f>
        <v/>
      </c>
      <c r="W123" s="87" t="str">
        <f>IF(AND($B123&gt;='1331'!$I$9,$B123&lt;='1331'!$J$9,OR($N123=$W$7,$O123=$W$7)),"x","")</f>
        <v/>
      </c>
      <c r="X123" s="87" t="str">
        <f>IF(AND($N123=$W$7,$B123&lt;'1331'!$I$9),"x","")</f>
        <v/>
      </c>
      <c r="Y123" s="87" t="str">
        <f>IF(AND($O123=$W$7,$B123&lt;'1331'!$I$9),"x","")</f>
        <v/>
      </c>
      <c r="Z123" s="87" t="str">
        <f>IF(AND('341-CT'!$H$9=H123,OR(LEFT(N123,3)=$Z$7,LEFT(O123,3)=$Z$7)),"x","")</f>
        <v/>
      </c>
      <c r="AA123" s="87" t="str">
        <f>IF(OR(TH!N123=TH!$AA$7,O123=TH!$AA$7),"x","")</f>
        <v/>
      </c>
      <c r="AB123" s="87" t="str">
        <f>IF(AND(OR(N123="131",O123="131"),H123='131-CT'!$H$9),"x","")</f>
        <v/>
      </c>
      <c r="AC123" s="87"/>
      <c r="AD123" s="87" t="str">
        <f>IF(AND(MONTH(E123)='IN-NX'!$J$5,'IN-NX'!$D$7=D123),"x","")</f>
        <v/>
      </c>
      <c r="AE123" s="87" t="str">
        <f>IF(AND(OR(LEFT(TH!N123,2)="15",LEFT(TH!O123,2)="15"),'152-CT'!$J$8=TH!F123),"x","")</f>
        <v/>
      </c>
      <c r="AF123" s="87" t="str">
        <f>IF(AND(OR(LEFT(TH!N123,2)="15",LEFT(TH!O123,2)="15"),'THE KHO'!$E$7=TH!F123),"x","")</f>
        <v/>
      </c>
      <c r="AG123" s="87" t="str">
        <f>IF(AND(N123="1521",MONTH(C123)='BK NL'!$M$11),"x","")</f>
        <v/>
      </c>
    </row>
    <row r="124" spans="1:33" s="404" customFormat="1" ht="15.75" customHeight="1">
      <c r="A124" s="399" t="str">
        <f>IF(B124&lt;&gt;"",IF(AND(B124&gt;=_TM1,B124&lt;=_TM2,OR(TH!N124="1111",TH!O124="1111")),TH!D124,""),"")</f>
        <v>C01</v>
      </c>
      <c r="B124" s="63">
        <f>IF(C124&lt;&gt;"",MONTH(C124),"")</f>
        <v>1</v>
      </c>
      <c r="C124" s="64">
        <v>42371</v>
      </c>
      <c r="D124" s="64" t="s">
        <v>948</v>
      </c>
      <c r="E124" s="64">
        <v>42368</v>
      </c>
      <c r="F124" s="67" t="s">
        <v>845</v>
      </c>
      <c r="G124" s="376" t="s">
        <v>879</v>
      </c>
      <c r="H124" s="75" t="s">
        <v>880</v>
      </c>
      <c r="I124" s="518"/>
      <c r="J124" s="518"/>
      <c r="K124" s="509"/>
      <c r="L124" s="518"/>
      <c r="M124" s="65">
        <v>440003</v>
      </c>
      <c r="N124" s="88" t="s">
        <v>9</v>
      </c>
      <c r="O124" s="66" t="s">
        <v>63</v>
      </c>
      <c r="P124" s="87" t="str">
        <f>IF(AND('331-CT'!$E$7=TH!H124,OR(N124="331",O124="331")),"x","")</f>
        <v/>
      </c>
      <c r="Q124" s="87" t="str">
        <f>IF(AND(B124='111'!$L$11,OR($N124=$Q$7,$O124=$Q$7)),"x","")</f>
        <v>x</v>
      </c>
      <c r="R124" s="87" t="str">
        <f>IF(AND($N124=$Q$7,$B124&lt;'111'!$L$11),"x","")</f>
        <v/>
      </c>
      <c r="S124" s="87" t="str">
        <f>IF(AND($O124=$Q$7,$B124&lt;'111'!$L$11),"x","")</f>
        <v/>
      </c>
      <c r="T124" s="87" t="str">
        <f>IF(ISERROR(FIND('112'!$M$9,G124,1)),"",IF((AND(FIND('112'!$M$9,G124,1)&gt;=1,B124='112'!$K$9,OR($N124='112'!$I$6,$O124='112'!$I$6))),"x",""))</f>
        <v/>
      </c>
      <c r="U124" s="87" t="str">
        <f>IF(ISERROR(FIND('112'!$M$9,G124,1)),"",IF((AND(FIND('112'!$M$9,G124,1)&gt;=1,B124&lt;'112'!$K$9,$N124='112'!$I$6)),"x",""))</f>
        <v/>
      </c>
      <c r="V124" s="87" t="str">
        <f>IF(ISERROR(FIND('112'!$M$9,G124,1)),"",IF((AND(FIND('112'!$M$9,G124,1)&gt;=1,B124&lt;'112'!$K$9,$O124='112'!$I$6)),"x",""))</f>
        <v/>
      </c>
      <c r="W124" s="87" t="str">
        <f>IF(AND($B124&gt;='1331'!$I$9,$B124&lt;='1331'!$J$9,OR($N124=$W$7,$O124=$W$7)),"x","")</f>
        <v>x</v>
      </c>
      <c r="X124" s="87" t="str">
        <f>IF(AND($N124=$W$7,$B124&lt;'1331'!$I$9),"x","")</f>
        <v/>
      </c>
      <c r="Y124" s="87" t="str">
        <f>IF(AND($O124=$W$7,$B124&lt;'1331'!$I$9),"x","")</f>
        <v/>
      </c>
      <c r="Z124" s="87" t="str">
        <f>IF(AND('341-CT'!$H$9=H124,OR(LEFT(N124,3)=$Z$7,LEFT(O124,3)=$Z$7)),"x","")</f>
        <v/>
      </c>
      <c r="AA124" s="87" t="str">
        <f>IF(OR(TH!N124=TH!$AA$7,O124=TH!$AA$7),"x","")</f>
        <v/>
      </c>
      <c r="AB124" s="87" t="str">
        <f>IF(AND(OR(N124="131",O124="131"),H124='131-CT'!$H$9),"x","")</f>
        <v/>
      </c>
      <c r="AC124" s="87"/>
      <c r="AD124" s="87" t="str">
        <f>IF(AND(MONTH(E124)='IN-NX'!$J$5,'IN-NX'!$D$7=D124),"x","")</f>
        <v/>
      </c>
      <c r="AE124" s="87" t="str">
        <f>IF(AND(OR(LEFT(TH!N124,2)="15",LEFT(TH!O124,2)="15"),'152-CT'!$J$8=TH!F124),"x","")</f>
        <v/>
      </c>
      <c r="AF124" s="87" t="str">
        <f>IF(AND(OR(LEFT(TH!N124,2)="15",LEFT(TH!O124,2)="15"),'THE KHO'!$E$7=TH!F124),"x","")</f>
        <v/>
      </c>
      <c r="AG124" s="87" t="str">
        <f>IF(AND(N124="1521",MONTH(C124)='BK NL'!$M$11),"x","")</f>
        <v/>
      </c>
    </row>
    <row r="125" spans="1:33" s="404" customFormat="1" ht="15.75" customHeight="1">
      <c r="A125" s="399" t="str">
        <f>IF(B125&lt;&gt;"",IF(AND(B125&gt;=_TM1,B125&lt;=_TM2,OR(TH!N125="1111",TH!O125="1111")),TH!D125,""),"")</f>
        <v>C02</v>
      </c>
      <c r="B125" s="63">
        <f>IF(C125&lt;&gt;"",MONTH(C125),"")</f>
        <v>1</v>
      </c>
      <c r="C125" s="64">
        <v>42371</v>
      </c>
      <c r="D125" s="64" t="s">
        <v>949</v>
      </c>
      <c r="E125" s="64">
        <v>42369</v>
      </c>
      <c r="F125" s="67" t="s">
        <v>846</v>
      </c>
      <c r="G125" s="362" t="s">
        <v>881</v>
      </c>
      <c r="H125" s="409" t="s">
        <v>882</v>
      </c>
      <c r="I125" s="522"/>
      <c r="J125" s="522"/>
      <c r="K125" s="513"/>
      <c r="L125" s="522"/>
      <c r="M125" s="65">
        <v>47150</v>
      </c>
      <c r="N125" s="66" t="s">
        <v>101</v>
      </c>
      <c r="O125" s="66" t="s">
        <v>63</v>
      </c>
      <c r="P125" s="87" t="str">
        <f>IF(AND('331-CT'!$E$7=TH!H125,OR(N125="331",O125="331")),"x","")</f>
        <v/>
      </c>
      <c r="Q125" s="87" t="str">
        <f>IF(AND(B125='111'!$L$11,OR($N125=$Q$7,$O125=$Q$7)),"x","")</f>
        <v>x</v>
      </c>
      <c r="R125" s="87" t="str">
        <f>IF(AND($N125=$Q$7,$B125&lt;'111'!$L$11),"x","")</f>
        <v/>
      </c>
      <c r="S125" s="87" t="str">
        <f>IF(AND($O125=$Q$7,$B125&lt;'111'!$L$11),"x","")</f>
        <v/>
      </c>
      <c r="T125" s="87" t="str">
        <f>IF(ISERROR(FIND('112'!$M$9,G125,1)),"",IF((AND(FIND('112'!$M$9,G125,1)&gt;=1,B125='112'!$K$9,OR($N125='112'!$I$6,$O125='112'!$I$6))),"x",""))</f>
        <v/>
      </c>
      <c r="U125" s="87" t="str">
        <f>IF(ISERROR(FIND('112'!$M$9,G125,1)),"",IF((AND(FIND('112'!$M$9,G125,1)&gt;=1,B125&lt;'112'!$K$9,$N125='112'!$I$6)),"x",""))</f>
        <v/>
      </c>
      <c r="V125" s="87" t="str">
        <f>IF(ISERROR(FIND('112'!$M$9,G125,1)),"",IF((AND(FIND('112'!$M$9,G125,1)&gt;=1,B125&lt;'112'!$K$9,$O125='112'!$I$6)),"x",""))</f>
        <v/>
      </c>
      <c r="W125" s="87" t="str">
        <f>IF(AND($B125&gt;='1331'!$I$9,$B125&lt;='1331'!$J$9,OR($N125=$W$7,$O125=$W$7)),"x","")</f>
        <v/>
      </c>
      <c r="X125" s="87" t="str">
        <f>IF(AND($N125=$W$7,$B125&lt;'1331'!$I$9),"x","")</f>
        <v/>
      </c>
      <c r="Y125" s="87" t="str">
        <f>IF(AND($O125=$W$7,$B125&lt;'1331'!$I$9),"x","")</f>
        <v/>
      </c>
      <c r="Z125" s="87" t="str">
        <f>IF(AND('341-CT'!$H$9=H125,OR(LEFT(N125,3)=$Z$7,LEFT(O125,3)=$Z$7)),"x","")</f>
        <v/>
      </c>
      <c r="AA125" s="87" t="str">
        <f>IF(OR(TH!N125=TH!$AA$7,O125=TH!$AA$7),"x","")</f>
        <v/>
      </c>
      <c r="AB125" s="87" t="str">
        <f>IF(AND(OR(N125="131",O125="131"),H125='131-CT'!$H$9),"x","")</f>
        <v/>
      </c>
      <c r="AC125" s="87"/>
      <c r="AD125" s="87" t="str">
        <f>IF(AND(MONTH(E125)='IN-NX'!$J$5,'IN-NX'!$D$7=D125),"x","")</f>
        <v/>
      </c>
      <c r="AE125" s="87" t="str">
        <f>IF(AND(OR(LEFT(TH!N125,2)="15",LEFT(TH!O125,2)="15"),'152-CT'!$J$8=TH!F125),"x","")</f>
        <v/>
      </c>
      <c r="AF125" s="87" t="str">
        <f>IF(AND(OR(LEFT(TH!N125,2)="15",LEFT(TH!O125,2)="15"),'THE KHO'!$E$7=TH!F125),"x","")</f>
        <v/>
      </c>
      <c r="AG125" s="87" t="str">
        <f>IF(AND(N125="1521",MONTH(C125)='BK NL'!$M$11),"x","")</f>
        <v/>
      </c>
    </row>
    <row r="126" spans="1:33" s="404" customFormat="1" ht="15.75" customHeight="1">
      <c r="A126" s="399" t="str">
        <f>IF(B126&lt;&gt;"",IF(AND(B126&gt;=_TM1,B126&lt;=_TM2,OR(TH!N126="1111",TH!O126="1111")),TH!D126,""),"")</f>
        <v>C02</v>
      </c>
      <c r="B126" s="63">
        <f>IF(C126&lt;&gt;"",MONTH(C126),"")</f>
        <v>1</v>
      </c>
      <c r="C126" s="64">
        <v>42371</v>
      </c>
      <c r="D126" s="64" t="s">
        <v>949</v>
      </c>
      <c r="E126" s="64">
        <v>42369</v>
      </c>
      <c r="F126" s="67" t="s">
        <v>847</v>
      </c>
      <c r="G126" s="362" t="s">
        <v>881</v>
      </c>
      <c r="H126" s="75" t="s">
        <v>882</v>
      </c>
      <c r="I126" s="518"/>
      <c r="J126" s="518"/>
      <c r="K126" s="509"/>
      <c r="L126" s="518"/>
      <c r="M126" s="65">
        <v>4715</v>
      </c>
      <c r="N126" s="66" t="s">
        <v>9</v>
      </c>
      <c r="O126" s="66" t="s">
        <v>63</v>
      </c>
      <c r="P126" s="87" t="str">
        <f>IF(AND('331-CT'!$E$7=TH!H126,OR(N126="331",O126="331")),"x","")</f>
        <v/>
      </c>
      <c r="Q126" s="87" t="str">
        <f>IF(AND(B126='111'!$L$11,OR($N126=$Q$7,$O126=$Q$7)),"x","")</f>
        <v>x</v>
      </c>
      <c r="R126" s="87" t="str">
        <f>IF(AND($N126=$Q$7,$B126&lt;'111'!$L$11),"x","")</f>
        <v/>
      </c>
      <c r="S126" s="87" t="str">
        <f>IF(AND($O126=$Q$7,$B126&lt;'111'!$L$11),"x","")</f>
        <v/>
      </c>
      <c r="T126" s="87" t="str">
        <f>IF(ISERROR(FIND('112'!$M$9,G126,1)),"",IF((AND(FIND('112'!$M$9,G126,1)&gt;=1,B126='112'!$K$9,OR($N126='112'!$I$6,$O126='112'!$I$6))),"x",""))</f>
        <v/>
      </c>
      <c r="U126" s="87" t="str">
        <f>IF(ISERROR(FIND('112'!$M$9,G126,1)),"",IF((AND(FIND('112'!$M$9,G126,1)&gt;=1,B126&lt;'112'!$K$9,$N126='112'!$I$6)),"x",""))</f>
        <v/>
      </c>
      <c r="V126" s="87" t="str">
        <f>IF(ISERROR(FIND('112'!$M$9,G126,1)),"",IF((AND(FIND('112'!$M$9,G126,1)&gt;=1,B126&lt;'112'!$K$9,$O126='112'!$I$6)),"x",""))</f>
        <v/>
      </c>
      <c r="W126" s="87" t="str">
        <f>IF(AND($B126&gt;='1331'!$I$9,$B126&lt;='1331'!$J$9,OR($N126=$W$7,$O126=$W$7)),"x","")</f>
        <v>x</v>
      </c>
      <c r="X126" s="87" t="str">
        <f>IF(AND($N126=$W$7,$B126&lt;'1331'!$I$9),"x","")</f>
        <v/>
      </c>
      <c r="Y126" s="87" t="str">
        <f>IF(AND($O126=$W$7,$B126&lt;'1331'!$I$9),"x","")</f>
        <v/>
      </c>
      <c r="Z126" s="87" t="str">
        <f>IF(AND('341-CT'!$H$9=H126,OR(LEFT(N126,3)=$Z$7,LEFT(O126,3)=$Z$7)),"x","")</f>
        <v/>
      </c>
      <c r="AA126" s="87" t="str">
        <f>IF(OR(TH!N126=TH!$AA$7,O126=TH!$AA$7),"x","")</f>
        <v/>
      </c>
      <c r="AB126" s="87" t="str">
        <f>IF(AND(OR(N126="131",O126="131"),H126='131-CT'!$H$9),"x","")</f>
        <v/>
      </c>
      <c r="AC126" s="87"/>
      <c r="AD126" s="87" t="str">
        <f>IF(AND(MONTH(E126)='IN-NX'!$J$5,'IN-NX'!$D$7=D126),"x","")</f>
        <v/>
      </c>
      <c r="AE126" s="87" t="str">
        <f>IF(AND(OR(LEFT(TH!N126,2)="15",LEFT(TH!O126,2)="15"),'152-CT'!$J$8=TH!F126),"x","")</f>
        <v/>
      </c>
      <c r="AF126" s="87" t="str">
        <f>IF(AND(OR(LEFT(TH!N126,2)="15",LEFT(TH!O126,2)="15"),'THE KHO'!$E$7=TH!F126),"x","")</f>
        <v/>
      </c>
      <c r="AG126" s="87" t="str">
        <f>IF(AND(N126="1521",MONTH(C126)='BK NL'!$M$11),"x","")</f>
        <v/>
      </c>
    </row>
    <row r="127" spans="1:33" s="404" customFormat="1" ht="15.75" customHeight="1">
      <c r="A127" s="399" t="str">
        <f>IF(B127&lt;&gt;"",IF(AND(B127&gt;=_TM1,B127&lt;=_TM2,OR(TH!N127="1111",TH!O127="1111")),TH!D127,""),"")</f>
        <v>C03</v>
      </c>
      <c r="B127" s="63">
        <f>IF(C127&lt;&gt;"",MONTH(C127),"")</f>
        <v>1</v>
      </c>
      <c r="C127" s="64">
        <v>42371</v>
      </c>
      <c r="D127" s="64" t="s">
        <v>950</v>
      </c>
      <c r="E127" s="64">
        <v>42367</v>
      </c>
      <c r="F127" s="67" t="s">
        <v>844</v>
      </c>
      <c r="G127" s="362" t="s">
        <v>883</v>
      </c>
      <c r="H127" s="75" t="s">
        <v>884</v>
      </c>
      <c r="I127" s="518"/>
      <c r="J127" s="518"/>
      <c r="K127" s="509"/>
      <c r="L127" s="518"/>
      <c r="M127" s="65">
        <v>2090910</v>
      </c>
      <c r="N127" s="66" t="s">
        <v>101</v>
      </c>
      <c r="O127" s="66" t="s">
        <v>63</v>
      </c>
      <c r="P127" s="87" t="str">
        <f>IF(AND('331-CT'!$E$7=TH!H127,OR(N127="331",O127="331")),"x","")</f>
        <v/>
      </c>
      <c r="Q127" s="87" t="str">
        <f>IF(AND(B127='111'!$L$11,OR($N127=$Q$7,$O127=$Q$7)),"x","")</f>
        <v>x</v>
      </c>
      <c r="R127" s="87" t="str">
        <f>IF(AND($N127=$Q$7,$B127&lt;'111'!$L$11),"x","")</f>
        <v/>
      </c>
      <c r="S127" s="87" t="str">
        <f>IF(AND($O127=$Q$7,$B127&lt;'111'!$L$11),"x","")</f>
        <v/>
      </c>
      <c r="T127" s="87" t="str">
        <f>IF(ISERROR(FIND('112'!$M$9,G127,1)),"",IF((AND(FIND('112'!$M$9,G127,1)&gt;=1,B127='112'!$K$9,OR($N127='112'!$I$6,$O127='112'!$I$6))),"x",""))</f>
        <v/>
      </c>
      <c r="U127" s="87" t="str">
        <f>IF(ISERROR(FIND('112'!$M$9,G127,1)),"",IF((AND(FIND('112'!$M$9,G127,1)&gt;=1,B127&lt;'112'!$K$9,$N127='112'!$I$6)),"x",""))</f>
        <v/>
      </c>
      <c r="V127" s="87" t="str">
        <f>IF(ISERROR(FIND('112'!$M$9,G127,1)),"",IF((AND(FIND('112'!$M$9,G127,1)&gt;=1,B127&lt;'112'!$K$9,$O127='112'!$I$6)),"x",""))</f>
        <v/>
      </c>
      <c r="W127" s="87" t="str">
        <f>IF(AND($B127&gt;='1331'!$I$9,$B127&lt;='1331'!$J$9,OR($N127=$W$7,$O127=$W$7)),"x","")</f>
        <v/>
      </c>
      <c r="X127" s="87" t="str">
        <f>IF(AND($N127=$W$7,$B127&lt;'1331'!$I$9),"x","")</f>
        <v/>
      </c>
      <c r="Y127" s="87" t="str">
        <f>IF(AND($O127=$W$7,$B127&lt;'1331'!$I$9),"x","")</f>
        <v/>
      </c>
      <c r="Z127" s="87" t="str">
        <f>IF(AND('341-CT'!$H$9=H127,OR(LEFT(N127,3)=$Z$7,LEFT(O127,3)=$Z$7)),"x","")</f>
        <v/>
      </c>
      <c r="AA127" s="87" t="str">
        <f>IF(OR(TH!N127=TH!$AA$7,O127=TH!$AA$7),"x","")</f>
        <v/>
      </c>
      <c r="AB127" s="87" t="str">
        <f>IF(AND(OR(N127="131",O127="131"),H127='131-CT'!$H$9),"x","")</f>
        <v/>
      </c>
      <c r="AC127" s="87"/>
      <c r="AD127" s="87" t="str">
        <f>IF(AND(MONTH(E127)='IN-NX'!$J$5,'IN-NX'!$D$7=D127),"x","")</f>
        <v/>
      </c>
      <c r="AE127" s="87" t="str">
        <f>IF(AND(OR(LEFT(TH!N127,2)="15",LEFT(TH!O127,2)="15"),'152-CT'!$J$8=TH!F127),"x","")</f>
        <v/>
      </c>
      <c r="AF127" s="87" t="str">
        <f>IF(AND(OR(LEFT(TH!N127,2)="15",LEFT(TH!O127,2)="15"),'THE KHO'!$E$7=TH!F127),"x","")</f>
        <v/>
      </c>
      <c r="AG127" s="87" t="str">
        <f>IF(AND(N127="1521",MONTH(C127)='BK NL'!$M$11),"x","")</f>
        <v/>
      </c>
    </row>
    <row r="128" spans="1:33" s="404" customFormat="1" ht="15.75" customHeight="1">
      <c r="A128" s="399" t="str">
        <f>IF(B128&lt;&gt;"",IF(AND(B128&gt;=_TM1,B128&lt;=_TM2,OR(TH!N128="1111",TH!O128="1111")),TH!D128,""),"")</f>
        <v>C03</v>
      </c>
      <c r="B128" s="63">
        <f>IF(C128&lt;&gt;"",MONTH(C128),"")</f>
        <v>1</v>
      </c>
      <c r="C128" s="64">
        <v>42371</v>
      </c>
      <c r="D128" s="64" t="s">
        <v>950</v>
      </c>
      <c r="E128" s="64">
        <v>42367</v>
      </c>
      <c r="F128" s="67" t="s">
        <v>845</v>
      </c>
      <c r="G128" s="362" t="s">
        <v>883</v>
      </c>
      <c r="H128" s="409" t="s">
        <v>884</v>
      </c>
      <c r="I128" s="522"/>
      <c r="J128" s="522"/>
      <c r="K128" s="513"/>
      <c r="L128" s="522"/>
      <c r="M128" s="65">
        <v>209090</v>
      </c>
      <c r="N128" s="66" t="s">
        <v>9</v>
      </c>
      <c r="O128" s="66" t="s">
        <v>63</v>
      </c>
      <c r="P128" s="87" t="str">
        <f>IF(AND('331-CT'!$E$7=TH!H128,OR(N128="331",O128="331")),"x","")</f>
        <v/>
      </c>
      <c r="Q128" s="87" t="str">
        <f>IF(AND(B128='111'!$L$11,OR($N128=$Q$7,$O128=$Q$7)),"x","")</f>
        <v>x</v>
      </c>
      <c r="R128" s="87" t="str">
        <f>IF(AND($N128=$Q$7,$B128&lt;'111'!$L$11),"x","")</f>
        <v/>
      </c>
      <c r="S128" s="87" t="str">
        <f>IF(AND($O128=$Q$7,$B128&lt;'111'!$L$11),"x","")</f>
        <v/>
      </c>
      <c r="T128" s="87" t="str">
        <f>IF(ISERROR(FIND('112'!$M$9,G128,1)),"",IF((AND(FIND('112'!$M$9,G128,1)&gt;=1,B128='112'!$K$9,OR($N128='112'!$I$6,$O128='112'!$I$6))),"x",""))</f>
        <v/>
      </c>
      <c r="U128" s="87" t="str">
        <f>IF(ISERROR(FIND('112'!$M$9,G128,1)),"",IF((AND(FIND('112'!$M$9,G128,1)&gt;=1,B128&lt;'112'!$K$9,$N128='112'!$I$6)),"x",""))</f>
        <v/>
      </c>
      <c r="V128" s="87" t="str">
        <f>IF(ISERROR(FIND('112'!$M$9,G128,1)),"",IF((AND(FIND('112'!$M$9,G128,1)&gt;=1,B128&lt;'112'!$K$9,$O128='112'!$I$6)),"x",""))</f>
        <v/>
      </c>
      <c r="W128" s="87" t="str">
        <f>IF(AND($B128&gt;='1331'!$I$9,$B128&lt;='1331'!$J$9,OR($N128=$W$7,$O128=$W$7)),"x","")</f>
        <v>x</v>
      </c>
      <c r="X128" s="87" t="str">
        <f>IF(AND($N128=$W$7,$B128&lt;'1331'!$I$9),"x","")</f>
        <v/>
      </c>
      <c r="Y128" s="87" t="str">
        <f>IF(AND($O128=$W$7,$B128&lt;'1331'!$I$9),"x","")</f>
        <v/>
      </c>
      <c r="Z128" s="87" t="str">
        <f>IF(AND('341-CT'!$H$9=H128,OR(LEFT(N128,3)=$Z$7,LEFT(O128,3)=$Z$7)),"x","")</f>
        <v/>
      </c>
      <c r="AA128" s="87" t="str">
        <f>IF(OR(TH!N128=TH!$AA$7,O128=TH!$AA$7),"x","")</f>
        <v/>
      </c>
      <c r="AB128" s="87" t="str">
        <f>IF(AND(OR(N128="131",O128="131"),H128='131-CT'!$H$9),"x","")</f>
        <v/>
      </c>
      <c r="AC128" s="87"/>
      <c r="AD128" s="87" t="str">
        <f>IF(AND(MONTH(E128)='IN-NX'!$J$5,'IN-NX'!$D$7=D128),"x","")</f>
        <v/>
      </c>
      <c r="AE128" s="87" t="str">
        <f>IF(AND(OR(LEFT(TH!N128,2)="15",LEFT(TH!O128,2)="15"),'152-CT'!$J$8=TH!F128),"x","")</f>
        <v/>
      </c>
      <c r="AF128" s="87" t="str">
        <f>IF(AND(OR(LEFT(TH!N128,2)="15",LEFT(TH!O128,2)="15"),'THE KHO'!$E$7=TH!F128),"x","")</f>
        <v/>
      </c>
      <c r="AG128" s="87" t="str">
        <f>IF(AND(N128="1521",MONTH(C128)='BK NL'!$M$11),"x","")</f>
        <v/>
      </c>
    </row>
    <row r="129" spans="1:33" s="404" customFormat="1" ht="15.75" customHeight="1">
      <c r="A129" s="399" t="str">
        <f>IF(B129&lt;&gt;"",IF(AND(B129&gt;=_TM1,B129&lt;=_TM2,OR(TH!N129="1111",TH!O129="1111")),TH!D129,""),"")</f>
        <v>C04</v>
      </c>
      <c r="B129" s="63">
        <f>IF(C129&lt;&gt;"",MONTH(C129),"")</f>
        <v>1</v>
      </c>
      <c r="C129" s="64">
        <v>42371</v>
      </c>
      <c r="D129" s="64" t="s">
        <v>951</v>
      </c>
      <c r="E129" s="64">
        <v>42367</v>
      </c>
      <c r="F129" s="67" t="s">
        <v>848</v>
      </c>
      <c r="G129" s="362" t="s">
        <v>885</v>
      </c>
      <c r="H129" s="75" t="s">
        <v>886</v>
      </c>
      <c r="I129" s="518"/>
      <c r="J129" s="518"/>
      <c r="K129" s="509"/>
      <c r="L129" s="518"/>
      <c r="M129" s="65">
        <v>12000000</v>
      </c>
      <c r="N129" s="66" t="s">
        <v>101</v>
      </c>
      <c r="O129" s="66" t="s">
        <v>63</v>
      </c>
      <c r="P129" s="87" t="str">
        <f>IF(AND('331-CT'!$E$7=TH!H129,OR(N129="331",O129="331")),"x","")</f>
        <v/>
      </c>
      <c r="Q129" s="87" t="str">
        <f>IF(AND(B129='111'!$L$11,OR($N129=$Q$7,$O129=$Q$7)),"x","")</f>
        <v>x</v>
      </c>
      <c r="R129" s="87" t="str">
        <f>IF(AND($N129=$Q$7,$B129&lt;'111'!$L$11),"x","")</f>
        <v/>
      </c>
      <c r="S129" s="87" t="str">
        <f>IF(AND($O129=$Q$7,$B129&lt;'111'!$L$11),"x","")</f>
        <v/>
      </c>
      <c r="T129" s="87" t="str">
        <f>IF(ISERROR(FIND('112'!$M$9,G129,1)),"",IF((AND(FIND('112'!$M$9,G129,1)&gt;=1,B129='112'!$K$9,OR($N129='112'!$I$6,$O129='112'!$I$6))),"x",""))</f>
        <v/>
      </c>
      <c r="U129" s="87" t="str">
        <f>IF(ISERROR(FIND('112'!$M$9,G129,1)),"",IF((AND(FIND('112'!$M$9,G129,1)&gt;=1,B129&lt;'112'!$K$9,$N129='112'!$I$6)),"x",""))</f>
        <v/>
      </c>
      <c r="V129" s="87" t="str">
        <f>IF(ISERROR(FIND('112'!$M$9,G129,1)),"",IF((AND(FIND('112'!$M$9,G129,1)&gt;=1,B129&lt;'112'!$K$9,$O129='112'!$I$6)),"x",""))</f>
        <v/>
      </c>
      <c r="W129" s="87" t="str">
        <f>IF(AND($B129&gt;='1331'!$I$9,$B129&lt;='1331'!$J$9,OR($N129=$W$7,$O129=$W$7)),"x","")</f>
        <v/>
      </c>
      <c r="X129" s="87" t="str">
        <f>IF(AND($N129=$W$7,$B129&lt;'1331'!$I$9),"x","")</f>
        <v/>
      </c>
      <c r="Y129" s="87" t="str">
        <f>IF(AND($O129=$W$7,$B129&lt;'1331'!$I$9),"x","")</f>
        <v/>
      </c>
      <c r="Z129" s="87" t="str">
        <f>IF(AND('341-CT'!$H$9=H129,OR(LEFT(N129,3)=$Z$7,LEFT(O129,3)=$Z$7)),"x","")</f>
        <v/>
      </c>
      <c r="AA129" s="87" t="str">
        <f>IF(OR(TH!N129=TH!$AA$7,O129=TH!$AA$7),"x","")</f>
        <v/>
      </c>
      <c r="AB129" s="87" t="str">
        <f>IF(AND(OR(N129="131",O129="131"),H129='131-CT'!$H$9),"x","")</f>
        <v/>
      </c>
      <c r="AC129" s="87"/>
      <c r="AD129" s="87" t="str">
        <f>IF(AND(MONTH(E129)='IN-NX'!$J$5,'IN-NX'!$D$7=D129),"x","")</f>
        <v/>
      </c>
      <c r="AE129" s="87" t="str">
        <f>IF(AND(OR(LEFT(TH!N129,2)="15",LEFT(TH!O129,2)="15"),'152-CT'!$J$8=TH!F129),"x","")</f>
        <v/>
      </c>
      <c r="AF129" s="87" t="str">
        <f>IF(AND(OR(LEFT(TH!N129,2)="15",LEFT(TH!O129,2)="15"),'THE KHO'!$E$7=TH!F129),"x","")</f>
        <v/>
      </c>
      <c r="AG129" s="87" t="str">
        <f>IF(AND(N129="1521",MONTH(C129)='BK NL'!$M$11),"x","")</f>
        <v/>
      </c>
    </row>
    <row r="130" spans="1:33" s="404" customFormat="1" ht="15.75" customHeight="1">
      <c r="A130" s="399" t="str">
        <f>IF(B130&lt;&gt;"",IF(AND(B130&gt;=_TM1,B130&lt;=_TM2,OR(TH!N130="1111",TH!O130="1111")),TH!D130,""),"")</f>
        <v>C04</v>
      </c>
      <c r="B130" s="63">
        <f>IF(C130&lt;&gt;"",MONTH(C130),"")</f>
        <v>1</v>
      </c>
      <c r="C130" s="64">
        <v>42371</v>
      </c>
      <c r="D130" s="64" t="s">
        <v>951</v>
      </c>
      <c r="E130" s="64">
        <v>42367</v>
      </c>
      <c r="F130" s="67" t="s">
        <v>849</v>
      </c>
      <c r="G130" s="362" t="s">
        <v>885</v>
      </c>
      <c r="H130" s="75" t="s">
        <v>886</v>
      </c>
      <c r="I130" s="518"/>
      <c r="J130" s="518"/>
      <c r="K130" s="509"/>
      <c r="L130" s="518"/>
      <c r="M130" s="65">
        <v>1200000</v>
      </c>
      <c r="N130" s="66" t="s">
        <v>9</v>
      </c>
      <c r="O130" s="66" t="s">
        <v>63</v>
      </c>
      <c r="P130" s="87" t="str">
        <f>IF(AND('331-CT'!$E$7=TH!H130,OR(N130="331",O130="331")),"x","")</f>
        <v/>
      </c>
      <c r="Q130" s="87" t="str">
        <f>IF(AND(B130='111'!$L$11,OR($N130=$Q$7,$O130=$Q$7)),"x","")</f>
        <v>x</v>
      </c>
      <c r="R130" s="87" t="str">
        <f>IF(AND($N130=$Q$7,$B130&lt;'111'!$L$11),"x","")</f>
        <v/>
      </c>
      <c r="S130" s="87" t="str">
        <f>IF(AND($O130=$Q$7,$B130&lt;'111'!$L$11),"x","")</f>
        <v/>
      </c>
      <c r="T130" s="87" t="str">
        <f>IF(ISERROR(FIND('112'!$M$9,G130,1)),"",IF((AND(FIND('112'!$M$9,G130,1)&gt;=1,B130='112'!$K$9,OR($N130='112'!$I$6,$O130='112'!$I$6))),"x",""))</f>
        <v/>
      </c>
      <c r="U130" s="87" t="str">
        <f>IF(ISERROR(FIND('112'!$M$9,G130,1)),"",IF((AND(FIND('112'!$M$9,G130,1)&gt;=1,B130&lt;'112'!$K$9,$N130='112'!$I$6)),"x",""))</f>
        <v/>
      </c>
      <c r="V130" s="87" t="str">
        <f>IF(ISERROR(FIND('112'!$M$9,G130,1)),"",IF((AND(FIND('112'!$M$9,G130,1)&gt;=1,B130&lt;'112'!$K$9,$O130='112'!$I$6)),"x",""))</f>
        <v/>
      </c>
      <c r="W130" s="87" t="str">
        <f>IF(AND($B130&gt;='1331'!$I$9,$B130&lt;='1331'!$J$9,OR($N130=$W$7,$O130=$W$7)),"x","")</f>
        <v>x</v>
      </c>
      <c r="X130" s="87" t="str">
        <f>IF(AND($N130=$W$7,$B130&lt;'1331'!$I$9),"x","")</f>
        <v/>
      </c>
      <c r="Y130" s="87" t="str">
        <f>IF(AND($O130=$W$7,$B130&lt;'1331'!$I$9),"x","")</f>
        <v/>
      </c>
      <c r="Z130" s="87" t="str">
        <f>IF(AND('341-CT'!$H$9=H130,OR(LEFT(N130,3)=$Z$7,LEFT(O130,3)=$Z$7)),"x","")</f>
        <v/>
      </c>
      <c r="AA130" s="87" t="str">
        <f>IF(OR(TH!N130=TH!$AA$7,O130=TH!$AA$7),"x","")</f>
        <v/>
      </c>
      <c r="AB130" s="87" t="str">
        <f>IF(AND(OR(N130="131",O130="131"),H130='131-CT'!$H$9),"x","")</f>
        <v/>
      </c>
      <c r="AC130" s="87"/>
      <c r="AD130" s="87" t="str">
        <f>IF(AND(MONTH(E130)='IN-NX'!$J$5,'IN-NX'!$D$7=D130),"x","")</f>
        <v/>
      </c>
      <c r="AE130" s="87" t="str">
        <f>IF(AND(OR(LEFT(TH!N130,2)="15",LEFT(TH!O130,2)="15"),'152-CT'!$J$8=TH!F130),"x","")</f>
        <v/>
      </c>
      <c r="AF130" s="87" t="str">
        <f>IF(AND(OR(LEFT(TH!N130,2)="15",LEFT(TH!O130,2)="15"),'THE KHO'!$E$7=TH!F130),"x","")</f>
        <v/>
      </c>
      <c r="AG130" s="87" t="str">
        <f>IF(AND(N130="1521",MONTH(C130)='BK NL'!$M$11),"x","")</f>
        <v/>
      </c>
    </row>
    <row r="131" spans="1:33" s="404" customFormat="1" ht="15.75" customHeight="1">
      <c r="A131" s="399" t="str">
        <f>IF(B131&lt;&gt;"",IF(AND(B131&gt;=_TM1,B131&lt;=_TM2,OR(TH!N131="1111",TH!O131="1111")),TH!D131,""),"")</f>
        <v>C05</v>
      </c>
      <c r="B131" s="63">
        <f>IF(C131&lt;&gt;"",MONTH(C131),"")</f>
        <v>1</v>
      </c>
      <c r="C131" s="64">
        <v>42371</v>
      </c>
      <c r="D131" s="64" t="s">
        <v>952</v>
      </c>
      <c r="E131" s="64">
        <v>42370</v>
      </c>
      <c r="F131" s="155" t="s">
        <v>850</v>
      </c>
      <c r="G131" s="1281" t="s">
        <v>887</v>
      </c>
      <c r="H131" s="75" t="s">
        <v>888</v>
      </c>
      <c r="I131" s="518"/>
      <c r="J131" s="518"/>
      <c r="K131" s="509"/>
      <c r="L131" s="518"/>
      <c r="M131" s="65">
        <v>620782</v>
      </c>
      <c r="N131" s="66" t="s">
        <v>101</v>
      </c>
      <c r="O131" s="66" t="s">
        <v>63</v>
      </c>
      <c r="P131" s="87" t="str">
        <f>IF(AND('331-CT'!$E$7=TH!H131,OR(N131="331",O131="331")),"x","")</f>
        <v/>
      </c>
      <c r="Q131" s="87" t="str">
        <f>IF(AND(B131='111'!$L$11,OR($N131=$Q$7,$O131=$Q$7)),"x","")</f>
        <v>x</v>
      </c>
      <c r="R131" s="87" t="str">
        <f>IF(AND($N131=$Q$7,$B131&lt;'111'!$L$11),"x","")</f>
        <v/>
      </c>
      <c r="S131" s="87" t="str">
        <f>IF(AND($O131=$Q$7,$B131&lt;'111'!$L$11),"x","")</f>
        <v/>
      </c>
      <c r="T131" s="87" t="str">
        <f>IF(ISERROR(FIND('112'!$M$9,G131,1)),"",IF((AND(FIND('112'!$M$9,G131,1)&gt;=1,B131='112'!$K$9,OR($N131='112'!$I$6,$O131='112'!$I$6))),"x",""))</f>
        <v/>
      </c>
      <c r="U131" s="87" t="str">
        <f>IF(ISERROR(FIND('112'!$M$9,G131,1)),"",IF((AND(FIND('112'!$M$9,G131,1)&gt;=1,B131&lt;'112'!$K$9,$N131='112'!$I$6)),"x",""))</f>
        <v/>
      </c>
      <c r="V131" s="87" t="str">
        <f>IF(ISERROR(FIND('112'!$M$9,G131,1)),"",IF((AND(FIND('112'!$M$9,G131,1)&gt;=1,B131&lt;'112'!$K$9,$O131='112'!$I$6)),"x",""))</f>
        <v/>
      </c>
      <c r="W131" s="87" t="str">
        <f>IF(AND($B131&gt;='1331'!$I$9,$B131&lt;='1331'!$J$9,OR($N131=$W$7,$O131=$W$7)),"x","")</f>
        <v/>
      </c>
      <c r="X131" s="87" t="str">
        <f>IF(AND($N131=$W$7,$B131&lt;'1331'!$I$9),"x","")</f>
        <v/>
      </c>
      <c r="Y131" s="87" t="str">
        <f>IF(AND($O131=$W$7,$B131&lt;'1331'!$I$9),"x","")</f>
        <v/>
      </c>
      <c r="Z131" s="87" t="str">
        <f>IF(AND('341-CT'!$H$9=H131,OR(LEFT(N131,3)=$Z$7,LEFT(O131,3)=$Z$7)),"x","")</f>
        <v/>
      </c>
      <c r="AA131" s="87" t="str">
        <f>IF(OR(TH!N131=TH!$AA$7,O131=TH!$AA$7),"x","")</f>
        <v/>
      </c>
      <c r="AB131" s="87" t="str">
        <f>IF(AND(OR(N131="131",O131="131"),H131='131-CT'!$H$9),"x","")</f>
        <v/>
      </c>
      <c r="AC131" s="87"/>
      <c r="AD131" s="87" t="str">
        <f>IF(AND(MONTH(E131)='IN-NX'!$J$5,'IN-NX'!$D$7=D131),"x","")</f>
        <v/>
      </c>
      <c r="AE131" s="87" t="str">
        <f>IF(AND(OR(LEFT(TH!N131,2)="15",LEFT(TH!O131,2)="15"),'152-CT'!$J$8=TH!F131),"x","")</f>
        <v/>
      </c>
      <c r="AF131" s="87" t="str">
        <f>IF(AND(OR(LEFT(TH!N131,2)="15",LEFT(TH!O131,2)="15"),'THE KHO'!$E$7=TH!F131),"x","")</f>
        <v/>
      </c>
      <c r="AG131" s="87" t="str">
        <f>IF(AND(N131="1521",MONTH(C131)='BK NL'!$M$11),"x","")</f>
        <v/>
      </c>
    </row>
    <row r="132" spans="1:33" s="404" customFormat="1" ht="15.75" customHeight="1">
      <c r="A132" s="399" t="str">
        <f>IF(B132&lt;&gt;"",IF(AND(B132&gt;=_TM1,B132&lt;=_TM2,OR(TH!N132="1111",TH!O132="1111")),TH!D132,""),"")</f>
        <v>C05</v>
      </c>
      <c r="B132" s="63">
        <f>IF(C132&lt;&gt;"",MONTH(C132),"")</f>
        <v>1</v>
      </c>
      <c r="C132" s="64">
        <v>42371</v>
      </c>
      <c r="D132" s="64" t="s">
        <v>952</v>
      </c>
      <c r="E132" s="64">
        <v>42370</v>
      </c>
      <c r="F132" s="67" t="s">
        <v>851</v>
      </c>
      <c r="G132" s="376" t="s">
        <v>887</v>
      </c>
      <c r="H132" s="75" t="s">
        <v>888</v>
      </c>
      <c r="I132" s="518"/>
      <c r="J132" s="518"/>
      <c r="K132" s="509"/>
      <c r="L132" s="518"/>
      <c r="M132" s="65">
        <v>62078</v>
      </c>
      <c r="N132" s="66" t="s">
        <v>9</v>
      </c>
      <c r="O132" s="66" t="s">
        <v>63</v>
      </c>
      <c r="P132" s="87" t="str">
        <f>IF(AND('331-CT'!$E$7=TH!H132,OR(N132="331",O132="331")),"x","")</f>
        <v/>
      </c>
      <c r="Q132" s="87" t="str">
        <f>IF(AND(B132='111'!$L$11,OR($N132=$Q$7,$O132=$Q$7)),"x","")</f>
        <v>x</v>
      </c>
      <c r="R132" s="87" t="str">
        <f>IF(AND($N132=$Q$7,$B132&lt;'111'!$L$11),"x","")</f>
        <v/>
      </c>
      <c r="S132" s="87" t="str">
        <f>IF(AND($O132=$Q$7,$B132&lt;'111'!$L$11),"x","")</f>
        <v/>
      </c>
      <c r="T132" s="87" t="str">
        <f>IF(ISERROR(FIND('112'!$M$9,G132,1)),"",IF((AND(FIND('112'!$M$9,G132,1)&gt;=1,B132='112'!$K$9,OR($N132='112'!$I$6,$O132='112'!$I$6))),"x",""))</f>
        <v/>
      </c>
      <c r="U132" s="87" t="str">
        <f>IF(ISERROR(FIND('112'!$M$9,G132,1)),"",IF((AND(FIND('112'!$M$9,G132,1)&gt;=1,B132&lt;'112'!$K$9,$N132='112'!$I$6)),"x",""))</f>
        <v/>
      </c>
      <c r="V132" s="87" t="str">
        <f>IF(ISERROR(FIND('112'!$M$9,G132,1)),"",IF((AND(FIND('112'!$M$9,G132,1)&gt;=1,B132&lt;'112'!$K$9,$O132='112'!$I$6)),"x",""))</f>
        <v/>
      </c>
      <c r="W132" s="87" t="str">
        <f>IF(AND($B132&gt;='1331'!$I$9,$B132&lt;='1331'!$J$9,OR($N132=$W$7,$O132=$W$7)),"x","")</f>
        <v>x</v>
      </c>
      <c r="X132" s="87" t="str">
        <f>IF(AND($N132=$W$7,$B132&lt;'1331'!$I$9),"x","")</f>
        <v/>
      </c>
      <c r="Y132" s="87" t="str">
        <f>IF(AND($O132=$W$7,$B132&lt;'1331'!$I$9),"x","")</f>
        <v/>
      </c>
      <c r="Z132" s="87" t="str">
        <f>IF(AND('341-CT'!$H$9=H132,OR(LEFT(N132,3)=$Z$7,LEFT(O132,3)=$Z$7)),"x","")</f>
        <v/>
      </c>
      <c r="AA132" s="87" t="str">
        <f>IF(OR(TH!N132=TH!$AA$7,O132=TH!$AA$7),"x","")</f>
        <v/>
      </c>
      <c r="AB132" s="87" t="str">
        <f>IF(AND(OR(N132="131",O132="131"),H132='131-CT'!$H$9),"x","")</f>
        <v/>
      </c>
      <c r="AC132" s="87"/>
      <c r="AD132" s="87" t="str">
        <f>IF(AND(MONTH(E132)='IN-NX'!$J$5,'IN-NX'!$D$7=D132),"x","")</f>
        <v/>
      </c>
      <c r="AE132" s="87" t="str">
        <f>IF(AND(OR(LEFT(TH!N132,2)="15",LEFT(TH!O132,2)="15"),'152-CT'!$J$8=TH!F132),"x","")</f>
        <v/>
      </c>
      <c r="AF132" s="87" t="str">
        <f>IF(AND(OR(LEFT(TH!N132,2)="15",LEFT(TH!O132,2)="15"),'THE KHO'!$E$7=TH!F132),"x","")</f>
        <v/>
      </c>
      <c r="AG132" s="87" t="str">
        <f>IF(AND(N132="1521",MONTH(C132)='BK NL'!$M$11),"x","")</f>
        <v/>
      </c>
    </row>
    <row r="133" spans="1:33" s="404" customFormat="1" ht="15.75" customHeight="1">
      <c r="A133" s="399" t="str">
        <f>IF(B133&lt;&gt;"",IF(AND(B133&gt;=_TM1,B133&lt;=_TM2,OR(TH!N133="1111",TH!O133="1111")),TH!D133,""),"")</f>
        <v>C06</v>
      </c>
      <c r="B133" s="63">
        <f>IF(C133&lt;&gt;"",MONTH(C133),"")</f>
        <v>1</v>
      </c>
      <c r="C133" s="64">
        <v>42371</v>
      </c>
      <c r="D133" s="64" t="s">
        <v>953</v>
      </c>
      <c r="E133" s="64">
        <v>42370</v>
      </c>
      <c r="F133" s="67" t="s">
        <v>852</v>
      </c>
      <c r="G133" s="376"/>
      <c r="H133" s="75" t="s">
        <v>685</v>
      </c>
      <c r="I133" s="518"/>
      <c r="J133" s="518"/>
      <c r="K133" s="509"/>
      <c r="L133" s="518"/>
      <c r="M133" s="65">
        <v>7500000</v>
      </c>
      <c r="N133" s="66" t="s">
        <v>8</v>
      </c>
      <c r="O133" s="66" t="s">
        <v>63</v>
      </c>
      <c r="P133" s="87" t="str">
        <f>IF(AND('331-CT'!$E$7=TH!H133,OR(N133="331",O133="331")),"x","")</f>
        <v/>
      </c>
      <c r="Q133" s="87" t="str">
        <f>IF(AND(B133='111'!$L$11,OR($N133=$Q$7,$O133=$Q$7)),"x","")</f>
        <v>x</v>
      </c>
      <c r="R133" s="87" t="str">
        <f>IF(AND($N133=$Q$7,$B133&lt;'111'!$L$11),"x","")</f>
        <v/>
      </c>
      <c r="S133" s="87" t="str">
        <f>IF(AND($O133=$Q$7,$B133&lt;'111'!$L$11),"x","")</f>
        <v/>
      </c>
      <c r="T133" s="87" t="str">
        <f>IF(ISERROR(FIND('112'!$M$9,G133,1)),"",IF((AND(FIND('112'!$M$9,G133,1)&gt;=1,B133='112'!$K$9,OR($N133='112'!$I$6,$O133='112'!$I$6))),"x",""))</f>
        <v/>
      </c>
      <c r="U133" s="87" t="str">
        <f>IF(ISERROR(FIND('112'!$M$9,G133,1)),"",IF((AND(FIND('112'!$M$9,G133,1)&gt;=1,B133&lt;'112'!$K$9,$N133='112'!$I$6)),"x",""))</f>
        <v/>
      </c>
      <c r="V133" s="87" t="str">
        <f>IF(ISERROR(FIND('112'!$M$9,G133,1)),"",IF((AND(FIND('112'!$M$9,G133,1)&gt;=1,B133&lt;'112'!$K$9,$O133='112'!$I$6)),"x",""))</f>
        <v/>
      </c>
      <c r="W133" s="87" t="str">
        <f>IF(AND($B133&gt;='1331'!$I$9,$B133&lt;='1331'!$J$9,OR($N133=$W$7,$O133=$W$7)),"x","")</f>
        <v/>
      </c>
      <c r="X133" s="87" t="str">
        <f>IF(AND($N133=$W$7,$B133&lt;'1331'!$I$9),"x","")</f>
        <v/>
      </c>
      <c r="Y133" s="87" t="str">
        <f>IF(AND($O133=$W$7,$B133&lt;'1331'!$I$9),"x","")</f>
        <v/>
      </c>
      <c r="Z133" s="87" t="str">
        <f>IF(AND('341-CT'!$H$9=H133,OR(LEFT(N133,3)=$Z$7,LEFT(O133,3)=$Z$7)),"x","")</f>
        <v/>
      </c>
      <c r="AA133" s="87" t="str">
        <f>IF(OR(TH!N133=TH!$AA$7,O133=TH!$AA$7),"x","")</f>
        <v/>
      </c>
      <c r="AB133" s="87" t="str">
        <f>IF(AND(OR(N133="131",O133="131"),H133='131-CT'!$H$9),"x","")</f>
        <v/>
      </c>
      <c r="AC133" s="87"/>
      <c r="AD133" s="87" t="str">
        <f>IF(AND(MONTH(E133)='IN-NX'!$J$5,'IN-NX'!$D$7=D133),"x","")</f>
        <v/>
      </c>
      <c r="AE133" s="87" t="str">
        <f>IF(AND(OR(LEFT(TH!N133,2)="15",LEFT(TH!O133,2)="15"),'152-CT'!$J$8=TH!F133),"x","")</f>
        <v/>
      </c>
      <c r="AF133" s="87" t="str">
        <f>IF(AND(OR(LEFT(TH!N133,2)="15",LEFT(TH!O133,2)="15"),'THE KHO'!$E$7=TH!F133),"x","")</f>
        <v/>
      </c>
      <c r="AG133" s="87" t="str">
        <f>IF(AND(N133="1521",MONTH(C133)='BK NL'!$M$11),"x","")</f>
        <v/>
      </c>
    </row>
    <row r="134" spans="1:33" s="404" customFormat="1" ht="15.75" customHeight="1">
      <c r="A134" s="399" t="str">
        <f>IF(B134&lt;&gt;"",IF(AND(B134&gt;=_TM1,B134&lt;=_TM2,OR(TH!N134="1111",TH!O134="1111")),TH!D134,""),"")</f>
        <v/>
      </c>
      <c r="B134" s="63">
        <f>IF(C134&lt;&gt;"",MONTH(C134),"")</f>
        <v>1</v>
      </c>
      <c r="C134" s="64">
        <v>42373</v>
      </c>
      <c r="D134" s="64" t="s">
        <v>773</v>
      </c>
      <c r="E134" s="64">
        <v>42373</v>
      </c>
      <c r="F134" s="67" t="s">
        <v>781</v>
      </c>
      <c r="G134" s="362" t="s">
        <v>998</v>
      </c>
      <c r="H134" s="75"/>
      <c r="I134" s="518"/>
      <c r="J134" s="518"/>
      <c r="K134" s="509">
        <v>97800</v>
      </c>
      <c r="L134" s="518">
        <v>22490</v>
      </c>
      <c r="M134" s="86">
        <f>ROUND(K134*L134,0)</f>
        <v>2199522000</v>
      </c>
      <c r="N134" s="66" t="s">
        <v>26</v>
      </c>
      <c r="O134" s="66" t="s">
        <v>282</v>
      </c>
      <c r="P134" s="87" t="str">
        <f>IF(AND('331-CT'!$E$7=TH!H134,OR(N134="331",O134="331")),"x","")</f>
        <v/>
      </c>
      <c r="Q134" s="87" t="str">
        <f>IF(AND(B134='111'!$L$11,OR($N134=$Q$7,$O134=$Q$7)),"x","")</f>
        <v/>
      </c>
      <c r="R134" s="87" t="str">
        <f>IF(AND($N134=$Q$7,$B134&lt;'111'!$L$11),"x","")</f>
        <v/>
      </c>
      <c r="S134" s="87" t="str">
        <f>IF(AND($O134=$Q$7,$B134&lt;'111'!$L$11),"x","")</f>
        <v/>
      </c>
      <c r="T134" s="87" t="str">
        <f>IF(ISERROR(FIND('112'!$M$9,G134,1)),"",IF((AND(FIND('112'!$M$9,G134,1)&gt;=1,B134='112'!$K$9,OR($N134='112'!$I$6,$O134='112'!$I$6))),"x",""))</f>
        <v/>
      </c>
      <c r="U134" s="87" t="str">
        <f>IF(ISERROR(FIND('112'!$M$9,G134,1)),"",IF((AND(FIND('112'!$M$9,G134,1)&gt;=1,B134&lt;'112'!$K$9,$N134='112'!$I$6)),"x",""))</f>
        <v/>
      </c>
      <c r="V134" s="87" t="str">
        <f>IF(ISERROR(FIND('112'!$M$9,G134,1)),"",IF((AND(FIND('112'!$M$9,G134,1)&gt;=1,B134&lt;'112'!$K$9,$O134='112'!$I$6)),"x",""))</f>
        <v/>
      </c>
      <c r="W134" s="87" t="str">
        <f>IF(AND($B134&gt;='1331'!$I$9,$B134&lt;='1331'!$J$9,OR($N134=$W$7,$O134=$W$7)),"x","")</f>
        <v/>
      </c>
      <c r="X134" s="87" t="str">
        <f>IF(AND($N134=$W$7,$B134&lt;'1331'!$I$9),"x","")</f>
        <v/>
      </c>
      <c r="Y134" s="87" t="str">
        <f>IF(AND($O134=$W$7,$B134&lt;'1331'!$I$9),"x","")</f>
        <v/>
      </c>
      <c r="Z134" s="87" t="str">
        <f>IF(AND('341-CT'!$H$9=H134,OR(LEFT(N134,3)=$Z$7,LEFT(O134,3)=$Z$7)),"x","")</f>
        <v/>
      </c>
      <c r="AA134" s="87" t="str">
        <f>IF(OR(TH!N134=TH!$AA$7,O134=TH!$AA$7),"x","")</f>
        <v/>
      </c>
      <c r="AB134" s="87" t="str">
        <f>IF(AND(OR(N134="131",O134="131"),H134='131-CT'!$H$9),"x","")</f>
        <v/>
      </c>
      <c r="AC134" s="87"/>
      <c r="AD134" s="87" t="str">
        <f>IF(AND(MONTH(E134)='IN-NX'!$J$5,'IN-NX'!$D$7=D134),"x","")</f>
        <v/>
      </c>
      <c r="AE134" s="87" t="str">
        <f>IF(AND(OR(LEFT(TH!N134,2)="15",LEFT(TH!O134,2)="15"),'152-CT'!$J$8=TH!F134),"x","")</f>
        <v/>
      </c>
      <c r="AF134" s="87" t="str">
        <f>IF(AND(OR(LEFT(TH!N134,2)="15",LEFT(TH!O134,2)="15"),'THE KHO'!$E$7=TH!F134),"x","")</f>
        <v/>
      </c>
      <c r="AG134" s="87" t="str">
        <f>IF(AND(N134="1521",MONTH(C134)='BK NL'!$M$11),"x","")</f>
        <v/>
      </c>
    </row>
    <row r="135" spans="1:33" s="404" customFormat="1" ht="15.75" customHeight="1">
      <c r="A135" s="399" t="str">
        <f>IF(B135&lt;&gt;"",IF(AND(B135&gt;=_TM1,B135&lt;=_TM2,OR(TH!N135="1111",TH!O135="1111")),TH!D135,""),"")</f>
        <v>T01</v>
      </c>
      <c r="B135" s="63">
        <f>IF(C135&lt;&gt;"",MONTH(C135),"")</f>
        <v>1</v>
      </c>
      <c r="C135" s="64">
        <v>42373</v>
      </c>
      <c r="D135" s="64" t="s">
        <v>954</v>
      </c>
      <c r="E135" s="64">
        <v>42373</v>
      </c>
      <c r="F135" s="67" t="s">
        <v>834</v>
      </c>
      <c r="G135" s="362" t="s">
        <v>998</v>
      </c>
      <c r="H135" s="76" t="s">
        <v>842</v>
      </c>
      <c r="I135" s="518"/>
      <c r="J135" s="518"/>
      <c r="K135" s="509"/>
      <c r="L135" s="518"/>
      <c r="M135" s="65">
        <v>2200000000</v>
      </c>
      <c r="N135" s="66" t="s">
        <v>63</v>
      </c>
      <c r="O135" s="66" t="s">
        <v>26</v>
      </c>
      <c r="P135" s="87" t="str">
        <f>IF(AND('331-CT'!$E$7=TH!H135,OR(N135="331",O135="331")),"x","")</f>
        <v/>
      </c>
      <c r="Q135" s="87" t="str">
        <f>IF(AND(B135='111'!$L$11,OR($N135=$Q$7,$O135=$Q$7)),"x","")</f>
        <v>x</v>
      </c>
      <c r="R135" s="87" t="str">
        <f>IF(AND($N135=$Q$7,$B135&lt;'111'!$L$11),"x","")</f>
        <v/>
      </c>
      <c r="S135" s="87" t="str">
        <f>IF(AND($O135=$Q$7,$B135&lt;'111'!$L$11),"x","")</f>
        <v/>
      </c>
      <c r="T135" s="87" t="str">
        <f>IF(ISERROR(FIND('112'!$M$9,G135,1)),"",IF((AND(FIND('112'!$M$9,G135,1)&gt;=1,B135='112'!$K$9,OR($N135='112'!$I$6,$O135='112'!$I$6))),"x",""))</f>
        <v/>
      </c>
      <c r="U135" s="87" t="str">
        <f>IF(ISERROR(FIND('112'!$M$9,G135,1)),"",IF((AND(FIND('112'!$M$9,G135,1)&gt;=1,B135&lt;'112'!$K$9,$N135='112'!$I$6)),"x",""))</f>
        <v/>
      </c>
      <c r="V135" s="87" t="str">
        <f>IF(ISERROR(FIND('112'!$M$9,G135,1)),"",IF((AND(FIND('112'!$M$9,G135,1)&gt;=1,B135&lt;'112'!$K$9,$O135='112'!$I$6)),"x",""))</f>
        <v/>
      </c>
      <c r="W135" s="87" t="str">
        <f>IF(AND($B135&gt;='1331'!$I$9,$B135&lt;='1331'!$J$9,OR($N135=$W$7,$O135=$W$7)),"x","")</f>
        <v/>
      </c>
      <c r="X135" s="87" t="str">
        <f>IF(AND($N135=$W$7,$B135&lt;'1331'!$I$9),"x","")</f>
        <v/>
      </c>
      <c r="Y135" s="87" t="str">
        <f>IF(AND($O135=$W$7,$B135&lt;'1331'!$I$9),"x","")</f>
        <v/>
      </c>
      <c r="Z135" s="87" t="str">
        <f>IF(AND('341-CT'!$H$9=H135,OR(LEFT(N135,3)=$Z$7,LEFT(O135,3)=$Z$7)),"x","")</f>
        <v/>
      </c>
      <c r="AA135" s="87" t="str">
        <f>IF(OR(TH!N135=TH!$AA$7,O135=TH!$AA$7),"x","")</f>
        <v/>
      </c>
      <c r="AB135" s="87" t="str">
        <f>IF(AND(OR(N135="131",O135="131"),H135='131-CT'!$H$9),"x","")</f>
        <v/>
      </c>
      <c r="AC135" s="87"/>
      <c r="AD135" s="87" t="str">
        <f>IF(AND(MONTH(E135)='IN-NX'!$J$5,'IN-NX'!$D$7=D135),"x","")</f>
        <v/>
      </c>
      <c r="AE135" s="87" t="str">
        <f>IF(AND(OR(LEFT(TH!N135,2)="15",LEFT(TH!O135,2)="15"),'152-CT'!$J$8=TH!F135),"x","")</f>
        <v/>
      </c>
      <c r="AF135" s="87" t="str">
        <f>IF(AND(OR(LEFT(TH!N135,2)="15",LEFT(TH!O135,2)="15"),'THE KHO'!$E$7=TH!F135),"x","")</f>
        <v/>
      </c>
      <c r="AG135" s="87" t="str">
        <f>IF(AND(N135="1521",MONTH(C135)='BK NL'!$M$11),"x","")</f>
        <v/>
      </c>
    </row>
    <row r="136" spans="1:33" s="404" customFormat="1" ht="15.75" customHeight="1">
      <c r="A136" s="399" t="str">
        <f>IF(B136&lt;&gt;"",IF(AND(B136&gt;=_TM1,B136&lt;=_TM2,OR(TH!N136="1111",TH!O136="1111")),TH!D136,""),"")</f>
        <v>C07</v>
      </c>
      <c r="B136" s="63">
        <f>IF(C136&lt;&gt;"",MONTH(C136),"")</f>
        <v>1</v>
      </c>
      <c r="C136" s="64">
        <v>42373</v>
      </c>
      <c r="D136" s="64" t="s">
        <v>955</v>
      </c>
      <c r="E136" s="64">
        <v>42373</v>
      </c>
      <c r="F136" s="67" t="s">
        <v>853</v>
      </c>
      <c r="G136" s="376" t="s">
        <v>889</v>
      </c>
      <c r="H136" s="75" t="s">
        <v>890</v>
      </c>
      <c r="I136" s="518"/>
      <c r="J136" s="518"/>
      <c r="K136" s="509"/>
      <c r="L136" s="518"/>
      <c r="M136" s="65">
        <v>16650000</v>
      </c>
      <c r="N136" s="66" t="s">
        <v>165</v>
      </c>
      <c r="O136" s="66" t="s">
        <v>63</v>
      </c>
      <c r="P136" s="87" t="str">
        <f>IF(AND('331-CT'!$E$7=TH!H136,OR(N136="331",O136="331")),"x","")</f>
        <v/>
      </c>
      <c r="Q136" s="87" t="str">
        <f>IF(AND(B136='111'!$L$11,OR($N136=$Q$7,$O136=$Q$7)),"x","")</f>
        <v>x</v>
      </c>
      <c r="R136" s="87" t="str">
        <f>IF(AND($N136=$Q$7,$B136&lt;'111'!$L$11),"x","")</f>
        <v/>
      </c>
      <c r="S136" s="87" t="str">
        <f>IF(AND($O136=$Q$7,$B136&lt;'111'!$L$11),"x","")</f>
        <v/>
      </c>
      <c r="T136" s="87" t="str">
        <f>IF(ISERROR(FIND('112'!$M$9,G136,1)),"",IF((AND(FIND('112'!$M$9,G136,1)&gt;=1,B136='112'!$K$9,OR($N136='112'!$I$6,$O136='112'!$I$6))),"x",""))</f>
        <v/>
      </c>
      <c r="U136" s="87" t="str">
        <f>IF(ISERROR(FIND('112'!$M$9,G136,1)),"",IF((AND(FIND('112'!$M$9,G136,1)&gt;=1,B136&lt;'112'!$K$9,$N136='112'!$I$6)),"x",""))</f>
        <v/>
      </c>
      <c r="V136" s="87" t="str">
        <f>IF(ISERROR(FIND('112'!$M$9,G136,1)),"",IF((AND(FIND('112'!$M$9,G136,1)&gt;=1,B136&lt;'112'!$K$9,$O136='112'!$I$6)),"x",""))</f>
        <v/>
      </c>
      <c r="W136" s="87" t="str">
        <f>IF(AND($B136&gt;='1331'!$I$9,$B136&lt;='1331'!$J$9,OR($N136=$W$7,$O136=$W$7)),"x","")</f>
        <v/>
      </c>
      <c r="X136" s="87" t="str">
        <f>IF(AND($N136=$W$7,$B136&lt;'1331'!$I$9),"x","")</f>
        <v/>
      </c>
      <c r="Y136" s="87" t="str">
        <f>IF(AND($O136=$W$7,$B136&lt;'1331'!$I$9),"x","")</f>
        <v/>
      </c>
      <c r="Z136" s="87" t="str">
        <f>IF(AND('341-CT'!$H$9=H136,OR(LEFT(N136,3)=$Z$7,LEFT(O136,3)=$Z$7)),"x","")</f>
        <v/>
      </c>
      <c r="AA136" s="87" t="str">
        <f>IF(OR(TH!N136=TH!$AA$7,O136=TH!$AA$7),"x","")</f>
        <v/>
      </c>
      <c r="AB136" s="87" t="str">
        <f>IF(AND(OR(N136="131",O136="131"),H136='131-CT'!$H$9),"x","")</f>
        <v/>
      </c>
      <c r="AC136" s="87"/>
      <c r="AD136" s="87" t="str">
        <f>IF(AND(MONTH(E136)='IN-NX'!$J$5,'IN-NX'!$D$7=D136),"x","")</f>
        <v/>
      </c>
      <c r="AE136" s="87" t="str">
        <f>IF(AND(OR(LEFT(TH!N136,2)="15",LEFT(TH!O136,2)="15"),'152-CT'!$J$8=TH!F136),"x","")</f>
        <v/>
      </c>
      <c r="AF136" s="87" t="str">
        <f>IF(AND(OR(LEFT(TH!N136,2)="15",LEFT(TH!O136,2)="15"),'THE KHO'!$E$7=TH!F136),"x","")</f>
        <v/>
      </c>
      <c r="AG136" s="87" t="str">
        <f>IF(AND(N136="1521",MONTH(C136)='BK NL'!$M$11),"x","")</f>
        <v/>
      </c>
    </row>
    <row r="137" spans="1:33" s="404" customFormat="1" ht="15.75" customHeight="1">
      <c r="A137" s="399" t="str">
        <f>IF(B137&lt;&gt;"",IF(AND(B137&gt;=_TM1,B137&lt;=_TM2,OR(TH!N137="1111",TH!O137="1111")),TH!D137,""),"")</f>
        <v>C07</v>
      </c>
      <c r="B137" s="63">
        <f>IF(C137&lt;&gt;"",MONTH(C137),"")</f>
        <v>1</v>
      </c>
      <c r="C137" s="64">
        <v>42373</v>
      </c>
      <c r="D137" s="64" t="s">
        <v>955</v>
      </c>
      <c r="E137" s="64">
        <v>42373</v>
      </c>
      <c r="F137" s="67" t="s">
        <v>854</v>
      </c>
      <c r="G137" s="379" t="s">
        <v>889</v>
      </c>
      <c r="H137" s="409" t="s">
        <v>890</v>
      </c>
      <c r="I137" s="522"/>
      <c r="J137" s="522"/>
      <c r="K137" s="513"/>
      <c r="L137" s="522"/>
      <c r="M137" s="65">
        <v>1665000</v>
      </c>
      <c r="N137" s="66" t="s">
        <v>9</v>
      </c>
      <c r="O137" s="66" t="s">
        <v>63</v>
      </c>
      <c r="P137" s="87" t="str">
        <f>IF(AND('331-CT'!$E$7=TH!H137,OR(N137="331",O137="331")),"x","")</f>
        <v/>
      </c>
      <c r="Q137" s="87" t="str">
        <f>IF(AND(B137='111'!$L$11,OR($N137=$Q$7,$O137=$Q$7)),"x","")</f>
        <v>x</v>
      </c>
      <c r="R137" s="87" t="str">
        <f>IF(AND($N137=$Q$7,$B137&lt;'111'!$L$11),"x","")</f>
        <v/>
      </c>
      <c r="S137" s="87" t="str">
        <f>IF(AND($O137=$Q$7,$B137&lt;'111'!$L$11),"x","")</f>
        <v/>
      </c>
      <c r="T137" s="87" t="str">
        <f>IF(ISERROR(FIND('112'!$M$9,G137,1)),"",IF((AND(FIND('112'!$M$9,G137,1)&gt;=1,B137='112'!$K$9,OR($N137='112'!$I$6,$O137='112'!$I$6))),"x",""))</f>
        <v/>
      </c>
      <c r="U137" s="87" t="str">
        <f>IF(ISERROR(FIND('112'!$M$9,G137,1)),"",IF((AND(FIND('112'!$M$9,G137,1)&gt;=1,B137&lt;'112'!$K$9,$N137='112'!$I$6)),"x",""))</f>
        <v/>
      </c>
      <c r="V137" s="87" t="str">
        <f>IF(ISERROR(FIND('112'!$M$9,G137,1)),"",IF((AND(FIND('112'!$M$9,G137,1)&gt;=1,B137&lt;'112'!$K$9,$O137='112'!$I$6)),"x",""))</f>
        <v/>
      </c>
      <c r="W137" s="87" t="str">
        <f>IF(AND($B137&gt;='1331'!$I$9,$B137&lt;='1331'!$J$9,OR($N137=$W$7,$O137=$W$7)),"x","")</f>
        <v>x</v>
      </c>
      <c r="X137" s="87" t="str">
        <f>IF(AND($N137=$W$7,$B137&lt;'1331'!$I$9),"x","")</f>
        <v/>
      </c>
      <c r="Y137" s="87" t="str">
        <f>IF(AND($O137=$W$7,$B137&lt;'1331'!$I$9),"x","")</f>
        <v/>
      </c>
      <c r="Z137" s="87" t="str">
        <f>IF(AND('341-CT'!$H$9=H137,OR(LEFT(N137,3)=$Z$7,LEFT(O137,3)=$Z$7)),"x","")</f>
        <v/>
      </c>
      <c r="AA137" s="87" t="str">
        <f>IF(OR(TH!N137=TH!$AA$7,O137=TH!$AA$7),"x","")</f>
        <v/>
      </c>
      <c r="AB137" s="87" t="str">
        <f>IF(AND(OR(N137="131",O137="131"),H137='131-CT'!$H$9),"x","")</f>
        <v/>
      </c>
      <c r="AC137" s="87"/>
      <c r="AD137" s="87" t="str">
        <f>IF(AND(MONTH(E137)='IN-NX'!$J$5,'IN-NX'!$D$7=D137),"x","")</f>
        <v/>
      </c>
      <c r="AE137" s="87" t="str">
        <f>IF(AND(OR(LEFT(TH!N137,2)="15",LEFT(TH!O137,2)="15"),'152-CT'!$J$8=TH!F137),"x","")</f>
        <v/>
      </c>
      <c r="AF137" s="87" t="str">
        <f>IF(AND(OR(LEFT(TH!N137,2)="15",LEFT(TH!O137,2)="15"),'THE KHO'!$E$7=TH!F137),"x","")</f>
        <v/>
      </c>
      <c r="AG137" s="87" t="str">
        <f>IF(AND(N137="1521",MONTH(C137)='BK NL'!$M$11),"x","")</f>
        <v/>
      </c>
    </row>
    <row r="138" spans="1:33" s="404" customFormat="1" ht="15.75" customHeight="1">
      <c r="A138" s="399" t="str">
        <f>IF(B138&lt;&gt;"",IF(AND(B138&gt;=_TM1,B138&lt;=_TM2,OR(TH!N138="1111",TH!O138="1111")),TH!D138,""),"")</f>
        <v>C08</v>
      </c>
      <c r="B138" s="63">
        <f>IF(C138&lt;&gt;"",MONTH(C138),"")</f>
        <v>1</v>
      </c>
      <c r="C138" s="64">
        <v>42373</v>
      </c>
      <c r="D138" s="64" t="s">
        <v>956</v>
      </c>
      <c r="E138" s="64">
        <v>42336</v>
      </c>
      <c r="F138" s="67" t="s">
        <v>848</v>
      </c>
      <c r="G138" s="379" t="s">
        <v>891</v>
      </c>
      <c r="H138" s="409" t="s">
        <v>886</v>
      </c>
      <c r="I138" s="522"/>
      <c r="J138" s="522"/>
      <c r="K138" s="513"/>
      <c r="L138" s="522"/>
      <c r="M138" s="65">
        <v>12000000</v>
      </c>
      <c r="N138" s="66" t="s">
        <v>101</v>
      </c>
      <c r="O138" s="66" t="s">
        <v>63</v>
      </c>
      <c r="P138" s="87" t="str">
        <f>IF(AND('331-CT'!$E$7=TH!H138,OR(N138="331",O138="331")),"x","")</f>
        <v/>
      </c>
      <c r="Q138" s="87" t="str">
        <f>IF(AND(B138='111'!$L$11,OR($N138=$Q$7,$O138=$Q$7)),"x","")</f>
        <v>x</v>
      </c>
      <c r="R138" s="87" t="str">
        <f>IF(AND($N138=$Q$7,$B138&lt;'111'!$L$11),"x","")</f>
        <v/>
      </c>
      <c r="S138" s="87" t="str">
        <f>IF(AND($O138=$Q$7,$B138&lt;'111'!$L$11),"x","")</f>
        <v/>
      </c>
      <c r="T138" s="87" t="str">
        <f>IF(ISERROR(FIND('112'!$M$9,G138,1)),"",IF((AND(FIND('112'!$M$9,G138,1)&gt;=1,B138='112'!$K$9,OR($N138='112'!$I$6,$O138='112'!$I$6))),"x",""))</f>
        <v/>
      </c>
      <c r="U138" s="87" t="str">
        <f>IF(ISERROR(FIND('112'!$M$9,G138,1)),"",IF((AND(FIND('112'!$M$9,G138,1)&gt;=1,B138&lt;'112'!$K$9,$N138='112'!$I$6)),"x",""))</f>
        <v/>
      </c>
      <c r="V138" s="87" t="str">
        <f>IF(ISERROR(FIND('112'!$M$9,G138,1)),"",IF((AND(FIND('112'!$M$9,G138,1)&gt;=1,B138&lt;'112'!$K$9,$O138='112'!$I$6)),"x",""))</f>
        <v/>
      </c>
      <c r="W138" s="87" t="str">
        <f>IF(AND($B138&gt;='1331'!$I$9,$B138&lt;='1331'!$J$9,OR($N138=$W$7,$O138=$W$7)),"x","")</f>
        <v/>
      </c>
      <c r="X138" s="87" t="str">
        <f>IF(AND($N138=$W$7,$B138&lt;'1331'!$I$9),"x","")</f>
        <v/>
      </c>
      <c r="Y138" s="87" t="str">
        <f>IF(AND($O138=$W$7,$B138&lt;'1331'!$I$9),"x","")</f>
        <v/>
      </c>
      <c r="Z138" s="87" t="str">
        <f>IF(AND('341-CT'!$H$9=H138,OR(LEFT(N138,3)=$Z$7,LEFT(O138,3)=$Z$7)),"x","")</f>
        <v/>
      </c>
      <c r="AA138" s="87" t="str">
        <f>IF(OR(TH!N138=TH!$AA$7,O138=TH!$AA$7),"x","")</f>
        <v/>
      </c>
      <c r="AB138" s="87" t="str">
        <f>IF(AND(OR(N138="131",O138="131"),H138='131-CT'!$H$9),"x","")</f>
        <v/>
      </c>
      <c r="AC138" s="87"/>
      <c r="AD138" s="87" t="str">
        <f>IF(AND(MONTH(E138)='IN-NX'!$J$5,'IN-NX'!$D$7=D138),"x","")</f>
        <v/>
      </c>
      <c r="AE138" s="87" t="str">
        <f>IF(AND(OR(LEFT(TH!N138,2)="15",LEFT(TH!O138,2)="15"),'152-CT'!$J$8=TH!F138),"x","")</f>
        <v/>
      </c>
      <c r="AF138" s="87" t="str">
        <f>IF(AND(OR(LEFT(TH!N138,2)="15",LEFT(TH!O138,2)="15"),'THE KHO'!$E$7=TH!F138),"x","")</f>
        <v/>
      </c>
      <c r="AG138" s="87" t="str">
        <f>IF(AND(N138="1521",MONTH(C138)='BK NL'!$M$11),"x","")</f>
        <v/>
      </c>
    </row>
    <row r="139" spans="1:33" s="404" customFormat="1" ht="15.75" customHeight="1">
      <c r="A139" s="399" t="str">
        <f>IF(B139&lt;&gt;"",IF(AND(B139&gt;=_TM1,B139&lt;=_TM2,OR(TH!N139="1111",TH!O139="1111")),TH!D139,""),"")</f>
        <v>C08</v>
      </c>
      <c r="B139" s="63">
        <f>IF(C139&lt;&gt;"",MONTH(C139),"")</f>
        <v>1</v>
      </c>
      <c r="C139" s="64">
        <v>42373</v>
      </c>
      <c r="D139" s="64" t="s">
        <v>956</v>
      </c>
      <c r="E139" s="64">
        <v>42336</v>
      </c>
      <c r="F139" s="70" t="s">
        <v>849</v>
      </c>
      <c r="G139" s="362" t="s">
        <v>891</v>
      </c>
      <c r="H139" s="75" t="s">
        <v>886</v>
      </c>
      <c r="I139" s="518"/>
      <c r="J139" s="518"/>
      <c r="K139" s="509"/>
      <c r="L139" s="518"/>
      <c r="M139" s="65">
        <v>1200000</v>
      </c>
      <c r="N139" s="66" t="s">
        <v>9</v>
      </c>
      <c r="O139" s="66" t="s">
        <v>63</v>
      </c>
      <c r="P139" s="87" t="str">
        <f>IF(AND('331-CT'!$E$7=TH!H139,OR(N139="331",O139="331")),"x","")</f>
        <v/>
      </c>
      <c r="Q139" s="87" t="str">
        <f>IF(AND(B139='111'!$L$11,OR($N139=$Q$7,$O139=$Q$7)),"x","")</f>
        <v>x</v>
      </c>
      <c r="R139" s="87" t="str">
        <f>IF(AND($N139=$Q$7,$B139&lt;'111'!$L$11),"x","")</f>
        <v/>
      </c>
      <c r="S139" s="87" t="str">
        <f>IF(AND($O139=$Q$7,$B139&lt;'111'!$L$11),"x","")</f>
        <v/>
      </c>
      <c r="T139" s="87" t="str">
        <f>IF(ISERROR(FIND('112'!$M$9,G139,1)),"",IF((AND(FIND('112'!$M$9,G139,1)&gt;=1,B139='112'!$K$9,OR($N139='112'!$I$6,$O139='112'!$I$6))),"x",""))</f>
        <v/>
      </c>
      <c r="U139" s="87" t="str">
        <f>IF(ISERROR(FIND('112'!$M$9,G139,1)),"",IF((AND(FIND('112'!$M$9,G139,1)&gt;=1,B139&lt;'112'!$K$9,$N139='112'!$I$6)),"x",""))</f>
        <v/>
      </c>
      <c r="V139" s="87" t="str">
        <f>IF(ISERROR(FIND('112'!$M$9,G139,1)),"",IF((AND(FIND('112'!$M$9,G139,1)&gt;=1,B139&lt;'112'!$K$9,$O139='112'!$I$6)),"x",""))</f>
        <v/>
      </c>
      <c r="W139" s="87" t="str">
        <f>IF(AND($B139&gt;='1331'!$I$9,$B139&lt;='1331'!$J$9,OR($N139=$W$7,$O139=$W$7)),"x","")</f>
        <v>x</v>
      </c>
      <c r="X139" s="87" t="str">
        <f>IF(AND($N139=$W$7,$B139&lt;'1331'!$I$9),"x","")</f>
        <v/>
      </c>
      <c r="Y139" s="87" t="str">
        <f>IF(AND($O139=$W$7,$B139&lt;'1331'!$I$9),"x","")</f>
        <v/>
      </c>
      <c r="Z139" s="87" t="str">
        <f>IF(AND('341-CT'!$H$9=H139,OR(LEFT(N139,3)=$Z$7,LEFT(O139,3)=$Z$7)),"x","")</f>
        <v/>
      </c>
      <c r="AA139" s="87" t="str">
        <f>IF(OR(TH!N139=TH!$AA$7,O139=TH!$AA$7),"x","")</f>
        <v/>
      </c>
      <c r="AB139" s="87" t="str">
        <f>IF(AND(OR(N139="131",O139="131"),H139='131-CT'!$H$9),"x","")</f>
        <v/>
      </c>
      <c r="AC139" s="87"/>
      <c r="AD139" s="87" t="str">
        <f>IF(AND(MONTH(E139)='IN-NX'!$J$5,'IN-NX'!$D$7=D139),"x","")</f>
        <v/>
      </c>
      <c r="AE139" s="87" t="str">
        <f>IF(AND(OR(LEFT(TH!N139,2)="15",LEFT(TH!O139,2)="15"),'152-CT'!$J$8=TH!F139),"x","")</f>
        <v/>
      </c>
      <c r="AF139" s="87" t="str">
        <f>IF(AND(OR(LEFT(TH!N139,2)="15",LEFT(TH!O139,2)="15"),'THE KHO'!$E$7=TH!F139),"x","")</f>
        <v/>
      </c>
      <c r="AG139" s="87" t="str">
        <f>IF(AND(N139="1521",MONTH(C139)='BK NL'!$M$11),"x","")</f>
        <v/>
      </c>
    </row>
    <row r="140" spans="1:33" s="404" customFormat="1" ht="15.75" customHeight="1">
      <c r="A140" s="399" t="str">
        <f>IF(B140&lt;&gt;"",IF(AND(B140&gt;=_TM1,B140&lt;=_TM2,OR(TH!N140="1111",TH!O140="1111")),TH!D140,""),"")</f>
        <v>C09</v>
      </c>
      <c r="B140" s="82">
        <f>IF(C140&lt;&gt;"",MONTH(C140),"")</f>
        <v>1</v>
      </c>
      <c r="C140" s="83">
        <v>42373</v>
      </c>
      <c r="D140" s="64" t="s">
        <v>957</v>
      </c>
      <c r="E140" s="83">
        <v>42373</v>
      </c>
      <c r="F140" s="84" t="s">
        <v>855</v>
      </c>
      <c r="G140" s="378" t="s">
        <v>892</v>
      </c>
      <c r="H140" s="85" t="s">
        <v>888</v>
      </c>
      <c r="I140" s="516"/>
      <c r="J140" s="516"/>
      <c r="K140" s="507"/>
      <c r="L140" s="516"/>
      <c r="M140" s="86">
        <v>684000</v>
      </c>
      <c r="N140" s="87" t="s">
        <v>101</v>
      </c>
      <c r="O140" s="66" t="s">
        <v>63</v>
      </c>
      <c r="P140" s="87" t="str">
        <f>IF(AND('331-CT'!$E$7=TH!H140,OR(N140="331",O140="331")),"x","")</f>
        <v/>
      </c>
      <c r="Q140" s="87" t="str">
        <f>IF(AND(B140='111'!$L$11,OR($N140=$Q$7,$O140=$Q$7)),"x","")</f>
        <v>x</v>
      </c>
      <c r="R140" s="87" t="str">
        <f>IF(AND($N140=$Q$7,$B140&lt;'111'!$L$11),"x","")</f>
        <v/>
      </c>
      <c r="S140" s="87" t="str">
        <f>IF(AND($O140=$Q$7,$B140&lt;'111'!$L$11),"x","")</f>
        <v/>
      </c>
      <c r="T140" s="87" t="str">
        <f>IF(ISERROR(FIND('112'!$M$9,G140,1)),"",IF((AND(FIND('112'!$M$9,G140,1)&gt;=1,B140='112'!$K$9,OR($N140='112'!$I$6,$O140='112'!$I$6))),"x",""))</f>
        <v/>
      </c>
      <c r="U140" s="87" t="str">
        <f>IF(ISERROR(FIND('112'!$M$9,G140,1)),"",IF((AND(FIND('112'!$M$9,G140,1)&gt;=1,B140&lt;'112'!$K$9,$N140='112'!$I$6)),"x",""))</f>
        <v/>
      </c>
      <c r="V140" s="87" t="str">
        <f>IF(ISERROR(FIND('112'!$M$9,G140,1)),"",IF((AND(FIND('112'!$M$9,G140,1)&gt;=1,B140&lt;'112'!$K$9,$O140='112'!$I$6)),"x",""))</f>
        <v/>
      </c>
      <c r="W140" s="87" t="str">
        <f>IF(AND($B140&gt;='1331'!$I$9,$B140&lt;='1331'!$J$9,OR($N140=$W$7,$O140=$W$7)),"x","")</f>
        <v/>
      </c>
      <c r="X140" s="87" t="str">
        <f>IF(AND($N140=$W$7,$B140&lt;'1331'!$I$9),"x","")</f>
        <v/>
      </c>
      <c r="Y140" s="87" t="str">
        <f>IF(AND($O140=$W$7,$B140&lt;'1331'!$I$9),"x","")</f>
        <v/>
      </c>
      <c r="Z140" s="87" t="str">
        <f>IF(AND('341-CT'!$H$9=H140,OR(LEFT(N140,3)=$Z$7,LEFT(O140,3)=$Z$7)),"x","")</f>
        <v/>
      </c>
      <c r="AA140" s="87" t="str">
        <f>IF(OR(TH!N140=TH!$AA$7,O140=TH!$AA$7),"x","")</f>
        <v/>
      </c>
      <c r="AB140" s="87" t="str">
        <f>IF(AND(OR(N140="131",O140="131"),H140='131-CT'!$H$9),"x","")</f>
        <v/>
      </c>
      <c r="AC140" s="87"/>
      <c r="AD140" s="87" t="str">
        <f>IF(AND(MONTH(E140)='IN-NX'!$J$5,'IN-NX'!$D$7=D140),"x","")</f>
        <v/>
      </c>
      <c r="AE140" s="87" t="str">
        <f>IF(AND(OR(LEFT(TH!N140,2)="15",LEFT(TH!O140,2)="15"),'152-CT'!$J$8=TH!F140),"x","")</f>
        <v/>
      </c>
      <c r="AF140" s="87" t="str">
        <f>IF(AND(OR(LEFT(TH!N140,2)="15",LEFT(TH!O140,2)="15"),'THE KHO'!$E$7=TH!F140),"x","")</f>
        <v/>
      </c>
      <c r="AG140" s="87" t="str">
        <f>IF(AND(N140="1521",MONTH(C140)='BK NL'!$M$11),"x","")</f>
        <v/>
      </c>
    </row>
    <row r="141" spans="1:33" s="404" customFormat="1" ht="15.75" customHeight="1">
      <c r="A141" s="399" t="str">
        <f>IF(B141&lt;&gt;"",IF(AND(B141&gt;=_TM1,B141&lt;=_TM2,OR(TH!N141="1111",TH!O141="1111")),TH!D141,""),"")</f>
        <v>C09</v>
      </c>
      <c r="B141" s="63">
        <f>IF(C141&lt;&gt;"",MONTH(C141),"")</f>
        <v>1</v>
      </c>
      <c r="C141" s="64">
        <v>42373</v>
      </c>
      <c r="D141" s="64" t="s">
        <v>957</v>
      </c>
      <c r="E141" s="64">
        <v>42373</v>
      </c>
      <c r="F141" s="67" t="s">
        <v>856</v>
      </c>
      <c r="G141" s="376" t="s">
        <v>892</v>
      </c>
      <c r="H141" s="85" t="s">
        <v>888</v>
      </c>
      <c r="I141" s="516"/>
      <c r="J141" s="516"/>
      <c r="K141" s="507"/>
      <c r="L141" s="516"/>
      <c r="M141" s="65">
        <v>68400</v>
      </c>
      <c r="N141" s="66" t="s">
        <v>9</v>
      </c>
      <c r="O141" s="66" t="s">
        <v>63</v>
      </c>
      <c r="P141" s="87" t="str">
        <f>IF(AND('331-CT'!$E$7=TH!H141,OR(N141="331",O141="331")),"x","")</f>
        <v/>
      </c>
      <c r="Q141" s="87" t="str">
        <f>IF(AND(B141='111'!$L$11,OR($N141=$Q$7,$O141=$Q$7)),"x","")</f>
        <v>x</v>
      </c>
      <c r="R141" s="87" t="str">
        <f>IF(AND($N141=$Q$7,$B141&lt;'111'!$L$11),"x","")</f>
        <v/>
      </c>
      <c r="S141" s="87" t="str">
        <f>IF(AND($O141=$Q$7,$B141&lt;'111'!$L$11),"x","")</f>
        <v/>
      </c>
      <c r="T141" s="87" t="str">
        <f>IF(ISERROR(FIND('112'!$M$9,G141,1)),"",IF((AND(FIND('112'!$M$9,G141,1)&gt;=1,B141='112'!$K$9,OR($N141='112'!$I$6,$O141='112'!$I$6))),"x",""))</f>
        <v/>
      </c>
      <c r="U141" s="87" t="str">
        <f>IF(ISERROR(FIND('112'!$M$9,G141,1)),"",IF((AND(FIND('112'!$M$9,G141,1)&gt;=1,B141&lt;'112'!$K$9,$N141='112'!$I$6)),"x",""))</f>
        <v/>
      </c>
      <c r="V141" s="87" t="str">
        <f>IF(ISERROR(FIND('112'!$M$9,G141,1)),"",IF((AND(FIND('112'!$M$9,G141,1)&gt;=1,B141&lt;'112'!$K$9,$O141='112'!$I$6)),"x",""))</f>
        <v/>
      </c>
      <c r="W141" s="87" t="str">
        <f>IF(AND($B141&gt;='1331'!$I$9,$B141&lt;='1331'!$J$9,OR($N141=$W$7,$O141=$W$7)),"x","")</f>
        <v>x</v>
      </c>
      <c r="X141" s="87" t="str">
        <f>IF(AND($N141=$W$7,$B141&lt;'1331'!$I$9),"x","")</f>
        <v/>
      </c>
      <c r="Y141" s="87" t="str">
        <f>IF(AND($O141=$W$7,$B141&lt;'1331'!$I$9),"x","")</f>
        <v/>
      </c>
      <c r="Z141" s="87" t="str">
        <f>IF(AND('341-CT'!$H$9=H141,OR(LEFT(N141,3)=$Z$7,LEFT(O141,3)=$Z$7)),"x","")</f>
        <v/>
      </c>
      <c r="AA141" s="87" t="str">
        <f>IF(OR(TH!N141=TH!$AA$7,O141=TH!$AA$7),"x","")</f>
        <v/>
      </c>
      <c r="AB141" s="87" t="str">
        <f>IF(AND(OR(N141="131",O141="131"),H141='131-CT'!$H$9),"x","")</f>
        <v/>
      </c>
      <c r="AC141" s="87"/>
      <c r="AD141" s="87" t="str">
        <f>IF(AND(MONTH(E141)='IN-NX'!$J$5,'IN-NX'!$D$7=D141),"x","")</f>
        <v/>
      </c>
      <c r="AE141" s="87" t="str">
        <f>IF(AND(OR(LEFT(TH!N141,2)="15",LEFT(TH!O141,2)="15"),'152-CT'!$J$8=TH!F141),"x","")</f>
        <v/>
      </c>
      <c r="AF141" s="87" t="str">
        <f>IF(AND(OR(LEFT(TH!N141,2)="15",LEFT(TH!O141,2)="15"),'THE KHO'!$E$7=TH!F141),"x","")</f>
        <v/>
      </c>
      <c r="AG141" s="87" t="str">
        <f>IF(AND(N141="1521",MONTH(C141)='BK NL'!$M$11),"x","")</f>
        <v/>
      </c>
    </row>
    <row r="142" spans="1:33" s="404" customFormat="1" ht="15.75" customHeight="1">
      <c r="A142" s="399" t="str">
        <f>IF(B142&lt;&gt;"",IF(AND(B142&gt;=_TM1,B142&lt;=_TM2,OR(TH!N142="1111",TH!O142="1111")),TH!D142,""),"")</f>
        <v>C10</v>
      </c>
      <c r="B142" s="63">
        <f>IF(C142&lt;&gt;"",MONTH(C142),"")</f>
        <v>1</v>
      </c>
      <c r="C142" s="64">
        <v>42373</v>
      </c>
      <c r="D142" s="64" t="s">
        <v>958</v>
      </c>
      <c r="E142" s="64">
        <v>42373</v>
      </c>
      <c r="F142" s="67" t="s">
        <v>855</v>
      </c>
      <c r="G142" s="376" t="s">
        <v>893</v>
      </c>
      <c r="H142" s="75" t="s">
        <v>894</v>
      </c>
      <c r="I142" s="518"/>
      <c r="J142" s="518"/>
      <c r="K142" s="509"/>
      <c r="L142" s="518"/>
      <c r="M142" s="65">
        <v>29818</v>
      </c>
      <c r="N142" s="66" t="s">
        <v>101</v>
      </c>
      <c r="O142" s="66" t="s">
        <v>63</v>
      </c>
      <c r="P142" s="87" t="str">
        <f>IF(AND('331-CT'!$E$7=TH!H142,OR(N142="331",O142="331")),"x","")</f>
        <v/>
      </c>
      <c r="Q142" s="87" t="str">
        <f>IF(AND(B142='111'!$L$11,OR($N142=$Q$7,$O142=$Q$7)),"x","")</f>
        <v>x</v>
      </c>
      <c r="R142" s="87" t="str">
        <f>IF(AND($N142=$Q$7,$B142&lt;'111'!$L$11),"x","")</f>
        <v/>
      </c>
      <c r="S142" s="87" t="str">
        <f>IF(AND($O142=$Q$7,$B142&lt;'111'!$L$11),"x","")</f>
        <v/>
      </c>
      <c r="T142" s="87" t="str">
        <f>IF(ISERROR(FIND('112'!$M$9,G142,1)),"",IF((AND(FIND('112'!$M$9,G142,1)&gt;=1,B142='112'!$K$9,OR($N142='112'!$I$6,$O142='112'!$I$6))),"x",""))</f>
        <v/>
      </c>
      <c r="U142" s="87" t="str">
        <f>IF(ISERROR(FIND('112'!$M$9,G142,1)),"",IF((AND(FIND('112'!$M$9,G142,1)&gt;=1,B142&lt;'112'!$K$9,$N142='112'!$I$6)),"x",""))</f>
        <v/>
      </c>
      <c r="V142" s="87" t="str">
        <f>IF(ISERROR(FIND('112'!$M$9,G142,1)),"",IF((AND(FIND('112'!$M$9,G142,1)&gt;=1,B142&lt;'112'!$K$9,$O142='112'!$I$6)),"x",""))</f>
        <v/>
      </c>
      <c r="W142" s="87" t="str">
        <f>IF(AND($B142&gt;='1331'!$I$9,$B142&lt;='1331'!$J$9,OR($N142=$W$7,$O142=$W$7)),"x","")</f>
        <v/>
      </c>
      <c r="X142" s="87" t="str">
        <f>IF(AND($N142=$W$7,$B142&lt;'1331'!$I$9),"x","")</f>
        <v/>
      </c>
      <c r="Y142" s="87" t="str">
        <f>IF(AND($O142=$W$7,$B142&lt;'1331'!$I$9),"x","")</f>
        <v/>
      </c>
      <c r="Z142" s="87" t="str">
        <f>IF(AND('341-CT'!$H$9=H142,OR(LEFT(N142,3)=$Z$7,LEFT(O142,3)=$Z$7)),"x","")</f>
        <v/>
      </c>
      <c r="AA142" s="87" t="str">
        <f>IF(OR(TH!N142=TH!$AA$7,O142=TH!$AA$7),"x","")</f>
        <v/>
      </c>
      <c r="AB142" s="87" t="str">
        <f>IF(AND(OR(N142="131",O142="131"),H142='131-CT'!$H$9),"x","")</f>
        <v/>
      </c>
      <c r="AC142" s="87"/>
      <c r="AD142" s="87" t="str">
        <f>IF(AND(MONTH(E142)='IN-NX'!$J$5,'IN-NX'!$D$7=D142),"x","")</f>
        <v/>
      </c>
      <c r="AE142" s="87" t="str">
        <f>IF(AND(OR(LEFT(TH!N142,2)="15",LEFT(TH!O142,2)="15"),'152-CT'!$J$8=TH!F142),"x","")</f>
        <v/>
      </c>
      <c r="AF142" s="87" t="str">
        <f>IF(AND(OR(LEFT(TH!N142,2)="15",LEFT(TH!O142,2)="15"),'THE KHO'!$E$7=TH!F142),"x","")</f>
        <v/>
      </c>
      <c r="AG142" s="87" t="str">
        <f>IF(AND(N142="1521",MONTH(C142)='BK NL'!$M$11),"x","")</f>
        <v/>
      </c>
    </row>
    <row r="143" spans="1:33" s="404" customFormat="1" ht="15.75" customHeight="1">
      <c r="A143" s="399" t="str">
        <f>IF(B143&lt;&gt;"",IF(AND(B143&gt;=_TM1,B143&lt;=_TM2,OR(TH!N143="1111",TH!O143="1111")),TH!D143,""),"")</f>
        <v>C10</v>
      </c>
      <c r="B143" s="63">
        <f>IF(C143&lt;&gt;"",MONTH(C143),"")</f>
        <v>1</v>
      </c>
      <c r="C143" s="64">
        <v>42373</v>
      </c>
      <c r="D143" s="64" t="s">
        <v>958</v>
      </c>
      <c r="E143" s="64">
        <v>42373</v>
      </c>
      <c r="F143" s="67" t="s">
        <v>856</v>
      </c>
      <c r="G143" s="376" t="s">
        <v>893</v>
      </c>
      <c r="H143" s="75" t="s">
        <v>894</v>
      </c>
      <c r="I143" s="518"/>
      <c r="J143" s="518"/>
      <c r="K143" s="509"/>
      <c r="L143" s="518"/>
      <c r="M143" s="65">
        <v>2982</v>
      </c>
      <c r="N143" s="66" t="s">
        <v>9</v>
      </c>
      <c r="O143" s="66" t="s">
        <v>63</v>
      </c>
      <c r="P143" s="87" t="str">
        <f>IF(AND('331-CT'!$E$7=TH!H143,OR(N143="331",O143="331")),"x","")</f>
        <v/>
      </c>
      <c r="Q143" s="87" t="str">
        <f>IF(AND(B143='111'!$L$11,OR($N143=$Q$7,$O143=$Q$7)),"x","")</f>
        <v>x</v>
      </c>
      <c r="R143" s="87" t="str">
        <f>IF(AND($N143=$Q$7,$B143&lt;'111'!$L$11),"x","")</f>
        <v/>
      </c>
      <c r="S143" s="87" t="str">
        <f>IF(AND($O143=$Q$7,$B143&lt;'111'!$L$11),"x","")</f>
        <v/>
      </c>
      <c r="T143" s="87" t="str">
        <f>IF(ISERROR(FIND('112'!$M$9,G143,1)),"",IF((AND(FIND('112'!$M$9,G143,1)&gt;=1,B143='112'!$K$9,OR($N143='112'!$I$6,$O143='112'!$I$6))),"x",""))</f>
        <v/>
      </c>
      <c r="U143" s="87" t="str">
        <f>IF(ISERROR(FIND('112'!$M$9,G143,1)),"",IF((AND(FIND('112'!$M$9,G143,1)&gt;=1,B143&lt;'112'!$K$9,$N143='112'!$I$6)),"x",""))</f>
        <v/>
      </c>
      <c r="V143" s="87" t="str">
        <f>IF(ISERROR(FIND('112'!$M$9,G143,1)),"",IF((AND(FIND('112'!$M$9,G143,1)&gt;=1,B143&lt;'112'!$K$9,$O143='112'!$I$6)),"x",""))</f>
        <v/>
      </c>
      <c r="W143" s="87" t="str">
        <f>IF(AND($B143&gt;='1331'!$I$9,$B143&lt;='1331'!$J$9,OR($N143=$W$7,$O143=$W$7)),"x","")</f>
        <v>x</v>
      </c>
      <c r="X143" s="87" t="str">
        <f>IF(AND($N143=$W$7,$B143&lt;'1331'!$I$9),"x","")</f>
        <v/>
      </c>
      <c r="Y143" s="87" t="str">
        <f>IF(AND($O143=$W$7,$B143&lt;'1331'!$I$9),"x","")</f>
        <v/>
      </c>
      <c r="Z143" s="87" t="str">
        <f>IF(AND('341-CT'!$H$9=H143,OR(LEFT(N143,3)=$Z$7,LEFT(O143,3)=$Z$7)),"x","")</f>
        <v/>
      </c>
      <c r="AA143" s="87" t="str">
        <f>IF(OR(TH!N143=TH!$AA$7,O143=TH!$AA$7),"x","")</f>
        <v/>
      </c>
      <c r="AB143" s="87" t="str">
        <f>IF(AND(OR(N143="131",O143="131"),H143='131-CT'!$H$9),"x","")</f>
        <v/>
      </c>
      <c r="AC143" s="87"/>
      <c r="AD143" s="87" t="str">
        <f>IF(AND(MONTH(E143)='IN-NX'!$J$5,'IN-NX'!$D$7=D143),"x","")</f>
        <v/>
      </c>
      <c r="AE143" s="87" t="str">
        <f>IF(AND(OR(LEFT(TH!N143,2)="15",LEFT(TH!O143,2)="15"),'152-CT'!$J$8=TH!F143),"x","")</f>
        <v/>
      </c>
      <c r="AF143" s="87" t="str">
        <f>IF(AND(OR(LEFT(TH!N143,2)="15",LEFT(TH!O143,2)="15"),'THE KHO'!$E$7=TH!F143),"x","")</f>
        <v/>
      </c>
      <c r="AG143" s="87" t="str">
        <f>IF(AND(N143="1521",MONTH(C143)='BK NL'!$M$11),"x","")</f>
        <v/>
      </c>
    </row>
    <row r="144" spans="1:33" s="404" customFormat="1" ht="15.75" customHeight="1">
      <c r="A144" s="399" t="str">
        <f>IF(B144&lt;&gt;"",IF(AND(B144&gt;=_TM1,B144&lt;=_TM2,OR(TH!N144="1111",TH!O144="1111")),TH!D144,""),"")</f>
        <v>C11</v>
      </c>
      <c r="B144" s="63">
        <f>IF(C144&lt;&gt;"",MONTH(C144),"")</f>
        <v>1</v>
      </c>
      <c r="C144" s="64">
        <v>42374</v>
      </c>
      <c r="D144" s="64" t="s">
        <v>959</v>
      </c>
      <c r="E144" s="64">
        <v>42374</v>
      </c>
      <c r="F144" s="67" t="s">
        <v>857</v>
      </c>
      <c r="G144" s="362" t="s">
        <v>895</v>
      </c>
      <c r="H144" s="75" t="s">
        <v>890</v>
      </c>
      <c r="I144" s="518"/>
      <c r="J144" s="518"/>
      <c r="K144" s="509"/>
      <c r="L144" s="518"/>
      <c r="M144" s="65">
        <v>16890000</v>
      </c>
      <c r="N144" s="66" t="s">
        <v>165</v>
      </c>
      <c r="O144" s="66" t="s">
        <v>63</v>
      </c>
      <c r="P144" s="87" t="str">
        <f>IF(AND('331-CT'!$E$7=TH!H144,OR(N144="331",O144="331")),"x","")</f>
        <v/>
      </c>
      <c r="Q144" s="87" t="str">
        <f>IF(AND(B144='111'!$L$11,OR($N144=$Q$7,$O144=$Q$7)),"x","")</f>
        <v>x</v>
      </c>
      <c r="R144" s="87" t="str">
        <f>IF(AND($N144=$Q$7,$B144&lt;'111'!$L$11),"x","")</f>
        <v/>
      </c>
      <c r="S144" s="87" t="str">
        <f>IF(AND($O144=$Q$7,$B144&lt;'111'!$L$11),"x","")</f>
        <v/>
      </c>
      <c r="T144" s="87" t="str">
        <f>IF(ISERROR(FIND('112'!$M$9,G144,1)),"",IF((AND(FIND('112'!$M$9,G144,1)&gt;=1,B144='112'!$K$9,OR($N144='112'!$I$6,$O144='112'!$I$6))),"x",""))</f>
        <v/>
      </c>
      <c r="U144" s="87" t="str">
        <f>IF(ISERROR(FIND('112'!$M$9,G144,1)),"",IF((AND(FIND('112'!$M$9,G144,1)&gt;=1,B144&lt;'112'!$K$9,$N144='112'!$I$6)),"x",""))</f>
        <v/>
      </c>
      <c r="V144" s="87" t="str">
        <f>IF(ISERROR(FIND('112'!$M$9,G144,1)),"",IF((AND(FIND('112'!$M$9,G144,1)&gt;=1,B144&lt;'112'!$K$9,$O144='112'!$I$6)),"x",""))</f>
        <v/>
      </c>
      <c r="W144" s="87" t="str">
        <f>IF(AND($B144&gt;='1331'!$I$9,$B144&lt;='1331'!$J$9,OR($N144=$W$7,$O144=$W$7)),"x","")</f>
        <v/>
      </c>
      <c r="X144" s="87" t="str">
        <f>IF(AND($N144=$W$7,$B144&lt;'1331'!$I$9),"x","")</f>
        <v/>
      </c>
      <c r="Y144" s="87" t="str">
        <f>IF(AND($O144=$W$7,$B144&lt;'1331'!$I$9),"x","")</f>
        <v/>
      </c>
      <c r="Z144" s="87" t="str">
        <f>IF(AND('341-CT'!$H$9=H144,OR(LEFT(N144,3)=$Z$7,LEFT(O144,3)=$Z$7)),"x","")</f>
        <v/>
      </c>
      <c r="AA144" s="87" t="str">
        <f>IF(OR(TH!N144=TH!$AA$7,O144=TH!$AA$7),"x","")</f>
        <v/>
      </c>
      <c r="AB144" s="87" t="str">
        <f>IF(AND(OR(N144="131",O144="131"),H144='131-CT'!$H$9),"x","")</f>
        <v/>
      </c>
      <c r="AC144" s="87"/>
      <c r="AD144" s="87" t="str">
        <f>IF(AND(MONTH(E144)='IN-NX'!$J$5,'IN-NX'!$D$7=D144),"x","")</f>
        <v/>
      </c>
      <c r="AE144" s="87" t="str">
        <f>IF(AND(OR(LEFT(TH!N144,2)="15",LEFT(TH!O144,2)="15"),'152-CT'!$J$8=TH!F144),"x","")</f>
        <v/>
      </c>
      <c r="AF144" s="87" t="str">
        <f>IF(AND(OR(LEFT(TH!N144,2)="15",LEFT(TH!O144,2)="15"),'THE KHO'!$E$7=TH!F144),"x","")</f>
        <v/>
      </c>
      <c r="AG144" s="87" t="str">
        <f>IF(AND(N144="1521",MONTH(C144)='BK NL'!$M$11),"x","")</f>
        <v/>
      </c>
    </row>
    <row r="145" spans="1:33" s="404" customFormat="1" ht="15.75" customHeight="1">
      <c r="A145" s="399" t="str">
        <f>IF(B145&lt;&gt;"",IF(AND(B145&gt;=_TM1,B145&lt;=_TM2,OR(TH!N145="1111",TH!O145="1111")),TH!D145,""),"")</f>
        <v>C11</v>
      </c>
      <c r="B145" s="63">
        <f>IF(C145&lt;&gt;"",MONTH(C145),"")</f>
        <v>1</v>
      </c>
      <c r="C145" s="64">
        <v>42374</v>
      </c>
      <c r="D145" s="64" t="s">
        <v>959</v>
      </c>
      <c r="E145" s="64">
        <v>42374</v>
      </c>
      <c r="F145" s="67" t="s">
        <v>858</v>
      </c>
      <c r="G145" s="362" t="s">
        <v>895</v>
      </c>
      <c r="H145" s="409" t="s">
        <v>890</v>
      </c>
      <c r="I145" s="522"/>
      <c r="J145" s="522"/>
      <c r="K145" s="513"/>
      <c r="L145" s="522"/>
      <c r="M145" s="65">
        <v>1689000</v>
      </c>
      <c r="N145" s="66" t="s">
        <v>9</v>
      </c>
      <c r="O145" s="66" t="s">
        <v>63</v>
      </c>
      <c r="P145" s="87" t="str">
        <f>IF(AND('331-CT'!$E$7=TH!H145,OR(N145="331",O145="331")),"x","")</f>
        <v/>
      </c>
      <c r="Q145" s="87" t="str">
        <f>IF(AND(B145='111'!$L$11,OR($N145=$Q$7,$O145=$Q$7)),"x","")</f>
        <v>x</v>
      </c>
      <c r="R145" s="87" t="str">
        <f>IF(AND($N145=$Q$7,$B145&lt;'111'!$L$11),"x","")</f>
        <v/>
      </c>
      <c r="S145" s="87" t="str">
        <f>IF(AND($O145=$Q$7,$B145&lt;'111'!$L$11),"x","")</f>
        <v/>
      </c>
      <c r="T145" s="87" t="str">
        <f>IF(ISERROR(FIND('112'!$M$9,G145,1)),"",IF((AND(FIND('112'!$M$9,G145,1)&gt;=1,B145='112'!$K$9,OR($N145='112'!$I$6,$O145='112'!$I$6))),"x",""))</f>
        <v/>
      </c>
      <c r="U145" s="87" t="str">
        <f>IF(ISERROR(FIND('112'!$M$9,G145,1)),"",IF((AND(FIND('112'!$M$9,G145,1)&gt;=1,B145&lt;'112'!$K$9,$N145='112'!$I$6)),"x",""))</f>
        <v/>
      </c>
      <c r="V145" s="87" t="str">
        <f>IF(ISERROR(FIND('112'!$M$9,G145,1)),"",IF((AND(FIND('112'!$M$9,G145,1)&gt;=1,B145&lt;'112'!$K$9,$O145='112'!$I$6)),"x",""))</f>
        <v/>
      </c>
      <c r="W145" s="87" t="str">
        <f>IF(AND($B145&gt;='1331'!$I$9,$B145&lt;='1331'!$J$9,OR($N145=$W$7,$O145=$W$7)),"x","")</f>
        <v>x</v>
      </c>
      <c r="X145" s="87" t="str">
        <f>IF(AND($N145=$W$7,$B145&lt;'1331'!$I$9),"x","")</f>
        <v/>
      </c>
      <c r="Y145" s="87" t="str">
        <f>IF(AND($O145=$W$7,$B145&lt;'1331'!$I$9),"x","")</f>
        <v/>
      </c>
      <c r="Z145" s="87" t="str">
        <f>IF(AND('341-CT'!$H$9=H145,OR(LEFT(N145,3)=$Z$7,LEFT(O145,3)=$Z$7)),"x","")</f>
        <v/>
      </c>
      <c r="AA145" s="87" t="str">
        <f>IF(OR(TH!N145=TH!$AA$7,O145=TH!$AA$7),"x","")</f>
        <v/>
      </c>
      <c r="AB145" s="87" t="str">
        <f>IF(AND(OR(N145="131",O145="131"),H145='131-CT'!$H$9),"x","")</f>
        <v/>
      </c>
      <c r="AC145" s="87"/>
      <c r="AD145" s="87" t="str">
        <f>IF(AND(MONTH(E145)='IN-NX'!$J$5,'IN-NX'!$D$7=D145),"x","")</f>
        <v/>
      </c>
      <c r="AE145" s="87" t="str">
        <f>IF(AND(OR(LEFT(TH!N145,2)="15",LEFT(TH!O145,2)="15"),'152-CT'!$J$8=TH!F145),"x","")</f>
        <v/>
      </c>
      <c r="AF145" s="87" t="str">
        <f>IF(AND(OR(LEFT(TH!N145,2)="15",LEFT(TH!O145,2)="15"),'THE KHO'!$E$7=TH!F145),"x","")</f>
        <v/>
      </c>
      <c r="AG145" s="87" t="str">
        <f>IF(AND(N145="1521",MONTH(C145)='BK NL'!$M$11),"x","")</f>
        <v/>
      </c>
    </row>
    <row r="146" spans="1:33" s="404" customFormat="1" ht="15.75" customHeight="1">
      <c r="A146" s="399" t="str">
        <f>IF(B146&lt;&gt;"",IF(AND(B146&gt;=_TM1,B146&lt;=_TM2,OR(TH!N146="1111",TH!O146="1111")),TH!D146,""),"")</f>
        <v>C12</v>
      </c>
      <c r="B146" s="63">
        <f>IF(C146&lt;&gt;"",MONTH(C146),"")</f>
        <v>1</v>
      </c>
      <c r="C146" s="64">
        <v>42374</v>
      </c>
      <c r="D146" s="64" t="s">
        <v>960</v>
      </c>
      <c r="E146" s="64">
        <v>42350</v>
      </c>
      <c r="F146" s="67" t="s">
        <v>848</v>
      </c>
      <c r="G146" s="362" t="s">
        <v>896</v>
      </c>
      <c r="H146" s="75" t="s">
        <v>886</v>
      </c>
      <c r="I146" s="518"/>
      <c r="J146" s="518"/>
      <c r="K146" s="509"/>
      <c r="L146" s="518"/>
      <c r="M146" s="65">
        <v>12000000</v>
      </c>
      <c r="N146" s="66" t="s">
        <v>101</v>
      </c>
      <c r="O146" s="66" t="s">
        <v>63</v>
      </c>
      <c r="P146" s="87" t="str">
        <f>IF(AND('331-CT'!$E$7=TH!H146,OR(N146="331",O146="331")),"x","")</f>
        <v/>
      </c>
      <c r="Q146" s="87" t="str">
        <f>IF(AND(B146='111'!$L$11,OR($N146=$Q$7,$O146=$Q$7)),"x","")</f>
        <v>x</v>
      </c>
      <c r="R146" s="87" t="str">
        <f>IF(AND($N146=$Q$7,$B146&lt;'111'!$L$11),"x","")</f>
        <v/>
      </c>
      <c r="S146" s="87" t="str">
        <f>IF(AND($O146=$Q$7,$B146&lt;'111'!$L$11),"x","")</f>
        <v/>
      </c>
      <c r="T146" s="87" t="str">
        <f>IF(ISERROR(FIND('112'!$M$9,G146,1)),"",IF((AND(FIND('112'!$M$9,G146,1)&gt;=1,B146='112'!$K$9,OR($N146='112'!$I$6,$O146='112'!$I$6))),"x",""))</f>
        <v/>
      </c>
      <c r="U146" s="87" t="str">
        <f>IF(ISERROR(FIND('112'!$M$9,G146,1)),"",IF((AND(FIND('112'!$M$9,G146,1)&gt;=1,B146&lt;'112'!$K$9,$N146='112'!$I$6)),"x",""))</f>
        <v/>
      </c>
      <c r="V146" s="87" t="str">
        <f>IF(ISERROR(FIND('112'!$M$9,G146,1)),"",IF((AND(FIND('112'!$M$9,G146,1)&gt;=1,B146&lt;'112'!$K$9,$O146='112'!$I$6)),"x",""))</f>
        <v/>
      </c>
      <c r="W146" s="87" t="str">
        <f>IF(AND($B146&gt;='1331'!$I$9,$B146&lt;='1331'!$J$9,OR($N146=$W$7,$O146=$W$7)),"x","")</f>
        <v/>
      </c>
      <c r="X146" s="87" t="str">
        <f>IF(AND($N146=$W$7,$B146&lt;'1331'!$I$9),"x","")</f>
        <v/>
      </c>
      <c r="Y146" s="87" t="str">
        <f>IF(AND($O146=$W$7,$B146&lt;'1331'!$I$9),"x","")</f>
        <v/>
      </c>
      <c r="Z146" s="87" t="str">
        <f>IF(AND('341-CT'!$H$9=H146,OR(LEFT(N146,3)=$Z$7,LEFT(O146,3)=$Z$7)),"x","")</f>
        <v/>
      </c>
      <c r="AA146" s="87" t="str">
        <f>IF(OR(TH!N146=TH!$AA$7,O146=TH!$AA$7),"x","")</f>
        <v/>
      </c>
      <c r="AB146" s="87" t="str">
        <f>IF(AND(OR(N146="131",O146="131"),H146='131-CT'!$H$9),"x","")</f>
        <v/>
      </c>
      <c r="AC146" s="87"/>
      <c r="AD146" s="87" t="str">
        <f>IF(AND(MONTH(E146)='IN-NX'!$J$5,'IN-NX'!$D$7=D146),"x","")</f>
        <v/>
      </c>
      <c r="AE146" s="87" t="str">
        <f>IF(AND(OR(LEFT(TH!N146,2)="15",LEFT(TH!O146,2)="15"),'152-CT'!$J$8=TH!F146),"x","")</f>
        <v/>
      </c>
      <c r="AF146" s="87" t="str">
        <f>IF(AND(OR(LEFT(TH!N146,2)="15",LEFT(TH!O146,2)="15"),'THE KHO'!$E$7=TH!F146),"x","")</f>
        <v/>
      </c>
      <c r="AG146" s="87" t="str">
        <f>IF(AND(N146="1521",MONTH(C146)='BK NL'!$M$11),"x","")</f>
        <v/>
      </c>
    </row>
    <row r="147" spans="1:33" ht="15.75" customHeight="1">
      <c r="A147" s="399" t="str">
        <f>IF(B147&lt;&gt;"",IF(AND(B147&gt;=_TM1,B147&lt;=_TM2,OR(TH!N147="1111",TH!O147="1111")),TH!D147,""),"")</f>
        <v>C12</v>
      </c>
      <c r="B147" s="63">
        <f>IF(C147&lt;&gt;"",MONTH(C147),"")</f>
        <v>1</v>
      </c>
      <c r="C147" s="64">
        <v>42374</v>
      </c>
      <c r="D147" s="64" t="s">
        <v>960</v>
      </c>
      <c r="E147" s="64">
        <v>42350</v>
      </c>
      <c r="F147" s="67" t="s">
        <v>849</v>
      </c>
      <c r="G147" s="362" t="s">
        <v>896</v>
      </c>
      <c r="H147" s="75" t="s">
        <v>886</v>
      </c>
      <c r="I147" s="518"/>
      <c r="J147" s="518"/>
      <c r="K147" s="509"/>
      <c r="L147" s="518"/>
      <c r="M147" s="65">
        <v>1200000</v>
      </c>
      <c r="N147" s="66" t="s">
        <v>9</v>
      </c>
      <c r="O147" s="66" t="s">
        <v>63</v>
      </c>
      <c r="P147" s="87" t="str">
        <f>IF(AND('331-CT'!$E$7=TH!H147,OR(N147="331",O147="331")),"x","")</f>
        <v/>
      </c>
      <c r="Q147" s="87" t="str">
        <f>IF(AND(B147='111'!$L$11,OR($N147=$Q$7,$O147=$Q$7)),"x","")</f>
        <v>x</v>
      </c>
      <c r="R147" s="87" t="str">
        <f>IF(AND($N147=$Q$7,$B147&lt;'111'!$L$11),"x","")</f>
        <v/>
      </c>
      <c r="S147" s="87" t="str">
        <f>IF(AND($O147=$Q$7,$B147&lt;'111'!$L$11),"x","")</f>
        <v/>
      </c>
      <c r="T147" s="87" t="str">
        <f>IF(ISERROR(FIND('112'!$M$9,G147,1)),"",IF((AND(FIND('112'!$M$9,G147,1)&gt;=1,B147='112'!$K$9,OR($N147='112'!$I$6,$O147='112'!$I$6))),"x",""))</f>
        <v/>
      </c>
      <c r="U147" s="87" t="str">
        <f>IF(ISERROR(FIND('112'!$M$9,G147,1)),"",IF((AND(FIND('112'!$M$9,G147,1)&gt;=1,B147&lt;'112'!$K$9,$N147='112'!$I$6)),"x",""))</f>
        <v/>
      </c>
      <c r="V147" s="87" t="str">
        <f>IF(ISERROR(FIND('112'!$M$9,G147,1)),"",IF((AND(FIND('112'!$M$9,G147,1)&gt;=1,B147&lt;'112'!$K$9,$O147='112'!$I$6)),"x",""))</f>
        <v/>
      </c>
      <c r="W147" s="87" t="str">
        <f>IF(AND($B147&gt;='1331'!$I$9,$B147&lt;='1331'!$J$9,OR($N147=$W$7,$O147=$W$7)),"x","")</f>
        <v>x</v>
      </c>
      <c r="X147" s="87" t="str">
        <f>IF(AND($N147=$W$7,$B147&lt;'1331'!$I$9),"x","")</f>
        <v/>
      </c>
      <c r="Y147" s="87" t="str">
        <f>IF(AND($O147=$W$7,$B147&lt;'1331'!$I$9),"x","")</f>
        <v/>
      </c>
      <c r="Z147" s="87" t="str">
        <f>IF(AND('341-CT'!$H$9=H147,OR(LEFT(N147,3)=$Z$7,LEFT(O147,3)=$Z$7)),"x","")</f>
        <v/>
      </c>
      <c r="AA147" s="87" t="str">
        <f>IF(OR(TH!N147=TH!$AA$7,O147=TH!$AA$7),"x","")</f>
        <v/>
      </c>
      <c r="AB147" s="87" t="str">
        <f>IF(AND(OR(N147="131",O147="131"),H147='131-CT'!$H$9),"x","")</f>
        <v/>
      </c>
      <c r="AC147" s="87"/>
      <c r="AD147" s="87" t="str">
        <f>IF(AND(MONTH(E147)='IN-NX'!$J$5,'IN-NX'!$D$7=D147),"x","")</f>
        <v/>
      </c>
      <c r="AE147" s="87" t="str">
        <f>IF(AND(OR(LEFT(TH!N147,2)="15",LEFT(TH!O147,2)="15"),'152-CT'!$J$8=TH!F147),"x","")</f>
        <v/>
      </c>
      <c r="AF147" s="87" t="str">
        <f>IF(AND(OR(LEFT(TH!N147,2)="15",LEFT(TH!O147,2)="15"),'THE KHO'!$E$7=TH!F147),"x","")</f>
        <v/>
      </c>
      <c r="AG147" s="87" t="str">
        <f>IF(AND(N147="1521",MONTH(C147)='BK NL'!$M$11),"x","")</f>
        <v/>
      </c>
    </row>
    <row r="148" spans="1:33" s="404" customFormat="1" ht="15.75" customHeight="1">
      <c r="A148" s="399" t="str">
        <f>IF(B148&lt;&gt;"",IF(AND(B148&gt;=_TM1,B148&lt;=_TM2,OR(TH!N148="1111",TH!O148="1111")),TH!D148,""),"")</f>
        <v>C13</v>
      </c>
      <c r="B148" s="63">
        <f>IF(C148&lt;&gt;"",MONTH(C148),"")</f>
        <v>1</v>
      </c>
      <c r="C148" s="64">
        <v>42374</v>
      </c>
      <c r="D148" s="64" t="s">
        <v>961</v>
      </c>
      <c r="E148" s="64">
        <v>42374</v>
      </c>
      <c r="F148" s="67" t="s">
        <v>855</v>
      </c>
      <c r="G148" s="362" t="s">
        <v>897</v>
      </c>
      <c r="H148" s="75" t="s">
        <v>888</v>
      </c>
      <c r="I148" s="518"/>
      <c r="J148" s="518"/>
      <c r="K148" s="509"/>
      <c r="L148" s="518"/>
      <c r="M148" s="65">
        <v>676700</v>
      </c>
      <c r="N148" s="66" t="s">
        <v>101</v>
      </c>
      <c r="O148" s="66" t="s">
        <v>63</v>
      </c>
      <c r="P148" s="87" t="str">
        <f>IF(AND('331-CT'!$E$7=TH!H148,OR(N148="331",O148="331")),"x","")</f>
        <v/>
      </c>
      <c r="Q148" s="87" t="str">
        <f>IF(AND(B148='111'!$L$11,OR($N148=$Q$7,$O148=$Q$7)),"x","")</f>
        <v>x</v>
      </c>
      <c r="R148" s="87" t="str">
        <f>IF(AND($N148=$Q$7,$B148&lt;'111'!$L$11),"x","")</f>
        <v/>
      </c>
      <c r="S148" s="87" t="str">
        <f>IF(AND($O148=$Q$7,$B148&lt;'111'!$L$11),"x","")</f>
        <v/>
      </c>
      <c r="T148" s="87" t="str">
        <f>IF(ISERROR(FIND('112'!$M$9,G148,1)),"",IF((AND(FIND('112'!$M$9,G148,1)&gt;=1,B148='112'!$K$9,OR($N148='112'!$I$6,$O148='112'!$I$6))),"x",""))</f>
        <v/>
      </c>
      <c r="U148" s="87" t="str">
        <f>IF(ISERROR(FIND('112'!$M$9,G148,1)),"",IF((AND(FIND('112'!$M$9,G148,1)&gt;=1,B148&lt;'112'!$K$9,$N148='112'!$I$6)),"x",""))</f>
        <v/>
      </c>
      <c r="V148" s="87" t="str">
        <f>IF(ISERROR(FIND('112'!$M$9,G148,1)),"",IF((AND(FIND('112'!$M$9,G148,1)&gt;=1,B148&lt;'112'!$K$9,$O148='112'!$I$6)),"x",""))</f>
        <v/>
      </c>
      <c r="W148" s="87" t="str">
        <f>IF(AND($B148&gt;='1331'!$I$9,$B148&lt;='1331'!$J$9,OR($N148=$W$7,$O148=$W$7)),"x","")</f>
        <v/>
      </c>
      <c r="X148" s="87" t="str">
        <f>IF(AND($N148=$W$7,$B148&lt;'1331'!$I$9),"x","")</f>
        <v/>
      </c>
      <c r="Y148" s="87" t="str">
        <f>IF(AND($O148=$W$7,$B148&lt;'1331'!$I$9),"x","")</f>
        <v/>
      </c>
      <c r="Z148" s="87" t="str">
        <f>IF(AND('341-CT'!$H$9=H148,OR(LEFT(N148,3)=$Z$7,LEFT(O148,3)=$Z$7)),"x","")</f>
        <v/>
      </c>
      <c r="AA148" s="87" t="str">
        <f>IF(OR(TH!N148=TH!$AA$7,O148=TH!$AA$7),"x","")</f>
        <v/>
      </c>
      <c r="AB148" s="87" t="str">
        <f>IF(AND(OR(N148="131",O148="131"),H148='131-CT'!$H$9),"x","")</f>
        <v/>
      </c>
      <c r="AC148" s="87"/>
      <c r="AD148" s="87" t="str">
        <f>IF(AND(MONTH(E148)='IN-NX'!$J$5,'IN-NX'!$D$7=D148),"x","")</f>
        <v/>
      </c>
      <c r="AE148" s="87" t="str">
        <f>IF(AND(OR(LEFT(TH!N148,2)="15",LEFT(TH!O148,2)="15"),'152-CT'!$J$8=TH!F148),"x","")</f>
        <v/>
      </c>
      <c r="AF148" s="87" t="str">
        <f>IF(AND(OR(LEFT(TH!N148,2)="15",LEFT(TH!O148,2)="15"),'THE KHO'!$E$7=TH!F148),"x","")</f>
        <v/>
      </c>
      <c r="AG148" s="87" t="str">
        <f>IF(AND(N148="1521",MONTH(C148)='BK NL'!$M$11),"x","")</f>
        <v/>
      </c>
    </row>
    <row r="149" spans="1:33" s="404" customFormat="1" ht="15.75" customHeight="1">
      <c r="A149" s="399" t="str">
        <f>IF(B149&lt;&gt;"",IF(AND(B149&gt;=_TM1,B149&lt;=_TM2,OR(TH!N149="1111",TH!O149="1111")),TH!D149,""),"")</f>
        <v>C13</v>
      </c>
      <c r="B149" s="63">
        <f>IF(C149&lt;&gt;"",MONTH(C149),"")</f>
        <v>1</v>
      </c>
      <c r="C149" s="64">
        <v>42374</v>
      </c>
      <c r="D149" s="64" t="s">
        <v>961</v>
      </c>
      <c r="E149" s="64">
        <v>42374</v>
      </c>
      <c r="F149" s="67" t="s">
        <v>856</v>
      </c>
      <c r="G149" s="362" t="s">
        <v>897</v>
      </c>
      <c r="H149" s="75" t="s">
        <v>888</v>
      </c>
      <c r="I149" s="518"/>
      <c r="J149" s="518"/>
      <c r="K149" s="509"/>
      <c r="L149" s="518"/>
      <c r="M149" s="65">
        <v>67670</v>
      </c>
      <c r="N149" s="66" t="s">
        <v>9</v>
      </c>
      <c r="O149" s="66" t="s">
        <v>63</v>
      </c>
      <c r="P149" s="87" t="str">
        <f>IF(AND('331-CT'!$E$7=TH!H149,OR(N149="331",O149="331")),"x","")</f>
        <v/>
      </c>
      <c r="Q149" s="87" t="str">
        <f>IF(AND(B149='111'!$L$11,OR($N149=$Q$7,$O149=$Q$7)),"x","")</f>
        <v>x</v>
      </c>
      <c r="R149" s="87" t="str">
        <f>IF(AND($N149=$Q$7,$B149&lt;'111'!$L$11),"x","")</f>
        <v/>
      </c>
      <c r="S149" s="87" t="str">
        <f>IF(AND($O149=$Q$7,$B149&lt;'111'!$L$11),"x","")</f>
        <v/>
      </c>
      <c r="T149" s="87" t="str">
        <f>IF(ISERROR(FIND('112'!$M$9,G149,1)),"",IF((AND(FIND('112'!$M$9,G149,1)&gt;=1,B149='112'!$K$9,OR($N149='112'!$I$6,$O149='112'!$I$6))),"x",""))</f>
        <v/>
      </c>
      <c r="U149" s="87" t="str">
        <f>IF(ISERROR(FIND('112'!$M$9,G149,1)),"",IF((AND(FIND('112'!$M$9,G149,1)&gt;=1,B149&lt;'112'!$K$9,$N149='112'!$I$6)),"x",""))</f>
        <v/>
      </c>
      <c r="V149" s="87" t="str">
        <f>IF(ISERROR(FIND('112'!$M$9,G149,1)),"",IF((AND(FIND('112'!$M$9,G149,1)&gt;=1,B149&lt;'112'!$K$9,$O149='112'!$I$6)),"x",""))</f>
        <v/>
      </c>
      <c r="W149" s="87" t="str">
        <f>IF(AND($B149&gt;='1331'!$I$9,$B149&lt;='1331'!$J$9,OR($N149=$W$7,$O149=$W$7)),"x","")</f>
        <v>x</v>
      </c>
      <c r="X149" s="87" t="str">
        <f>IF(AND($N149=$W$7,$B149&lt;'1331'!$I$9),"x","")</f>
        <v/>
      </c>
      <c r="Y149" s="87" t="str">
        <f>IF(AND($O149=$W$7,$B149&lt;'1331'!$I$9),"x","")</f>
        <v/>
      </c>
      <c r="Z149" s="87" t="str">
        <f>IF(AND('341-CT'!$H$9=H149,OR(LEFT(N149,3)=$Z$7,LEFT(O149,3)=$Z$7)),"x","")</f>
        <v/>
      </c>
      <c r="AA149" s="87" t="str">
        <f>IF(OR(TH!N149=TH!$AA$7,O149=TH!$AA$7),"x","")</f>
        <v/>
      </c>
      <c r="AB149" s="87" t="str">
        <f>IF(AND(OR(N149="131",O149="131"),H149='131-CT'!$H$9),"x","")</f>
        <v/>
      </c>
      <c r="AC149" s="87"/>
      <c r="AD149" s="87" t="str">
        <f>IF(AND(MONTH(E149)='IN-NX'!$J$5,'IN-NX'!$D$7=D149),"x","")</f>
        <v/>
      </c>
      <c r="AE149" s="87" t="str">
        <f>IF(AND(OR(LEFT(TH!N149,2)="15",LEFT(TH!O149,2)="15"),'152-CT'!$J$8=TH!F149),"x","")</f>
        <v/>
      </c>
      <c r="AF149" s="87" t="str">
        <f>IF(AND(OR(LEFT(TH!N149,2)="15",LEFT(TH!O149,2)="15"),'THE KHO'!$E$7=TH!F149),"x","")</f>
        <v/>
      </c>
      <c r="AG149" s="87" t="str">
        <f>IF(AND(N149="1521",MONTH(C149)='BK NL'!$M$11),"x","")</f>
        <v/>
      </c>
    </row>
    <row r="150" spans="1:33" s="404" customFormat="1" ht="15.75" customHeight="1">
      <c r="A150" s="399" t="str">
        <f>IF(B150&lt;&gt;"",IF(AND(B150&gt;=_TM1,B150&lt;=_TM2,OR(TH!N150="1111",TH!O150="1111")),TH!D150,""),"")</f>
        <v>C14</v>
      </c>
      <c r="B150" s="63">
        <f>IF(C150&lt;&gt;"",MONTH(C150),"")</f>
        <v>1</v>
      </c>
      <c r="C150" s="64">
        <v>42374</v>
      </c>
      <c r="D150" s="64" t="s">
        <v>962</v>
      </c>
      <c r="E150" s="64">
        <v>42374</v>
      </c>
      <c r="F150" s="67" t="s">
        <v>859</v>
      </c>
      <c r="G150" s="362" t="s">
        <v>738</v>
      </c>
      <c r="H150" s="75" t="s">
        <v>743</v>
      </c>
      <c r="I150" s="518"/>
      <c r="J150" s="518"/>
      <c r="K150" s="509"/>
      <c r="L150" s="518"/>
      <c r="M150" s="65">
        <v>14250000</v>
      </c>
      <c r="N150" s="66" t="s">
        <v>8</v>
      </c>
      <c r="O150" s="66" t="s">
        <v>63</v>
      </c>
      <c r="P150" s="87" t="str">
        <f>IF(AND('331-CT'!$E$7=TH!H150,OR(N150="331",O150="331")),"x","")</f>
        <v/>
      </c>
      <c r="Q150" s="87" t="str">
        <f>IF(AND(B150='111'!$L$11,OR($N150=$Q$7,$O150=$Q$7)),"x","")</f>
        <v>x</v>
      </c>
      <c r="R150" s="87" t="str">
        <f>IF(AND($N150=$Q$7,$B150&lt;'111'!$L$11),"x","")</f>
        <v/>
      </c>
      <c r="S150" s="87" t="str">
        <f>IF(AND($O150=$Q$7,$B150&lt;'111'!$L$11),"x","")</f>
        <v/>
      </c>
      <c r="T150" s="87" t="str">
        <f>IF(ISERROR(FIND('112'!$M$9,G150,1)),"",IF((AND(FIND('112'!$M$9,G150,1)&gt;=1,B150='112'!$K$9,OR($N150='112'!$I$6,$O150='112'!$I$6))),"x",""))</f>
        <v/>
      </c>
      <c r="U150" s="87" t="str">
        <f>IF(ISERROR(FIND('112'!$M$9,G150,1)),"",IF((AND(FIND('112'!$M$9,G150,1)&gt;=1,B150&lt;'112'!$K$9,$N150='112'!$I$6)),"x",""))</f>
        <v/>
      </c>
      <c r="V150" s="87" t="str">
        <f>IF(ISERROR(FIND('112'!$M$9,G150,1)),"",IF((AND(FIND('112'!$M$9,G150,1)&gt;=1,B150&lt;'112'!$K$9,$O150='112'!$I$6)),"x",""))</f>
        <v/>
      </c>
      <c r="W150" s="87" t="str">
        <f>IF(AND($B150&gt;='1331'!$I$9,$B150&lt;='1331'!$J$9,OR($N150=$W$7,$O150=$W$7)),"x","")</f>
        <v/>
      </c>
      <c r="X150" s="87" t="str">
        <f>IF(AND($N150=$W$7,$B150&lt;'1331'!$I$9),"x","")</f>
        <v/>
      </c>
      <c r="Y150" s="87" t="str">
        <f>IF(AND($O150=$W$7,$B150&lt;'1331'!$I$9),"x","")</f>
        <v/>
      </c>
      <c r="Z150" s="87" t="str">
        <f>IF(AND('341-CT'!$H$9=H150,OR(LEFT(N150,3)=$Z$7,LEFT(O150,3)=$Z$7)),"x","")</f>
        <v/>
      </c>
      <c r="AA150" s="87" t="str">
        <f>IF(OR(TH!N150=TH!$AA$7,O150=TH!$AA$7),"x","")</f>
        <v/>
      </c>
      <c r="AB150" s="87" t="str">
        <f>IF(AND(OR(N150="131",O150="131"),H150='131-CT'!$H$9),"x","")</f>
        <v/>
      </c>
      <c r="AC150" s="87"/>
      <c r="AD150" s="87" t="str">
        <f>IF(AND(MONTH(E150)='IN-NX'!$J$5,'IN-NX'!$D$7=D150),"x","")</f>
        <v/>
      </c>
      <c r="AE150" s="87" t="str">
        <f>IF(AND(OR(LEFT(TH!N150,2)="15",LEFT(TH!O150,2)="15"),'152-CT'!$J$8=TH!F150),"x","")</f>
        <v/>
      </c>
      <c r="AF150" s="87" t="str">
        <f>IF(AND(OR(LEFT(TH!N150,2)="15",LEFT(TH!O150,2)="15"),'THE KHO'!$E$7=TH!F150),"x","")</f>
        <v/>
      </c>
      <c r="AG150" s="87" t="str">
        <f>IF(AND(N150="1521",MONTH(C150)='BK NL'!$M$11),"x","")</f>
        <v/>
      </c>
    </row>
    <row r="151" spans="1:33" s="406" customFormat="1" ht="15.75" customHeight="1">
      <c r="A151" s="399" t="str">
        <f>IF(B151&lt;&gt;"",IF(AND(B151&gt;=_TM1,B151&lt;=_TM2,OR(TH!N151="1111",TH!O151="1111")),TH!D151,""),"")</f>
        <v/>
      </c>
      <c r="B151" s="63">
        <f>IF(C151&lt;&gt;"",MONTH(C151),"")</f>
        <v>1</v>
      </c>
      <c r="C151" s="64">
        <v>42375</v>
      </c>
      <c r="D151" s="64" t="s">
        <v>773</v>
      </c>
      <c r="E151" s="64">
        <v>42375</v>
      </c>
      <c r="F151" s="67" t="s">
        <v>783</v>
      </c>
      <c r="G151" s="362" t="s">
        <v>999</v>
      </c>
      <c r="H151" s="75" t="s">
        <v>784</v>
      </c>
      <c r="I151" s="518"/>
      <c r="J151" s="518"/>
      <c r="K151" s="509">
        <v>53.92</v>
      </c>
      <c r="L151" s="518">
        <v>22240</v>
      </c>
      <c r="M151" s="86">
        <f>ROUND(K151*L151,0)</f>
        <v>1199181</v>
      </c>
      <c r="N151" s="66" t="s">
        <v>99</v>
      </c>
      <c r="O151" s="66" t="s">
        <v>282</v>
      </c>
      <c r="P151" s="87" t="str">
        <f>IF(AND('331-CT'!$E$7=TH!H151,OR(N151="331",O151="331")),"x","")</f>
        <v/>
      </c>
      <c r="Q151" s="87" t="str">
        <f>IF(AND(B151='111'!$L$11,OR($N151=$Q$7,$O151=$Q$7)),"x","")</f>
        <v/>
      </c>
      <c r="R151" s="87" t="str">
        <f>IF(AND($N151=$Q$7,$B151&lt;'111'!$L$11),"x","")</f>
        <v/>
      </c>
      <c r="S151" s="87" t="str">
        <f>IF(AND($O151=$Q$7,$B151&lt;'111'!$L$11),"x","")</f>
        <v/>
      </c>
      <c r="T151" s="87" t="str">
        <f>IF(ISERROR(FIND('112'!$M$9,G151,1)),"",IF((AND(FIND('112'!$M$9,G151,1)&gt;=1,B151='112'!$K$9,OR($N151='112'!$I$6,$O151='112'!$I$6))),"x",""))</f>
        <v/>
      </c>
      <c r="U151" s="87" t="str">
        <f>IF(ISERROR(FIND('112'!$M$9,G151,1)),"",IF((AND(FIND('112'!$M$9,G151,1)&gt;=1,B151&lt;'112'!$K$9,$N151='112'!$I$6)),"x",""))</f>
        <v/>
      </c>
      <c r="V151" s="87" t="str">
        <f>IF(ISERROR(FIND('112'!$M$9,G151,1)),"",IF((AND(FIND('112'!$M$9,G151,1)&gt;=1,B151&lt;'112'!$K$9,$O151='112'!$I$6)),"x",""))</f>
        <v/>
      </c>
      <c r="W151" s="87" t="str">
        <f>IF(AND($B151&gt;='1331'!$I$9,$B151&lt;='1331'!$J$9,OR($N151=$W$7,$O151=$W$7)),"x","")</f>
        <v/>
      </c>
      <c r="X151" s="87" t="str">
        <f>IF(AND($N151=$W$7,$B151&lt;'1331'!$I$9),"x","")</f>
        <v/>
      </c>
      <c r="Y151" s="87" t="str">
        <f>IF(AND($O151=$W$7,$B151&lt;'1331'!$I$9),"x","")</f>
        <v/>
      </c>
      <c r="Z151" s="87" t="str">
        <f>IF(AND('341-CT'!$H$9=H151,OR(LEFT(N151,3)=$Z$7,LEFT(O151,3)=$Z$7)),"x","")</f>
        <v/>
      </c>
      <c r="AA151" s="87" t="str">
        <f>IF(OR(TH!N151=TH!$AA$7,O151=TH!$AA$7),"x","")</f>
        <v/>
      </c>
      <c r="AB151" s="87" t="str">
        <f>IF(AND(OR(N151="131",O151="131"),H151='131-CT'!$H$9),"x","")</f>
        <v/>
      </c>
      <c r="AC151" s="87"/>
      <c r="AD151" s="87" t="str">
        <f>IF(AND(MONTH(E151)='IN-NX'!$J$5,'IN-NX'!$D$7=D151),"x","")</f>
        <v/>
      </c>
      <c r="AE151" s="87" t="str">
        <f>IF(AND(OR(LEFT(TH!N151,2)="15",LEFT(TH!O151,2)="15"),'152-CT'!$J$8=TH!F151),"x","")</f>
        <v/>
      </c>
      <c r="AF151" s="87" t="str">
        <f>IF(AND(OR(LEFT(TH!N151,2)="15",LEFT(TH!O151,2)="15"),'THE KHO'!$E$7=TH!F151),"x","")</f>
        <v/>
      </c>
      <c r="AG151" s="87" t="str">
        <f>IF(AND(N151="1521",MONTH(C151)='BK NL'!$M$11),"x","")</f>
        <v/>
      </c>
    </row>
    <row r="152" spans="1:33" s="404" customFormat="1" ht="15.75" customHeight="1">
      <c r="A152" s="399" t="str">
        <f>IF(B152&lt;&gt;"",IF(AND(B152&gt;=_TM1,B152&lt;=_TM2,OR(TH!N152="1111",TH!O152="1111")),TH!D152,""),"")</f>
        <v/>
      </c>
      <c r="B152" s="63">
        <f>IF(C152&lt;&gt;"",MONTH(C152),"")</f>
        <v>1</v>
      </c>
      <c r="C152" s="64">
        <v>42375</v>
      </c>
      <c r="D152" s="64" t="s">
        <v>773</v>
      </c>
      <c r="E152" s="64">
        <v>42375</v>
      </c>
      <c r="F152" s="67" t="s">
        <v>783</v>
      </c>
      <c r="G152" s="362" t="s">
        <v>999</v>
      </c>
      <c r="H152" s="75" t="s">
        <v>785</v>
      </c>
      <c r="I152" s="518"/>
      <c r="J152" s="518"/>
      <c r="K152" s="509">
        <v>129.11000000000001</v>
      </c>
      <c r="L152" s="518">
        <v>22240</v>
      </c>
      <c r="M152" s="86">
        <f>ROUND(K152*L152,0)</f>
        <v>2871406</v>
      </c>
      <c r="N152" s="66" t="s">
        <v>99</v>
      </c>
      <c r="O152" s="66" t="s">
        <v>282</v>
      </c>
      <c r="P152" s="87" t="str">
        <f>IF(AND('331-CT'!$E$7=TH!H152,OR(N152="331",O152="331")),"x","")</f>
        <v/>
      </c>
      <c r="Q152" s="87" t="str">
        <f>IF(AND(B152='111'!$L$11,OR($N152=$Q$7,$O152=$Q$7)),"x","")</f>
        <v/>
      </c>
      <c r="R152" s="87" t="str">
        <f>IF(AND($N152=$Q$7,$B152&lt;'111'!$L$11),"x","")</f>
        <v/>
      </c>
      <c r="S152" s="87" t="str">
        <f>IF(AND($O152=$Q$7,$B152&lt;'111'!$L$11),"x","")</f>
        <v/>
      </c>
      <c r="T152" s="87" t="str">
        <f>IF(ISERROR(FIND('112'!$M$9,G152,1)),"",IF((AND(FIND('112'!$M$9,G152,1)&gt;=1,B152='112'!$K$9,OR($N152='112'!$I$6,$O152='112'!$I$6))),"x",""))</f>
        <v/>
      </c>
      <c r="U152" s="87" t="str">
        <f>IF(ISERROR(FIND('112'!$M$9,G152,1)),"",IF((AND(FIND('112'!$M$9,G152,1)&gt;=1,B152&lt;'112'!$K$9,$N152='112'!$I$6)),"x",""))</f>
        <v/>
      </c>
      <c r="V152" s="87" t="str">
        <f>IF(ISERROR(FIND('112'!$M$9,G152,1)),"",IF((AND(FIND('112'!$M$9,G152,1)&gt;=1,B152&lt;'112'!$K$9,$O152='112'!$I$6)),"x",""))</f>
        <v/>
      </c>
      <c r="W152" s="87" t="str">
        <f>IF(AND($B152&gt;='1331'!$I$9,$B152&lt;='1331'!$J$9,OR($N152=$W$7,$O152=$W$7)),"x","")</f>
        <v/>
      </c>
      <c r="X152" s="87" t="str">
        <f>IF(AND($N152=$W$7,$B152&lt;'1331'!$I$9),"x","")</f>
        <v/>
      </c>
      <c r="Y152" s="87" t="str">
        <f>IF(AND($O152=$W$7,$B152&lt;'1331'!$I$9),"x","")</f>
        <v/>
      </c>
      <c r="Z152" s="87" t="str">
        <f>IF(AND('341-CT'!$H$9=H152,OR(LEFT(N152,3)=$Z$7,LEFT(O152,3)=$Z$7)),"x","")</f>
        <v/>
      </c>
      <c r="AA152" s="87" t="str">
        <f>IF(OR(TH!N152=TH!$AA$7,O152=TH!$AA$7),"x","")</f>
        <v/>
      </c>
      <c r="AB152" s="87" t="str">
        <f>IF(AND(OR(N152="131",O152="131"),H152='131-CT'!$H$9),"x","")</f>
        <v/>
      </c>
      <c r="AC152" s="87"/>
      <c r="AD152" s="87" t="str">
        <f>IF(AND(MONTH(E152)='IN-NX'!$J$5,'IN-NX'!$D$7=D152),"x","")</f>
        <v/>
      </c>
      <c r="AE152" s="87" t="str">
        <f>IF(AND(OR(LEFT(TH!N152,2)="15",LEFT(TH!O152,2)="15"),'152-CT'!$J$8=TH!F152),"x","")</f>
        <v/>
      </c>
      <c r="AF152" s="87" t="str">
        <f>IF(AND(OR(LEFT(TH!N152,2)="15",LEFT(TH!O152,2)="15"),'THE KHO'!$E$7=TH!F152),"x","")</f>
        <v/>
      </c>
      <c r="AG152" s="87" t="str">
        <f>IF(AND(N152="1521",MONTH(C152)='BK NL'!$M$11),"x","")</f>
        <v/>
      </c>
    </row>
    <row r="153" spans="1:33" s="404" customFormat="1" ht="15.75" customHeight="1">
      <c r="A153" s="399" t="str">
        <f>IF(B153&lt;&gt;"",IF(AND(B153&gt;=_TM1,B153&lt;=_TM2,OR(TH!N153="1111",TH!O153="1111")),TH!D153,""),"")</f>
        <v/>
      </c>
      <c r="B153" s="63">
        <f>IF(C153&lt;&gt;"",MONTH(C153),"")</f>
        <v>1</v>
      </c>
      <c r="C153" s="64">
        <v>42375</v>
      </c>
      <c r="D153" s="64" t="s">
        <v>773</v>
      </c>
      <c r="E153" s="64">
        <v>42375</v>
      </c>
      <c r="F153" s="67" t="s">
        <v>783</v>
      </c>
      <c r="G153" s="362" t="s">
        <v>999</v>
      </c>
      <c r="H153" s="76" t="s">
        <v>786</v>
      </c>
      <c r="I153" s="521"/>
      <c r="J153" s="521"/>
      <c r="K153" s="512">
        <v>79.5</v>
      </c>
      <c r="L153" s="521">
        <v>22240</v>
      </c>
      <c r="M153" s="86">
        <f>ROUND(K153*L153,0)</f>
        <v>1768080</v>
      </c>
      <c r="N153" s="66" t="s">
        <v>99</v>
      </c>
      <c r="O153" s="66" t="s">
        <v>282</v>
      </c>
      <c r="P153" s="87" t="str">
        <f>IF(AND('331-CT'!$E$7=TH!H153,OR(N153="331",O153="331")),"x","")</f>
        <v/>
      </c>
      <c r="Q153" s="87" t="str">
        <f>IF(AND(B153='111'!$L$11,OR($N153=$Q$7,$O153=$Q$7)),"x","")</f>
        <v/>
      </c>
      <c r="R153" s="87" t="str">
        <f>IF(AND($N153=$Q$7,$B153&lt;'111'!$L$11),"x","")</f>
        <v/>
      </c>
      <c r="S153" s="87" t="str">
        <f>IF(AND($O153=$Q$7,$B153&lt;'111'!$L$11),"x","")</f>
        <v/>
      </c>
      <c r="T153" s="87" t="str">
        <f>IF(ISERROR(FIND('112'!$M$9,G153,1)),"",IF((AND(FIND('112'!$M$9,G153,1)&gt;=1,B153='112'!$K$9,OR($N153='112'!$I$6,$O153='112'!$I$6))),"x",""))</f>
        <v/>
      </c>
      <c r="U153" s="87" t="str">
        <f>IF(ISERROR(FIND('112'!$M$9,G153,1)),"",IF((AND(FIND('112'!$M$9,G153,1)&gt;=1,B153&lt;'112'!$K$9,$N153='112'!$I$6)),"x",""))</f>
        <v/>
      </c>
      <c r="V153" s="87" t="str">
        <f>IF(ISERROR(FIND('112'!$M$9,G153,1)),"",IF((AND(FIND('112'!$M$9,G153,1)&gt;=1,B153&lt;'112'!$K$9,$O153='112'!$I$6)),"x",""))</f>
        <v/>
      </c>
      <c r="W153" s="87" t="str">
        <f>IF(AND($B153&gt;='1331'!$I$9,$B153&lt;='1331'!$J$9,OR($N153=$W$7,$O153=$W$7)),"x","")</f>
        <v/>
      </c>
      <c r="X153" s="87" t="str">
        <f>IF(AND($N153=$W$7,$B153&lt;'1331'!$I$9),"x","")</f>
        <v/>
      </c>
      <c r="Y153" s="87" t="str">
        <f>IF(AND($O153=$W$7,$B153&lt;'1331'!$I$9),"x","")</f>
        <v/>
      </c>
      <c r="Z153" s="87" t="str">
        <f>IF(AND('341-CT'!$H$9=H153,OR(LEFT(N153,3)=$Z$7,LEFT(O153,3)=$Z$7)),"x","")</f>
        <v/>
      </c>
      <c r="AA153" s="87" t="str">
        <f>IF(OR(TH!N153=TH!$AA$7,O153=TH!$AA$7),"x","")</f>
        <v/>
      </c>
      <c r="AB153" s="87" t="str">
        <f>IF(AND(OR(N153="131",O153="131"),H153='131-CT'!$H$9),"x","")</f>
        <v/>
      </c>
      <c r="AC153" s="87"/>
      <c r="AD153" s="87" t="str">
        <f>IF(AND(MONTH(E153)='IN-NX'!$J$5,'IN-NX'!$D$7=D153),"x","")</f>
        <v/>
      </c>
      <c r="AE153" s="87" t="str">
        <f>IF(AND(OR(LEFT(TH!N153,2)="15",LEFT(TH!O153,2)="15"),'152-CT'!$J$8=TH!F153),"x","")</f>
        <v/>
      </c>
      <c r="AF153" s="87" t="str">
        <f>IF(AND(OR(LEFT(TH!N153,2)="15",LEFT(TH!O153,2)="15"),'THE KHO'!$E$7=TH!F153),"x","")</f>
        <v/>
      </c>
      <c r="AG153" s="87" t="str">
        <f>IF(AND(N153="1521",MONTH(C153)='BK NL'!$M$11),"x","")</f>
        <v/>
      </c>
    </row>
    <row r="154" spans="1:33" s="404" customFormat="1" ht="15.75" customHeight="1">
      <c r="A154" s="399" t="str">
        <f>IF(B154&lt;&gt;"",IF(AND(B154&gt;=_TM1,B154&lt;=_TM2,OR(TH!N154="1111",TH!O154="1111")),TH!D154,""),"")</f>
        <v/>
      </c>
      <c r="B154" s="63">
        <f>IF(C154&lt;&gt;"",MONTH(C154),"")</f>
        <v>1</v>
      </c>
      <c r="C154" s="64">
        <v>42375</v>
      </c>
      <c r="D154" s="64" t="s">
        <v>773</v>
      </c>
      <c r="E154" s="64">
        <v>42375</v>
      </c>
      <c r="F154" s="67" t="s">
        <v>783</v>
      </c>
      <c r="G154" s="362" t="s">
        <v>999</v>
      </c>
      <c r="H154" s="75" t="s">
        <v>787</v>
      </c>
      <c r="I154" s="518"/>
      <c r="J154" s="518"/>
      <c r="K154" s="509">
        <v>111.29</v>
      </c>
      <c r="L154" s="518">
        <v>22240</v>
      </c>
      <c r="M154" s="86">
        <f>ROUND(K154*L154,0)</f>
        <v>2475090</v>
      </c>
      <c r="N154" s="66" t="s">
        <v>99</v>
      </c>
      <c r="O154" s="66" t="s">
        <v>282</v>
      </c>
      <c r="P154" s="87" t="str">
        <f>IF(AND('331-CT'!$E$7=TH!H154,OR(N154="331",O154="331")),"x","")</f>
        <v/>
      </c>
      <c r="Q154" s="87" t="str">
        <f>IF(AND(B154='111'!$L$11,OR($N154=$Q$7,$O154=$Q$7)),"x","")</f>
        <v/>
      </c>
      <c r="R154" s="87" t="str">
        <f>IF(AND($N154=$Q$7,$B154&lt;'111'!$L$11),"x","")</f>
        <v/>
      </c>
      <c r="S154" s="87" t="str">
        <f>IF(AND($O154=$Q$7,$B154&lt;'111'!$L$11),"x","")</f>
        <v/>
      </c>
      <c r="T154" s="87" t="str">
        <f>IF(ISERROR(FIND('112'!$M$9,G154,1)),"",IF((AND(FIND('112'!$M$9,G154,1)&gt;=1,B154='112'!$K$9,OR($N154='112'!$I$6,$O154='112'!$I$6))),"x",""))</f>
        <v/>
      </c>
      <c r="U154" s="87" t="str">
        <f>IF(ISERROR(FIND('112'!$M$9,G154,1)),"",IF((AND(FIND('112'!$M$9,G154,1)&gt;=1,B154&lt;'112'!$K$9,$N154='112'!$I$6)),"x",""))</f>
        <v/>
      </c>
      <c r="V154" s="87" t="str">
        <f>IF(ISERROR(FIND('112'!$M$9,G154,1)),"",IF((AND(FIND('112'!$M$9,G154,1)&gt;=1,B154&lt;'112'!$K$9,$O154='112'!$I$6)),"x",""))</f>
        <v/>
      </c>
      <c r="W154" s="87" t="str">
        <f>IF(AND($B154&gt;='1331'!$I$9,$B154&lt;='1331'!$J$9,OR($N154=$W$7,$O154=$W$7)),"x","")</f>
        <v/>
      </c>
      <c r="X154" s="87" t="str">
        <f>IF(AND($N154=$W$7,$B154&lt;'1331'!$I$9),"x","")</f>
        <v/>
      </c>
      <c r="Y154" s="87" t="str">
        <f>IF(AND($O154=$W$7,$B154&lt;'1331'!$I$9),"x","")</f>
        <v/>
      </c>
      <c r="Z154" s="87" t="str">
        <f>IF(AND('341-CT'!$H$9=H154,OR(LEFT(N154,3)=$Z$7,LEFT(O154,3)=$Z$7)),"x","")</f>
        <v/>
      </c>
      <c r="AA154" s="87" t="str">
        <f>IF(OR(TH!N154=TH!$AA$7,O154=TH!$AA$7),"x","")</f>
        <v/>
      </c>
      <c r="AB154" s="87" t="str">
        <f>IF(AND(OR(N154="131",O154="131"),H154='131-CT'!$H$9),"x","")</f>
        <v/>
      </c>
      <c r="AC154" s="87"/>
      <c r="AD154" s="87" t="str">
        <f>IF(AND(MONTH(E154)='IN-NX'!$J$5,'IN-NX'!$D$7=D154),"x","")</f>
        <v/>
      </c>
      <c r="AE154" s="87" t="str">
        <f>IF(AND(OR(LEFT(TH!N154,2)="15",LEFT(TH!O154,2)="15"),'152-CT'!$J$8=TH!F154),"x","")</f>
        <v/>
      </c>
      <c r="AF154" s="87" t="str">
        <f>IF(AND(OR(LEFT(TH!N154,2)="15",LEFT(TH!O154,2)="15"),'THE KHO'!$E$7=TH!F154),"x","")</f>
        <v/>
      </c>
      <c r="AG154" s="87" t="str">
        <f>IF(AND(N154="1521",MONTH(C154)='BK NL'!$M$11),"x","")</f>
        <v/>
      </c>
    </row>
    <row r="155" spans="1:33" s="404" customFormat="1" ht="15.75" customHeight="1">
      <c r="A155" s="399" t="str">
        <f>IF(B155&lt;&gt;"",IF(AND(B155&gt;=_TM1,B155&lt;=_TM2,OR(TH!N155="1111",TH!O155="1111")),TH!D155,""),"")</f>
        <v>C15</v>
      </c>
      <c r="B155" s="63">
        <f>IF(C155&lt;&gt;"",MONTH(C155),"")</f>
        <v>1</v>
      </c>
      <c r="C155" s="64">
        <v>42376</v>
      </c>
      <c r="D155" s="64" t="s">
        <v>963</v>
      </c>
      <c r="E155" s="64">
        <v>42376</v>
      </c>
      <c r="F155" s="67" t="s">
        <v>810</v>
      </c>
      <c r="G155" s="362" t="s">
        <v>999</v>
      </c>
      <c r="H155" s="75" t="s">
        <v>843</v>
      </c>
      <c r="I155" s="518"/>
      <c r="J155" s="518"/>
      <c r="K155" s="509"/>
      <c r="L155" s="518"/>
      <c r="M155" s="65">
        <v>50000000</v>
      </c>
      <c r="N155" s="66" t="s">
        <v>26</v>
      </c>
      <c r="O155" s="66" t="s">
        <v>63</v>
      </c>
      <c r="P155" s="87" t="str">
        <f>IF(AND('331-CT'!$E$7=TH!H155,OR(N155="331",O155="331")),"x","")</f>
        <v/>
      </c>
      <c r="Q155" s="87" t="str">
        <f>IF(AND(B155='111'!$L$11,OR($N155=$Q$7,$O155=$Q$7)),"x","")</f>
        <v>x</v>
      </c>
      <c r="R155" s="87" t="str">
        <f>IF(AND($N155=$Q$7,$B155&lt;'111'!$L$11),"x","")</f>
        <v/>
      </c>
      <c r="S155" s="87" t="str">
        <f>IF(AND($O155=$Q$7,$B155&lt;'111'!$L$11),"x","")</f>
        <v/>
      </c>
      <c r="T155" s="87" t="str">
        <f>IF(ISERROR(FIND('112'!$M$9,G155,1)),"",IF((AND(FIND('112'!$M$9,G155,1)&gt;=1,B155='112'!$K$9,OR($N155='112'!$I$6,$O155='112'!$I$6))),"x",""))</f>
        <v>x</v>
      </c>
      <c r="U155" s="87" t="str">
        <f>IF(ISERROR(FIND('112'!$M$9,G155,1)),"",IF((AND(FIND('112'!$M$9,G155,1)&gt;=1,B155&lt;'112'!$K$9,$N155='112'!$I$6)),"x",""))</f>
        <v/>
      </c>
      <c r="V155" s="87" t="str">
        <f>IF(ISERROR(FIND('112'!$M$9,G155,1)),"",IF((AND(FIND('112'!$M$9,G155,1)&gt;=1,B155&lt;'112'!$K$9,$O155='112'!$I$6)),"x",""))</f>
        <v/>
      </c>
      <c r="W155" s="87" t="str">
        <f>IF(AND($B155&gt;='1331'!$I$9,$B155&lt;='1331'!$J$9,OR($N155=$W$7,$O155=$W$7)),"x","")</f>
        <v/>
      </c>
      <c r="X155" s="87" t="str">
        <f>IF(AND($N155=$W$7,$B155&lt;'1331'!$I$9),"x","")</f>
        <v/>
      </c>
      <c r="Y155" s="87" t="str">
        <f>IF(AND($O155=$W$7,$B155&lt;'1331'!$I$9),"x","")</f>
        <v/>
      </c>
      <c r="Z155" s="87" t="str">
        <f>IF(AND('341-CT'!$H$9=H155,OR(LEFT(N155,3)=$Z$7,LEFT(O155,3)=$Z$7)),"x","")</f>
        <v/>
      </c>
      <c r="AA155" s="87" t="str">
        <f>IF(OR(TH!N155=TH!$AA$7,O155=TH!$AA$7),"x","")</f>
        <v/>
      </c>
      <c r="AB155" s="87" t="str">
        <f>IF(AND(OR(N155="131",O155="131"),H155='131-CT'!$H$9),"x","")</f>
        <v/>
      </c>
      <c r="AC155" s="87"/>
      <c r="AD155" s="87" t="str">
        <f>IF(AND(MONTH(E155)='IN-NX'!$J$5,'IN-NX'!$D$7=D155),"x","")</f>
        <v/>
      </c>
      <c r="AE155" s="87" t="str">
        <f>IF(AND(OR(LEFT(TH!N155,2)="15",LEFT(TH!O155,2)="15"),'152-CT'!$J$8=TH!F155),"x","")</f>
        <v/>
      </c>
      <c r="AF155" s="87" t="str">
        <f>IF(AND(OR(LEFT(TH!N155,2)="15",LEFT(TH!O155,2)="15"),'THE KHO'!$E$7=TH!F155),"x","")</f>
        <v/>
      </c>
      <c r="AG155" s="87" t="str">
        <f>IF(AND(N155="1521",MONTH(C155)='BK NL'!$M$11),"x","")</f>
        <v/>
      </c>
    </row>
    <row r="156" spans="1:33" s="404" customFormat="1" ht="15.75" customHeight="1">
      <c r="A156" s="399" t="str">
        <f>IF(B156&lt;&gt;"",IF(AND(B156&gt;=_TM1,B156&lt;=_TM2,OR(TH!N156="1111",TH!O156="1111")),TH!D156,""),"")</f>
        <v/>
      </c>
      <c r="B156" s="63">
        <f>IF(C156&lt;&gt;"",MONTH(C156),"")</f>
        <v>1</v>
      </c>
      <c r="C156" s="64">
        <v>42376</v>
      </c>
      <c r="D156" s="64" t="s">
        <v>773</v>
      </c>
      <c r="E156" s="64">
        <v>42376</v>
      </c>
      <c r="F156" s="67" t="s">
        <v>816</v>
      </c>
      <c r="G156" s="362" t="s">
        <v>999</v>
      </c>
      <c r="H156" s="96" t="s">
        <v>683</v>
      </c>
      <c r="I156" s="518"/>
      <c r="J156" s="518"/>
      <c r="K156" s="509"/>
      <c r="L156" s="518"/>
      <c r="M156" s="65">
        <v>38506000</v>
      </c>
      <c r="N156" s="66" t="s">
        <v>8</v>
      </c>
      <c r="O156" s="66" t="s">
        <v>26</v>
      </c>
      <c r="P156" s="87" t="str">
        <f>IF(AND('331-CT'!$E$7=TH!H156,OR(N156="331",O156="331")),"x","")</f>
        <v/>
      </c>
      <c r="Q156" s="87" t="str">
        <f>IF(AND(B156='111'!$L$11,OR($N156=$Q$7,$O156=$Q$7)),"x","")</f>
        <v/>
      </c>
      <c r="R156" s="87" t="str">
        <f>IF(AND($N156=$Q$7,$B156&lt;'111'!$L$11),"x","")</f>
        <v/>
      </c>
      <c r="S156" s="87" t="str">
        <f>IF(AND($O156=$Q$7,$B156&lt;'111'!$L$11),"x","")</f>
        <v/>
      </c>
      <c r="T156" s="87" t="str">
        <f>IF(ISERROR(FIND('112'!$M$9,G156,1)),"",IF((AND(FIND('112'!$M$9,G156,1)&gt;=1,B156='112'!$K$9,OR($N156='112'!$I$6,$O156='112'!$I$6))),"x",""))</f>
        <v>x</v>
      </c>
      <c r="U156" s="87" t="str">
        <f>IF(ISERROR(FIND('112'!$M$9,G156,1)),"",IF((AND(FIND('112'!$M$9,G156,1)&gt;=1,B156&lt;'112'!$K$9,$N156='112'!$I$6)),"x",""))</f>
        <v/>
      </c>
      <c r="V156" s="87" t="str">
        <f>IF(ISERROR(FIND('112'!$M$9,G156,1)),"",IF((AND(FIND('112'!$M$9,G156,1)&gt;=1,B156&lt;'112'!$K$9,$O156='112'!$I$6)),"x",""))</f>
        <v/>
      </c>
      <c r="W156" s="87" t="str">
        <f>IF(AND($B156&gt;='1331'!$I$9,$B156&lt;='1331'!$J$9,OR($N156=$W$7,$O156=$W$7)),"x","")</f>
        <v/>
      </c>
      <c r="X156" s="87" t="str">
        <f>IF(AND($N156=$W$7,$B156&lt;'1331'!$I$9),"x","")</f>
        <v/>
      </c>
      <c r="Y156" s="87" t="str">
        <f>IF(AND($O156=$W$7,$B156&lt;'1331'!$I$9),"x","")</f>
        <v/>
      </c>
      <c r="Z156" s="87" t="str">
        <f>IF(AND('341-CT'!$H$9=H156,OR(LEFT(N156,3)=$Z$7,LEFT(O156,3)=$Z$7)),"x","")</f>
        <v/>
      </c>
      <c r="AA156" s="87" t="str">
        <f>IF(OR(TH!N156=TH!$AA$7,O156=TH!$AA$7),"x","")</f>
        <v/>
      </c>
      <c r="AB156" s="87" t="str">
        <f>IF(AND(OR(N156="131",O156="131"),H156='131-CT'!$H$9),"x","")</f>
        <v/>
      </c>
      <c r="AC156" s="87"/>
      <c r="AD156" s="87" t="str">
        <f>IF(AND(MONTH(E156)='IN-NX'!$J$5,'IN-NX'!$D$7=D156),"x","")</f>
        <v/>
      </c>
      <c r="AE156" s="87" t="str">
        <f>IF(AND(OR(LEFT(TH!N156,2)="15",LEFT(TH!O156,2)="15"),'152-CT'!$J$8=TH!F156),"x","")</f>
        <v/>
      </c>
      <c r="AF156" s="87" t="str">
        <f>IF(AND(OR(LEFT(TH!N156,2)="15",LEFT(TH!O156,2)="15"),'THE KHO'!$E$7=TH!F156),"x","")</f>
        <v/>
      </c>
      <c r="AG156" s="87" t="str">
        <f>IF(AND(N156="1521",MONTH(C156)='BK NL'!$M$11),"x","")</f>
        <v/>
      </c>
    </row>
    <row r="157" spans="1:33" s="404" customFormat="1" ht="15.75" customHeight="1">
      <c r="A157" s="399" t="str">
        <f>IF(B157&lt;&gt;"",IF(AND(B157&gt;=_TM1,B157&lt;=_TM2,OR(TH!N157="1111",TH!O157="1111")),TH!D157,""),"")</f>
        <v/>
      </c>
      <c r="B157" s="63">
        <f>IF(C157&lt;&gt;"",MONTH(C157),"")</f>
        <v>1</v>
      </c>
      <c r="C157" s="64">
        <v>42376</v>
      </c>
      <c r="D157" s="64" t="s">
        <v>773</v>
      </c>
      <c r="E157" s="64">
        <v>42376</v>
      </c>
      <c r="F157" s="67" t="s">
        <v>817</v>
      </c>
      <c r="G157" s="362" t="s">
        <v>999</v>
      </c>
      <c r="H157" s="96"/>
      <c r="I157" s="518"/>
      <c r="J157" s="518"/>
      <c r="K157" s="509"/>
      <c r="L157" s="518"/>
      <c r="M157" s="65">
        <v>44000</v>
      </c>
      <c r="N157" s="66" t="s">
        <v>101</v>
      </c>
      <c r="O157" s="66" t="s">
        <v>26</v>
      </c>
      <c r="P157" s="87" t="str">
        <f>IF(AND('331-CT'!$E$7=TH!H157,OR(N157="331",O157="331")),"x","")</f>
        <v/>
      </c>
      <c r="Q157" s="87" t="str">
        <f>IF(AND(B157='111'!$L$11,OR($N157=$Q$7,$O157=$Q$7)),"x","")</f>
        <v/>
      </c>
      <c r="R157" s="87" t="str">
        <f>IF(AND($N157=$Q$7,$B157&lt;'111'!$L$11),"x","")</f>
        <v/>
      </c>
      <c r="S157" s="87" t="str">
        <f>IF(AND($O157=$Q$7,$B157&lt;'111'!$L$11),"x","")</f>
        <v/>
      </c>
      <c r="T157" s="87" t="str">
        <f>IF(ISERROR(FIND('112'!$M$9,G157,1)),"",IF((AND(FIND('112'!$M$9,G157,1)&gt;=1,B157='112'!$K$9,OR($N157='112'!$I$6,$O157='112'!$I$6))),"x",""))</f>
        <v>x</v>
      </c>
      <c r="U157" s="87" t="str">
        <f>IF(ISERROR(FIND('112'!$M$9,G157,1)),"",IF((AND(FIND('112'!$M$9,G157,1)&gt;=1,B157&lt;'112'!$K$9,$N157='112'!$I$6)),"x",""))</f>
        <v/>
      </c>
      <c r="V157" s="87" t="str">
        <f>IF(ISERROR(FIND('112'!$M$9,G157,1)),"",IF((AND(FIND('112'!$M$9,G157,1)&gt;=1,B157&lt;'112'!$K$9,$O157='112'!$I$6)),"x",""))</f>
        <v/>
      </c>
      <c r="W157" s="87" t="str">
        <f>IF(AND($B157&gt;='1331'!$I$9,$B157&lt;='1331'!$J$9,OR($N157=$W$7,$O157=$W$7)),"x","")</f>
        <v/>
      </c>
      <c r="X157" s="87" t="str">
        <f>IF(AND($N157=$W$7,$B157&lt;'1331'!$I$9),"x","")</f>
        <v/>
      </c>
      <c r="Y157" s="87" t="str">
        <f>IF(AND($O157=$W$7,$B157&lt;'1331'!$I$9),"x","")</f>
        <v/>
      </c>
      <c r="Z157" s="87" t="str">
        <f>IF(AND('341-CT'!$H$9=H157,OR(LEFT(N157,3)=$Z$7,LEFT(O157,3)=$Z$7)),"x","")</f>
        <v/>
      </c>
      <c r="AA157" s="87" t="str">
        <f>IF(OR(TH!N157=TH!$AA$7,O157=TH!$AA$7),"x","")</f>
        <v/>
      </c>
      <c r="AB157" s="87" t="str">
        <f>IF(AND(OR(N157="131",O157="131"),H157='131-CT'!$H$9),"x","")</f>
        <v/>
      </c>
      <c r="AC157" s="87"/>
      <c r="AD157" s="87" t="str">
        <f>IF(AND(MONTH(E157)='IN-NX'!$J$5,'IN-NX'!$D$7=D157),"x","")</f>
        <v/>
      </c>
      <c r="AE157" s="87" t="str">
        <f>IF(AND(OR(LEFT(TH!N157,2)="15",LEFT(TH!O157,2)="15"),'152-CT'!$J$8=TH!F157),"x","")</f>
        <v/>
      </c>
      <c r="AF157" s="87" t="str">
        <f>IF(AND(OR(LEFT(TH!N157,2)="15",LEFT(TH!O157,2)="15"),'THE KHO'!$E$7=TH!F157),"x","")</f>
        <v/>
      </c>
      <c r="AG157" s="87" t="str">
        <f>IF(AND(N157="1521",MONTH(C157)='BK NL'!$M$11),"x","")</f>
        <v/>
      </c>
    </row>
    <row r="158" spans="1:33" s="404" customFormat="1" ht="15.75" customHeight="1">
      <c r="A158" s="399" t="str">
        <f>IF(B158&lt;&gt;"",IF(AND(B158&gt;=_TM1,B158&lt;=_TM2,OR(TH!N158="1111",TH!O158="1111")),TH!D158,""),"")</f>
        <v>C16</v>
      </c>
      <c r="B158" s="63">
        <f>IF(C158&lt;&gt;"",MONTH(C158),"")</f>
        <v>1</v>
      </c>
      <c r="C158" s="64">
        <v>42376</v>
      </c>
      <c r="D158" s="64" t="s">
        <v>964</v>
      </c>
      <c r="E158" s="64">
        <v>42376</v>
      </c>
      <c r="F158" s="67" t="s">
        <v>860</v>
      </c>
      <c r="G158" s="376" t="s">
        <v>898</v>
      </c>
      <c r="H158" s="75" t="s">
        <v>899</v>
      </c>
      <c r="I158" s="518"/>
      <c r="J158" s="518"/>
      <c r="K158" s="509"/>
      <c r="L158" s="518"/>
      <c r="M158" s="65">
        <v>1341060</v>
      </c>
      <c r="N158" s="88" t="s">
        <v>101</v>
      </c>
      <c r="O158" s="66" t="s">
        <v>63</v>
      </c>
      <c r="P158" s="87" t="str">
        <f>IF(AND('331-CT'!$E$7=TH!H158,OR(N158="331",O158="331")),"x","")</f>
        <v/>
      </c>
      <c r="Q158" s="87" t="str">
        <f>IF(AND(B158='111'!$L$11,OR($N158=$Q$7,$O158=$Q$7)),"x","")</f>
        <v>x</v>
      </c>
      <c r="R158" s="87" t="str">
        <f>IF(AND($N158=$Q$7,$B158&lt;'111'!$L$11),"x","")</f>
        <v/>
      </c>
      <c r="S158" s="87" t="str">
        <f>IF(AND($O158=$Q$7,$B158&lt;'111'!$L$11),"x","")</f>
        <v/>
      </c>
      <c r="T158" s="87" t="str">
        <f>IF(ISERROR(FIND('112'!$M$9,G158,1)),"",IF((AND(FIND('112'!$M$9,G158,1)&gt;=1,B158='112'!$K$9,OR($N158='112'!$I$6,$O158='112'!$I$6))),"x",""))</f>
        <v/>
      </c>
      <c r="U158" s="87" t="str">
        <f>IF(ISERROR(FIND('112'!$M$9,G158,1)),"",IF((AND(FIND('112'!$M$9,G158,1)&gt;=1,B158&lt;'112'!$K$9,$N158='112'!$I$6)),"x",""))</f>
        <v/>
      </c>
      <c r="V158" s="87" t="str">
        <f>IF(ISERROR(FIND('112'!$M$9,G158,1)),"",IF((AND(FIND('112'!$M$9,G158,1)&gt;=1,B158&lt;'112'!$K$9,$O158='112'!$I$6)),"x",""))</f>
        <v/>
      </c>
      <c r="W158" s="87" t="str">
        <f>IF(AND($B158&gt;='1331'!$I$9,$B158&lt;='1331'!$J$9,OR($N158=$W$7,$O158=$W$7)),"x","")</f>
        <v/>
      </c>
      <c r="X158" s="87" t="str">
        <f>IF(AND($N158=$W$7,$B158&lt;'1331'!$I$9),"x","")</f>
        <v/>
      </c>
      <c r="Y158" s="87" t="str">
        <f>IF(AND($O158=$W$7,$B158&lt;'1331'!$I$9),"x","")</f>
        <v/>
      </c>
      <c r="Z158" s="87" t="str">
        <f>IF(AND('341-CT'!$H$9=H158,OR(LEFT(N158,3)=$Z$7,LEFT(O158,3)=$Z$7)),"x","")</f>
        <v/>
      </c>
      <c r="AA158" s="87" t="str">
        <f>IF(OR(TH!N158=TH!$AA$7,O158=TH!$AA$7),"x","")</f>
        <v/>
      </c>
      <c r="AB158" s="87" t="str">
        <f>IF(AND(OR(N158="131",O158="131"),H158='131-CT'!$H$9),"x","")</f>
        <v/>
      </c>
      <c r="AC158" s="87"/>
      <c r="AD158" s="87" t="str">
        <f>IF(AND(MONTH(E158)='IN-NX'!$J$5,'IN-NX'!$D$7=D158),"x","")</f>
        <v/>
      </c>
      <c r="AE158" s="87" t="str">
        <f>IF(AND(OR(LEFT(TH!N158,2)="15",LEFT(TH!O158,2)="15"),'152-CT'!$J$8=TH!F158),"x","")</f>
        <v/>
      </c>
      <c r="AF158" s="87" t="str">
        <f>IF(AND(OR(LEFT(TH!N158,2)="15",LEFT(TH!O158,2)="15"),'THE KHO'!$E$7=TH!F158),"x","")</f>
        <v/>
      </c>
      <c r="AG158" s="87" t="str">
        <f>IF(AND(N158="1521",MONTH(C158)='BK NL'!$M$11),"x","")</f>
        <v/>
      </c>
    </row>
    <row r="159" spans="1:33" s="404" customFormat="1" ht="15.75" customHeight="1">
      <c r="A159" s="399" t="str">
        <f>IF(B159&lt;&gt;"",IF(AND(B159&gt;=_TM1,B159&lt;=_TM2,OR(TH!N159="1111",TH!O159="1111")),TH!D159,""),"")</f>
        <v>C16</v>
      </c>
      <c r="B159" s="63">
        <f>IF(C159&lt;&gt;"",MONTH(C159),"")</f>
        <v>1</v>
      </c>
      <c r="C159" s="64">
        <v>42376</v>
      </c>
      <c r="D159" s="64" t="s">
        <v>964</v>
      </c>
      <c r="E159" s="64">
        <v>42376</v>
      </c>
      <c r="F159" s="67" t="s">
        <v>861</v>
      </c>
      <c r="G159" s="376" t="s">
        <v>898</v>
      </c>
      <c r="H159" s="75" t="s">
        <v>899</v>
      </c>
      <c r="I159" s="518"/>
      <c r="J159" s="518"/>
      <c r="K159" s="509"/>
      <c r="L159" s="518"/>
      <c r="M159" s="65">
        <v>134106</v>
      </c>
      <c r="N159" s="88" t="s">
        <v>9</v>
      </c>
      <c r="O159" s="66" t="s">
        <v>63</v>
      </c>
      <c r="P159" s="87" t="str">
        <f>IF(AND('331-CT'!$E$7=TH!H159,OR(N159="331",O159="331")),"x","")</f>
        <v/>
      </c>
      <c r="Q159" s="87" t="str">
        <f>IF(AND(B159='111'!$L$11,OR($N159=$Q$7,$O159=$Q$7)),"x","")</f>
        <v>x</v>
      </c>
      <c r="R159" s="87" t="str">
        <f>IF(AND($N159=$Q$7,$B159&lt;'111'!$L$11),"x","")</f>
        <v/>
      </c>
      <c r="S159" s="87" t="str">
        <f>IF(AND($O159=$Q$7,$B159&lt;'111'!$L$11),"x","")</f>
        <v/>
      </c>
      <c r="T159" s="87" t="str">
        <f>IF(ISERROR(FIND('112'!$M$9,G159,1)),"",IF((AND(FIND('112'!$M$9,G159,1)&gt;=1,B159='112'!$K$9,OR($N159='112'!$I$6,$O159='112'!$I$6))),"x",""))</f>
        <v/>
      </c>
      <c r="U159" s="87" t="str">
        <f>IF(ISERROR(FIND('112'!$M$9,G159,1)),"",IF((AND(FIND('112'!$M$9,G159,1)&gt;=1,B159&lt;'112'!$K$9,$N159='112'!$I$6)),"x",""))</f>
        <v/>
      </c>
      <c r="V159" s="87" t="str">
        <f>IF(ISERROR(FIND('112'!$M$9,G159,1)),"",IF((AND(FIND('112'!$M$9,G159,1)&gt;=1,B159&lt;'112'!$K$9,$O159='112'!$I$6)),"x",""))</f>
        <v/>
      </c>
      <c r="W159" s="87" t="str">
        <f>IF(AND($B159&gt;='1331'!$I$9,$B159&lt;='1331'!$J$9,OR($N159=$W$7,$O159=$W$7)),"x","")</f>
        <v>x</v>
      </c>
      <c r="X159" s="87" t="str">
        <f>IF(AND($N159=$W$7,$B159&lt;'1331'!$I$9),"x","")</f>
        <v/>
      </c>
      <c r="Y159" s="87" t="str">
        <f>IF(AND($O159=$W$7,$B159&lt;'1331'!$I$9),"x","")</f>
        <v/>
      </c>
      <c r="Z159" s="87" t="str">
        <f>IF(AND('341-CT'!$H$9=H159,OR(LEFT(N159,3)=$Z$7,LEFT(O159,3)=$Z$7)),"x","")</f>
        <v/>
      </c>
      <c r="AA159" s="87" t="str">
        <f>IF(OR(TH!N159=TH!$AA$7,O159=TH!$AA$7),"x","")</f>
        <v/>
      </c>
      <c r="AB159" s="87" t="str">
        <f>IF(AND(OR(N159="131",O159="131"),H159='131-CT'!$H$9),"x","")</f>
        <v/>
      </c>
      <c r="AC159" s="87"/>
      <c r="AD159" s="87" t="str">
        <f>IF(AND(MONTH(E159)='IN-NX'!$J$5,'IN-NX'!$D$7=D159),"x","")</f>
        <v/>
      </c>
      <c r="AE159" s="87" t="str">
        <f>IF(AND(OR(LEFT(TH!N159,2)="15",LEFT(TH!O159,2)="15"),'152-CT'!$J$8=TH!F159),"x","")</f>
        <v/>
      </c>
      <c r="AF159" s="87" t="str">
        <f>IF(AND(OR(LEFT(TH!N159,2)="15",LEFT(TH!O159,2)="15"),'THE KHO'!$E$7=TH!F159),"x","")</f>
        <v/>
      </c>
      <c r="AG159" s="87" t="str">
        <f>IF(AND(N159="1521",MONTH(C159)='BK NL'!$M$11),"x","")</f>
        <v/>
      </c>
    </row>
    <row r="160" spans="1:33" s="404" customFormat="1" ht="15.75" customHeight="1">
      <c r="A160" s="399" t="str">
        <f>IF(B160&lt;&gt;"",IF(AND(B160&gt;=_TM1,B160&lt;=_TM2,OR(TH!N160="1111",TH!O160="1111")),TH!D160,""),"")</f>
        <v/>
      </c>
      <c r="B160" s="63">
        <f>IF(C160&lt;&gt;"",MONTH(C160),"")</f>
        <v>1</v>
      </c>
      <c r="C160" s="64">
        <v>42377</v>
      </c>
      <c r="D160" s="64" t="s">
        <v>770</v>
      </c>
      <c r="E160" s="64">
        <v>42377</v>
      </c>
      <c r="F160" s="70" t="s">
        <v>777</v>
      </c>
      <c r="G160" s="362" t="s">
        <v>998</v>
      </c>
      <c r="H160" s="7" t="s">
        <v>652</v>
      </c>
      <c r="I160" s="518"/>
      <c r="J160" s="518"/>
      <c r="K160" s="509">
        <v>4819.12</v>
      </c>
      <c r="L160" s="518">
        <v>22490</v>
      </c>
      <c r="M160" s="86">
        <f>ROUND(K160*L160,0)</f>
        <v>108382009</v>
      </c>
      <c r="N160" s="66" t="s">
        <v>282</v>
      </c>
      <c r="O160" s="66" t="s">
        <v>639</v>
      </c>
      <c r="P160" s="87" t="str">
        <f>IF(AND('331-CT'!$E$7=TH!H160,OR(N160="331",O160="331")),"x","")</f>
        <v/>
      </c>
      <c r="Q160" s="87" t="str">
        <f>IF(AND(B160='111'!$L$11,OR($N160=$Q$7,$O160=$Q$7)),"x","")</f>
        <v/>
      </c>
      <c r="R160" s="87" t="str">
        <f>IF(AND($N160=$Q$7,$B160&lt;'111'!$L$11),"x","")</f>
        <v/>
      </c>
      <c r="S160" s="87" t="str">
        <f>IF(AND($O160=$Q$7,$B160&lt;'111'!$L$11),"x","")</f>
        <v/>
      </c>
      <c r="T160" s="87" t="str">
        <f>IF(ISERROR(FIND('112'!$M$9,G160,1)),"",IF((AND(FIND('112'!$M$9,G160,1)&gt;=1,B160='112'!$K$9,OR($N160='112'!$I$6,$O160='112'!$I$6))),"x",""))</f>
        <v/>
      </c>
      <c r="U160" s="87" t="str">
        <f>IF(ISERROR(FIND('112'!$M$9,G160,1)),"",IF((AND(FIND('112'!$M$9,G160,1)&gt;=1,B160&lt;'112'!$K$9,$N160='112'!$I$6)),"x",""))</f>
        <v/>
      </c>
      <c r="V160" s="87" t="str">
        <f>IF(ISERROR(FIND('112'!$M$9,G160,1)),"",IF((AND(FIND('112'!$M$9,G160,1)&gt;=1,B160&lt;'112'!$K$9,$O160='112'!$I$6)),"x",""))</f>
        <v/>
      </c>
      <c r="W160" s="87" t="str">
        <f>IF(AND($B160&gt;='1331'!$I$9,$B160&lt;='1331'!$J$9,OR($N160=$W$7,$O160=$W$7)),"x","")</f>
        <v/>
      </c>
      <c r="X160" s="87" t="str">
        <f>IF(AND($N160=$W$7,$B160&lt;'1331'!$I$9),"x","")</f>
        <v/>
      </c>
      <c r="Y160" s="87" t="str">
        <f>IF(AND($O160=$W$7,$B160&lt;'1331'!$I$9),"x","")</f>
        <v/>
      </c>
      <c r="Z160" s="87" t="str">
        <f>IF(AND('341-CT'!$H$9=H160,OR(LEFT(N160,3)=$Z$7,LEFT(O160,3)=$Z$7)),"x","")</f>
        <v/>
      </c>
      <c r="AA160" s="87" t="str">
        <f>IF(OR(TH!N160=TH!$AA$7,O160=TH!$AA$7),"x","")</f>
        <v/>
      </c>
      <c r="AB160" s="87" t="str">
        <f>IF(AND(OR(N160="131",O160="131"),H160='131-CT'!$H$9),"x","")</f>
        <v/>
      </c>
      <c r="AC160" s="87"/>
      <c r="AD160" s="87" t="str">
        <f>IF(AND(MONTH(E160)='IN-NX'!$J$5,'IN-NX'!$D$7=D160),"x","")</f>
        <v/>
      </c>
      <c r="AE160" s="87" t="str">
        <f>IF(AND(OR(LEFT(TH!N160,2)="15",LEFT(TH!O160,2)="15"),'152-CT'!$J$8=TH!F160),"x","")</f>
        <v/>
      </c>
      <c r="AF160" s="87" t="str">
        <f>IF(AND(OR(LEFT(TH!N160,2)="15",LEFT(TH!O160,2)="15"),'THE KHO'!$E$7=TH!F160),"x","")</f>
        <v/>
      </c>
      <c r="AG160" s="87" t="str">
        <f>IF(AND(N160="1521",MONTH(C160)='BK NL'!$M$11),"x","")</f>
        <v/>
      </c>
    </row>
    <row r="161" spans="1:33" s="404" customFormat="1" ht="15.75" customHeight="1">
      <c r="A161" s="399" t="str">
        <f>IF(B161&lt;&gt;"",IF(AND(B161&gt;=_TM1,B161&lt;=_TM2,OR(TH!N161="1111",TH!O161="1111")),TH!D161,""),"")</f>
        <v/>
      </c>
      <c r="B161" s="82">
        <f>IF(C161&lt;&gt;"",MONTH(C161),"")</f>
        <v>1</v>
      </c>
      <c r="C161" s="83">
        <v>42377</v>
      </c>
      <c r="D161" s="83" t="s">
        <v>773</v>
      </c>
      <c r="E161" s="83">
        <v>42377</v>
      </c>
      <c r="F161" s="84" t="s">
        <v>782</v>
      </c>
      <c r="G161" s="362" t="s">
        <v>998</v>
      </c>
      <c r="H161" s="85"/>
      <c r="I161" s="516"/>
      <c r="J161" s="516"/>
      <c r="K161" s="507">
        <v>76.069999999999993</v>
      </c>
      <c r="L161" s="516">
        <v>22490</v>
      </c>
      <c r="M161" s="86">
        <f>ROUND(K161*L161,0)</f>
        <v>1710814</v>
      </c>
      <c r="N161" s="87" t="s">
        <v>99</v>
      </c>
      <c r="O161" s="66" t="s">
        <v>282</v>
      </c>
      <c r="P161" s="87" t="str">
        <f>IF(AND('331-CT'!$E$7=TH!H161,OR(N161="331",O161="331")),"x","")</f>
        <v/>
      </c>
      <c r="Q161" s="87" t="str">
        <f>IF(AND(B161='111'!$L$11,OR($N161=$Q$7,$O161=$Q$7)),"x","")</f>
        <v/>
      </c>
      <c r="R161" s="87" t="str">
        <f>IF(AND($N161=$Q$7,$B161&lt;'111'!$L$11),"x","")</f>
        <v/>
      </c>
      <c r="S161" s="87" t="str">
        <f>IF(AND($O161=$Q$7,$B161&lt;'111'!$L$11),"x","")</f>
        <v/>
      </c>
      <c r="T161" s="87" t="str">
        <f>IF(ISERROR(FIND('112'!$M$9,G161,1)),"",IF((AND(FIND('112'!$M$9,G161,1)&gt;=1,B161='112'!$K$9,OR($N161='112'!$I$6,$O161='112'!$I$6))),"x",""))</f>
        <v/>
      </c>
      <c r="U161" s="87" t="str">
        <f>IF(ISERROR(FIND('112'!$M$9,G161,1)),"",IF((AND(FIND('112'!$M$9,G161,1)&gt;=1,B161&lt;'112'!$K$9,$N161='112'!$I$6)),"x",""))</f>
        <v/>
      </c>
      <c r="V161" s="87" t="str">
        <f>IF(ISERROR(FIND('112'!$M$9,G161,1)),"",IF((AND(FIND('112'!$M$9,G161,1)&gt;=1,B161&lt;'112'!$K$9,$O161='112'!$I$6)),"x",""))</f>
        <v/>
      </c>
      <c r="W161" s="87" t="str">
        <f>IF(AND($B161&gt;='1331'!$I$9,$B161&lt;='1331'!$J$9,OR($N161=$W$7,$O161=$W$7)),"x","")</f>
        <v/>
      </c>
      <c r="X161" s="87" t="str">
        <f>IF(AND($N161=$W$7,$B161&lt;'1331'!$I$9),"x","")</f>
        <v/>
      </c>
      <c r="Y161" s="87" t="str">
        <f>IF(AND($O161=$W$7,$B161&lt;'1331'!$I$9),"x","")</f>
        <v/>
      </c>
      <c r="Z161" s="87" t="str">
        <f>IF(AND('341-CT'!$H$9=H161,OR(LEFT(N161,3)=$Z$7,LEFT(O161,3)=$Z$7)),"x","")</f>
        <v/>
      </c>
      <c r="AA161" s="87" t="str">
        <f>IF(OR(TH!N161=TH!$AA$7,O161=TH!$AA$7),"x","")</f>
        <v/>
      </c>
      <c r="AB161" s="87" t="str">
        <f>IF(AND(OR(N161="131",O161="131"),H161='131-CT'!$H$9),"x","")</f>
        <v/>
      </c>
      <c r="AC161" s="87"/>
      <c r="AD161" s="87" t="str">
        <f>IF(AND(MONTH(E161)='IN-NX'!$J$5,'IN-NX'!$D$7=D161),"x","")</f>
        <v/>
      </c>
      <c r="AE161" s="87" t="str">
        <f>IF(AND(OR(LEFT(TH!N161,2)="15",LEFT(TH!O161,2)="15"),'152-CT'!$J$8=TH!F161),"x","")</f>
        <v/>
      </c>
      <c r="AF161" s="87" t="str">
        <f>IF(AND(OR(LEFT(TH!N161,2)="15",LEFT(TH!O161,2)="15"),'THE KHO'!$E$7=TH!F161),"x","")</f>
        <v/>
      </c>
      <c r="AG161" s="87" t="str">
        <f>IF(AND(N161="1521",MONTH(C161)='BK NL'!$M$11),"x","")</f>
        <v/>
      </c>
    </row>
    <row r="162" spans="1:33" s="404" customFormat="1" ht="15.75" customHeight="1">
      <c r="A162" s="399" t="str">
        <f>IF(B162&lt;&gt;"",IF(AND(B162&gt;=_TM1,B162&lt;=_TM2,OR(TH!N162="1111",TH!O162="1111")),TH!D162,""),"")</f>
        <v>C17</v>
      </c>
      <c r="B162" s="63">
        <f>IF(C162&lt;&gt;"",MONTH(C162),"")</f>
        <v>1</v>
      </c>
      <c r="C162" s="64">
        <v>42377</v>
      </c>
      <c r="D162" s="64" t="s">
        <v>965</v>
      </c>
      <c r="E162" s="64">
        <v>42377</v>
      </c>
      <c r="F162" s="67" t="s">
        <v>862</v>
      </c>
      <c r="G162" s="362" t="s">
        <v>900</v>
      </c>
      <c r="H162" s="409" t="s">
        <v>901</v>
      </c>
      <c r="I162" s="522"/>
      <c r="J162" s="522"/>
      <c r="K162" s="513"/>
      <c r="L162" s="522"/>
      <c r="M162" s="65">
        <v>5363636</v>
      </c>
      <c r="N162" s="66" t="s">
        <v>101</v>
      </c>
      <c r="O162" s="66" t="s">
        <v>63</v>
      </c>
      <c r="P162" s="87" t="str">
        <f>IF(AND('331-CT'!$E$7=TH!H162,OR(N162="331",O162="331")),"x","")</f>
        <v/>
      </c>
      <c r="Q162" s="87" t="str">
        <f>IF(AND(B162='111'!$L$11,OR($N162=$Q$7,$O162=$Q$7)),"x","")</f>
        <v>x</v>
      </c>
      <c r="R162" s="87" t="str">
        <f>IF(AND($N162=$Q$7,$B162&lt;'111'!$L$11),"x","")</f>
        <v/>
      </c>
      <c r="S162" s="87" t="str">
        <f>IF(AND($O162=$Q$7,$B162&lt;'111'!$L$11),"x","")</f>
        <v/>
      </c>
      <c r="T162" s="87" t="str">
        <f>IF(ISERROR(FIND('112'!$M$9,G162,1)),"",IF((AND(FIND('112'!$M$9,G162,1)&gt;=1,B162='112'!$K$9,OR($N162='112'!$I$6,$O162='112'!$I$6))),"x",""))</f>
        <v/>
      </c>
      <c r="U162" s="87" t="str">
        <f>IF(ISERROR(FIND('112'!$M$9,G162,1)),"",IF((AND(FIND('112'!$M$9,G162,1)&gt;=1,B162&lt;'112'!$K$9,$N162='112'!$I$6)),"x",""))</f>
        <v/>
      </c>
      <c r="V162" s="87" t="str">
        <f>IF(ISERROR(FIND('112'!$M$9,G162,1)),"",IF((AND(FIND('112'!$M$9,G162,1)&gt;=1,B162&lt;'112'!$K$9,$O162='112'!$I$6)),"x",""))</f>
        <v/>
      </c>
      <c r="W162" s="87" t="str">
        <f>IF(AND($B162&gt;='1331'!$I$9,$B162&lt;='1331'!$J$9,OR($N162=$W$7,$O162=$W$7)),"x","")</f>
        <v/>
      </c>
      <c r="X162" s="87" t="str">
        <f>IF(AND($N162=$W$7,$B162&lt;'1331'!$I$9),"x","")</f>
        <v/>
      </c>
      <c r="Y162" s="87" t="str">
        <f>IF(AND($O162=$W$7,$B162&lt;'1331'!$I$9),"x","")</f>
        <v/>
      </c>
      <c r="Z162" s="87" t="str">
        <f>IF(AND('341-CT'!$H$9=H162,OR(LEFT(N162,3)=$Z$7,LEFT(O162,3)=$Z$7)),"x","")</f>
        <v/>
      </c>
      <c r="AA162" s="87" t="str">
        <f>IF(OR(TH!N162=TH!$AA$7,O162=TH!$AA$7),"x","")</f>
        <v/>
      </c>
      <c r="AB162" s="87" t="str">
        <f>IF(AND(OR(N162="131",O162="131"),H162='131-CT'!$H$9),"x","")</f>
        <v/>
      </c>
      <c r="AC162" s="87"/>
      <c r="AD162" s="87" t="str">
        <f>IF(AND(MONTH(E162)='IN-NX'!$J$5,'IN-NX'!$D$7=D162),"x","")</f>
        <v/>
      </c>
      <c r="AE162" s="87" t="str">
        <f>IF(AND(OR(LEFT(TH!N162,2)="15",LEFT(TH!O162,2)="15"),'152-CT'!$J$8=TH!F162),"x","")</f>
        <v/>
      </c>
      <c r="AF162" s="87" t="str">
        <f>IF(AND(OR(LEFT(TH!N162,2)="15",LEFT(TH!O162,2)="15"),'THE KHO'!$E$7=TH!F162),"x","")</f>
        <v/>
      </c>
      <c r="AG162" s="87" t="str">
        <f>IF(AND(N162="1521",MONTH(C162)='BK NL'!$M$11),"x","")</f>
        <v/>
      </c>
    </row>
    <row r="163" spans="1:33" s="404" customFormat="1" ht="15.75" customHeight="1">
      <c r="A163" s="399" t="str">
        <f>IF(B163&lt;&gt;"",IF(AND(B163&gt;=_TM1,B163&lt;=_TM2,OR(TH!N163="1111",TH!O163="1111")),TH!D163,""),"")</f>
        <v>C17</v>
      </c>
      <c r="B163" s="63">
        <f>IF(C163&lt;&gt;"",MONTH(C163),"")</f>
        <v>1</v>
      </c>
      <c r="C163" s="64">
        <v>42377</v>
      </c>
      <c r="D163" s="64" t="s">
        <v>965</v>
      </c>
      <c r="E163" s="64">
        <v>42377</v>
      </c>
      <c r="F163" s="67" t="s">
        <v>863</v>
      </c>
      <c r="G163" s="362" t="s">
        <v>900</v>
      </c>
      <c r="H163" s="75" t="s">
        <v>901</v>
      </c>
      <c r="I163" s="518"/>
      <c r="J163" s="518"/>
      <c r="K163" s="509"/>
      <c r="L163" s="518"/>
      <c r="M163" s="65">
        <v>536364</v>
      </c>
      <c r="N163" s="66" t="s">
        <v>9</v>
      </c>
      <c r="O163" s="66" t="s">
        <v>63</v>
      </c>
      <c r="P163" s="87" t="str">
        <f>IF(AND('331-CT'!$E$7=TH!H163,OR(N163="331",O163="331")),"x","")</f>
        <v/>
      </c>
      <c r="Q163" s="87" t="str">
        <f>IF(AND(B163='111'!$L$11,OR($N163=$Q$7,$O163=$Q$7)),"x","")</f>
        <v>x</v>
      </c>
      <c r="R163" s="87" t="str">
        <f>IF(AND($N163=$Q$7,$B163&lt;'111'!$L$11),"x","")</f>
        <v/>
      </c>
      <c r="S163" s="87" t="str">
        <f>IF(AND($O163=$Q$7,$B163&lt;'111'!$L$11),"x","")</f>
        <v/>
      </c>
      <c r="T163" s="87" t="str">
        <f>IF(ISERROR(FIND('112'!$M$9,G163,1)),"",IF((AND(FIND('112'!$M$9,G163,1)&gt;=1,B163='112'!$K$9,OR($N163='112'!$I$6,$O163='112'!$I$6))),"x",""))</f>
        <v/>
      </c>
      <c r="U163" s="87" t="str">
        <f>IF(ISERROR(FIND('112'!$M$9,G163,1)),"",IF((AND(FIND('112'!$M$9,G163,1)&gt;=1,B163&lt;'112'!$K$9,$N163='112'!$I$6)),"x",""))</f>
        <v/>
      </c>
      <c r="V163" s="87" t="str">
        <f>IF(ISERROR(FIND('112'!$M$9,G163,1)),"",IF((AND(FIND('112'!$M$9,G163,1)&gt;=1,B163&lt;'112'!$K$9,$O163='112'!$I$6)),"x",""))</f>
        <v/>
      </c>
      <c r="W163" s="87" t="str">
        <f>IF(AND($B163&gt;='1331'!$I$9,$B163&lt;='1331'!$J$9,OR($N163=$W$7,$O163=$W$7)),"x","")</f>
        <v>x</v>
      </c>
      <c r="X163" s="87" t="str">
        <f>IF(AND($N163=$W$7,$B163&lt;'1331'!$I$9),"x","")</f>
        <v/>
      </c>
      <c r="Y163" s="87" t="str">
        <f>IF(AND($O163=$W$7,$B163&lt;'1331'!$I$9),"x","")</f>
        <v/>
      </c>
      <c r="Z163" s="87" t="str">
        <f>IF(AND('341-CT'!$H$9=H163,OR(LEFT(N163,3)=$Z$7,LEFT(O163,3)=$Z$7)),"x","")</f>
        <v/>
      </c>
      <c r="AA163" s="87" t="str">
        <f>IF(OR(TH!N163=TH!$AA$7,O163=TH!$AA$7),"x","")</f>
        <v/>
      </c>
      <c r="AB163" s="87" t="str">
        <f>IF(AND(OR(N163="131",O163="131"),H163='131-CT'!$H$9),"x","")</f>
        <v/>
      </c>
      <c r="AC163" s="87"/>
      <c r="AD163" s="87" t="str">
        <f>IF(AND(MONTH(E163)='IN-NX'!$J$5,'IN-NX'!$D$7=D163),"x","")</f>
        <v/>
      </c>
      <c r="AE163" s="87" t="str">
        <f>IF(AND(OR(LEFT(TH!N163,2)="15",LEFT(TH!O163,2)="15"),'152-CT'!$J$8=TH!F163),"x","")</f>
        <v/>
      </c>
      <c r="AF163" s="87" t="str">
        <f>IF(AND(OR(LEFT(TH!N163,2)="15",LEFT(TH!O163,2)="15"),'THE KHO'!$E$7=TH!F163),"x","")</f>
        <v/>
      </c>
      <c r="AG163" s="87" t="str">
        <f>IF(AND(N163="1521",MONTH(C163)='BK NL'!$M$11),"x","")</f>
        <v/>
      </c>
    </row>
    <row r="164" spans="1:33" s="404" customFormat="1" ht="15.75" customHeight="1">
      <c r="A164" s="399" t="str">
        <f>IF(B164&lt;&gt;"",IF(AND(B164&gt;=_TM1,B164&lt;=_TM2,OR(TH!N164="1111",TH!O164="1111")),TH!D164,""),"")</f>
        <v>C18</v>
      </c>
      <c r="B164" s="63">
        <f>IF(C164&lt;&gt;"",MONTH(C164),"")</f>
        <v>1</v>
      </c>
      <c r="C164" s="64">
        <v>42377</v>
      </c>
      <c r="D164" s="64" t="s">
        <v>966</v>
      </c>
      <c r="E164" s="64">
        <v>42377</v>
      </c>
      <c r="F164" s="67" t="s">
        <v>864</v>
      </c>
      <c r="G164" s="362" t="s">
        <v>902</v>
      </c>
      <c r="H164" s="75" t="s">
        <v>888</v>
      </c>
      <c r="I164" s="518"/>
      <c r="J164" s="518"/>
      <c r="K164" s="509"/>
      <c r="L164" s="518"/>
      <c r="M164" s="65">
        <v>851709</v>
      </c>
      <c r="N164" s="66" t="s">
        <v>101</v>
      </c>
      <c r="O164" s="66" t="s">
        <v>63</v>
      </c>
      <c r="P164" s="87" t="str">
        <f>IF(AND('331-CT'!$E$7=TH!H164,OR(N164="331",O164="331")),"x","")</f>
        <v/>
      </c>
      <c r="Q164" s="87" t="str">
        <f>IF(AND(B164='111'!$L$11,OR($N164=$Q$7,$O164=$Q$7)),"x","")</f>
        <v>x</v>
      </c>
      <c r="R164" s="87" t="str">
        <f>IF(AND($N164=$Q$7,$B164&lt;'111'!$L$11),"x","")</f>
        <v/>
      </c>
      <c r="S164" s="87" t="str">
        <f>IF(AND($O164=$Q$7,$B164&lt;'111'!$L$11),"x","")</f>
        <v/>
      </c>
      <c r="T164" s="87" t="str">
        <f>IF(ISERROR(FIND('112'!$M$9,G164,1)),"",IF((AND(FIND('112'!$M$9,G164,1)&gt;=1,B164='112'!$K$9,OR($N164='112'!$I$6,$O164='112'!$I$6))),"x",""))</f>
        <v/>
      </c>
      <c r="U164" s="87" t="str">
        <f>IF(ISERROR(FIND('112'!$M$9,G164,1)),"",IF((AND(FIND('112'!$M$9,G164,1)&gt;=1,B164&lt;'112'!$K$9,$N164='112'!$I$6)),"x",""))</f>
        <v/>
      </c>
      <c r="V164" s="87" t="str">
        <f>IF(ISERROR(FIND('112'!$M$9,G164,1)),"",IF((AND(FIND('112'!$M$9,G164,1)&gt;=1,B164&lt;'112'!$K$9,$O164='112'!$I$6)),"x",""))</f>
        <v/>
      </c>
      <c r="W164" s="87" t="str">
        <f>IF(AND($B164&gt;='1331'!$I$9,$B164&lt;='1331'!$J$9,OR($N164=$W$7,$O164=$W$7)),"x","")</f>
        <v/>
      </c>
      <c r="X164" s="87" t="str">
        <f>IF(AND($N164=$W$7,$B164&lt;'1331'!$I$9),"x","")</f>
        <v/>
      </c>
      <c r="Y164" s="87" t="str">
        <f>IF(AND($O164=$W$7,$B164&lt;'1331'!$I$9),"x","")</f>
        <v/>
      </c>
      <c r="Z164" s="87" t="str">
        <f>IF(AND('341-CT'!$H$9=H164,OR(LEFT(N164,3)=$Z$7,LEFT(O164,3)=$Z$7)),"x","")</f>
        <v/>
      </c>
      <c r="AA164" s="87" t="str">
        <f>IF(OR(TH!N164=TH!$AA$7,O164=TH!$AA$7),"x","")</f>
        <v/>
      </c>
      <c r="AB164" s="87" t="str">
        <f>IF(AND(OR(N164="131",O164="131"),H164='131-CT'!$H$9),"x","")</f>
        <v/>
      </c>
      <c r="AC164" s="87"/>
      <c r="AD164" s="87" t="str">
        <f>IF(AND(MONTH(E164)='IN-NX'!$J$5,'IN-NX'!$D$7=D164),"x","")</f>
        <v/>
      </c>
      <c r="AE164" s="87" t="str">
        <f>IF(AND(OR(LEFT(TH!N164,2)="15",LEFT(TH!O164,2)="15"),'152-CT'!$J$8=TH!F164),"x","")</f>
        <v/>
      </c>
      <c r="AF164" s="87" t="str">
        <f>IF(AND(OR(LEFT(TH!N164,2)="15",LEFT(TH!O164,2)="15"),'THE KHO'!$E$7=TH!F164),"x","")</f>
        <v/>
      </c>
      <c r="AG164" s="87" t="str">
        <f>IF(AND(N164="1521",MONTH(C164)='BK NL'!$M$11),"x","")</f>
        <v/>
      </c>
    </row>
    <row r="165" spans="1:33" s="404" customFormat="1" ht="15.75" customHeight="1">
      <c r="A165" s="399" t="str">
        <f>IF(B165&lt;&gt;"",IF(AND(B165&gt;=_TM1,B165&lt;=_TM2,OR(TH!N165="1111",TH!O165="1111")),TH!D165,""),"")</f>
        <v>C18</v>
      </c>
      <c r="B165" s="63">
        <f>IF(C165&lt;&gt;"",MONTH(C165),"")</f>
        <v>1</v>
      </c>
      <c r="C165" s="64">
        <v>42377</v>
      </c>
      <c r="D165" s="64" t="s">
        <v>966</v>
      </c>
      <c r="E165" s="64">
        <v>42377</v>
      </c>
      <c r="F165" s="67" t="s">
        <v>865</v>
      </c>
      <c r="G165" s="362" t="s">
        <v>902</v>
      </c>
      <c r="H165" s="409" t="s">
        <v>888</v>
      </c>
      <c r="I165" s="522"/>
      <c r="J165" s="522"/>
      <c r="K165" s="513"/>
      <c r="L165" s="522"/>
      <c r="M165" s="65">
        <v>85171</v>
      </c>
      <c r="N165" s="66" t="s">
        <v>9</v>
      </c>
      <c r="O165" s="66" t="s">
        <v>63</v>
      </c>
      <c r="P165" s="87" t="str">
        <f>IF(AND('331-CT'!$E$7=TH!H165,OR(N165="331",O165="331")),"x","")</f>
        <v/>
      </c>
      <c r="Q165" s="87" t="str">
        <f>IF(AND(B165='111'!$L$11,OR($N165=$Q$7,$O165=$Q$7)),"x","")</f>
        <v>x</v>
      </c>
      <c r="R165" s="87" t="str">
        <f>IF(AND($N165=$Q$7,$B165&lt;'111'!$L$11),"x","")</f>
        <v/>
      </c>
      <c r="S165" s="87" t="str">
        <f>IF(AND($O165=$Q$7,$B165&lt;'111'!$L$11),"x","")</f>
        <v/>
      </c>
      <c r="T165" s="87" t="str">
        <f>IF(ISERROR(FIND('112'!$M$9,G165,1)),"",IF((AND(FIND('112'!$M$9,G165,1)&gt;=1,B165='112'!$K$9,OR($N165='112'!$I$6,$O165='112'!$I$6))),"x",""))</f>
        <v/>
      </c>
      <c r="U165" s="87" t="str">
        <f>IF(ISERROR(FIND('112'!$M$9,G165,1)),"",IF((AND(FIND('112'!$M$9,G165,1)&gt;=1,B165&lt;'112'!$K$9,$N165='112'!$I$6)),"x",""))</f>
        <v/>
      </c>
      <c r="V165" s="87" t="str">
        <f>IF(ISERROR(FIND('112'!$M$9,G165,1)),"",IF((AND(FIND('112'!$M$9,G165,1)&gt;=1,B165&lt;'112'!$K$9,$O165='112'!$I$6)),"x",""))</f>
        <v/>
      </c>
      <c r="W165" s="87" t="str">
        <f>IF(AND($B165&gt;='1331'!$I$9,$B165&lt;='1331'!$J$9,OR($N165=$W$7,$O165=$W$7)),"x","")</f>
        <v>x</v>
      </c>
      <c r="X165" s="87" t="str">
        <f>IF(AND($N165=$W$7,$B165&lt;'1331'!$I$9),"x","")</f>
        <v/>
      </c>
      <c r="Y165" s="87" t="str">
        <f>IF(AND($O165=$W$7,$B165&lt;'1331'!$I$9),"x","")</f>
        <v/>
      </c>
      <c r="Z165" s="87" t="str">
        <f>IF(AND('341-CT'!$H$9=H165,OR(LEFT(N165,3)=$Z$7,LEFT(O165,3)=$Z$7)),"x","")</f>
        <v/>
      </c>
      <c r="AA165" s="87" t="str">
        <f>IF(OR(TH!N165=TH!$AA$7,O165=TH!$AA$7),"x","")</f>
        <v/>
      </c>
      <c r="AB165" s="87" t="str">
        <f>IF(AND(OR(N165="131",O165="131"),H165='131-CT'!$H$9),"x","")</f>
        <v/>
      </c>
      <c r="AC165" s="87"/>
      <c r="AD165" s="87" t="str">
        <f>IF(AND(MONTH(E165)='IN-NX'!$J$5,'IN-NX'!$D$7=D165),"x","")</f>
        <v/>
      </c>
      <c r="AE165" s="87" t="str">
        <f>IF(AND(OR(LEFT(TH!N165,2)="15",LEFT(TH!O165,2)="15"),'152-CT'!$J$8=TH!F165),"x","")</f>
        <v/>
      </c>
      <c r="AF165" s="87" t="str">
        <f>IF(AND(OR(LEFT(TH!N165,2)="15",LEFT(TH!O165,2)="15"),'THE KHO'!$E$7=TH!F165),"x","")</f>
        <v/>
      </c>
      <c r="AG165" s="87" t="str">
        <f>IF(AND(N165="1521",MONTH(C165)='BK NL'!$M$11),"x","")</f>
        <v/>
      </c>
    </row>
    <row r="166" spans="1:33" s="404" customFormat="1" ht="15.75" customHeight="1">
      <c r="A166" s="399" t="str">
        <f>IF(B166&lt;&gt;"",IF(AND(B166&gt;=_TM1,B166&lt;=_TM2,OR(TH!N166="1111",TH!O166="1111")),TH!D166,""),"")</f>
        <v/>
      </c>
      <c r="B166" s="63">
        <f>IF(C166&lt;&gt;"",MONTH(C166),"")</f>
        <v>1</v>
      </c>
      <c r="C166" s="64">
        <v>42380</v>
      </c>
      <c r="D166" s="64" t="s">
        <v>773</v>
      </c>
      <c r="E166" s="64">
        <v>42380</v>
      </c>
      <c r="F166" s="67" t="s">
        <v>778</v>
      </c>
      <c r="G166" s="362" t="s">
        <v>999</v>
      </c>
      <c r="H166" s="75"/>
      <c r="I166" s="518"/>
      <c r="J166" s="518"/>
      <c r="K166" s="509">
        <v>15</v>
      </c>
      <c r="L166" s="518">
        <v>22440</v>
      </c>
      <c r="M166" s="86">
        <f>ROUND(K166*L166,0)</f>
        <v>336600</v>
      </c>
      <c r="N166" s="66" t="s">
        <v>101</v>
      </c>
      <c r="O166" s="66" t="s">
        <v>282</v>
      </c>
      <c r="P166" s="87" t="str">
        <f>IF(AND('331-CT'!$E$7=TH!H166,OR(N166="331",O166="331")),"x","")</f>
        <v/>
      </c>
      <c r="Q166" s="87" t="str">
        <f>IF(AND(B166='111'!$L$11,OR($N166=$Q$7,$O166=$Q$7)),"x","")</f>
        <v/>
      </c>
      <c r="R166" s="87" t="str">
        <f>IF(AND($N166=$Q$7,$B166&lt;'111'!$L$11),"x","")</f>
        <v/>
      </c>
      <c r="S166" s="87" t="str">
        <f>IF(AND($O166=$Q$7,$B166&lt;'111'!$L$11),"x","")</f>
        <v/>
      </c>
      <c r="T166" s="87" t="str">
        <f>IF(ISERROR(FIND('112'!$M$9,G166,1)),"",IF((AND(FIND('112'!$M$9,G166,1)&gt;=1,B166='112'!$K$9,OR($N166='112'!$I$6,$O166='112'!$I$6))),"x",""))</f>
        <v/>
      </c>
      <c r="U166" s="87" t="str">
        <f>IF(ISERROR(FIND('112'!$M$9,G166,1)),"",IF((AND(FIND('112'!$M$9,G166,1)&gt;=1,B166&lt;'112'!$K$9,$N166='112'!$I$6)),"x",""))</f>
        <v/>
      </c>
      <c r="V166" s="87" t="str">
        <f>IF(ISERROR(FIND('112'!$M$9,G166,1)),"",IF((AND(FIND('112'!$M$9,G166,1)&gt;=1,B166&lt;'112'!$K$9,$O166='112'!$I$6)),"x",""))</f>
        <v/>
      </c>
      <c r="W166" s="87" t="str">
        <f>IF(AND($B166&gt;='1331'!$I$9,$B166&lt;='1331'!$J$9,OR($N166=$W$7,$O166=$W$7)),"x","")</f>
        <v/>
      </c>
      <c r="X166" s="87" t="str">
        <f>IF(AND($N166=$W$7,$B166&lt;'1331'!$I$9),"x","")</f>
        <v/>
      </c>
      <c r="Y166" s="87" t="str">
        <f>IF(AND($O166=$W$7,$B166&lt;'1331'!$I$9),"x","")</f>
        <v/>
      </c>
      <c r="Z166" s="87" t="str">
        <f>IF(AND('341-CT'!$H$9=H166,OR(LEFT(N166,3)=$Z$7,LEFT(O166,3)=$Z$7)),"x","")</f>
        <v/>
      </c>
      <c r="AA166" s="87" t="str">
        <f>IF(OR(TH!N166=TH!$AA$7,O166=TH!$AA$7),"x","")</f>
        <v/>
      </c>
      <c r="AB166" s="87" t="str">
        <f>IF(AND(OR(N166="131",O166="131"),H166='131-CT'!$H$9),"x","")</f>
        <v/>
      </c>
      <c r="AC166" s="87"/>
      <c r="AD166" s="87" t="str">
        <f>IF(AND(MONTH(E166)='IN-NX'!$J$5,'IN-NX'!$D$7=D166),"x","")</f>
        <v/>
      </c>
      <c r="AE166" s="87" t="str">
        <f>IF(AND(OR(LEFT(TH!N166,2)="15",LEFT(TH!O166,2)="15"),'152-CT'!$J$8=TH!F166),"x","")</f>
        <v/>
      </c>
      <c r="AF166" s="87" t="str">
        <f>IF(AND(OR(LEFT(TH!N166,2)="15",LEFT(TH!O166,2)="15"),'THE KHO'!$E$7=TH!F166),"x","")</f>
        <v/>
      </c>
      <c r="AG166" s="87" t="str">
        <f>IF(AND(N166="1521",MONTH(C166)='BK NL'!$M$11),"x","")</f>
        <v/>
      </c>
    </row>
    <row r="167" spans="1:33" s="404" customFormat="1" ht="15.75" customHeight="1">
      <c r="A167" s="399" t="str">
        <f>IF(B167&lt;&gt;"",IF(AND(B167&gt;=_TM1,B167&lt;=_TM2,OR(TH!N167="1111",TH!O167="1111")),TH!D167,""),"")</f>
        <v/>
      </c>
      <c r="B167" s="63">
        <f>IF(C167&lt;&gt;"",MONTH(C167),"")</f>
        <v>1</v>
      </c>
      <c r="C167" s="64">
        <v>42380</v>
      </c>
      <c r="D167" s="64" t="s">
        <v>773</v>
      </c>
      <c r="E167" s="64">
        <v>42380</v>
      </c>
      <c r="F167" s="67" t="s">
        <v>779</v>
      </c>
      <c r="G167" s="362" t="s">
        <v>999</v>
      </c>
      <c r="H167" s="75"/>
      <c r="I167" s="518"/>
      <c r="J167" s="518"/>
      <c r="K167" s="509">
        <v>1.5</v>
      </c>
      <c r="L167" s="518">
        <v>22440</v>
      </c>
      <c r="M167" s="86">
        <f>ROUND(K167*L167,0)</f>
        <v>33660</v>
      </c>
      <c r="N167" s="66" t="s">
        <v>9</v>
      </c>
      <c r="O167" s="66" t="s">
        <v>282</v>
      </c>
      <c r="P167" s="87" t="str">
        <f>IF(AND('331-CT'!$E$7=TH!H167,OR(N167="331",O167="331")),"x","")</f>
        <v/>
      </c>
      <c r="Q167" s="87" t="str">
        <f>IF(AND(B167='111'!$L$11,OR($N167=$Q$7,$O167=$Q$7)),"x","")</f>
        <v/>
      </c>
      <c r="R167" s="87" t="str">
        <f>IF(AND($N167=$Q$7,$B167&lt;'111'!$L$11),"x","")</f>
        <v/>
      </c>
      <c r="S167" s="87" t="str">
        <f>IF(AND($O167=$Q$7,$B167&lt;'111'!$L$11),"x","")</f>
        <v/>
      </c>
      <c r="T167" s="87" t="str">
        <f>IF(ISERROR(FIND('112'!$M$9,G167,1)),"",IF((AND(FIND('112'!$M$9,G167,1)&gt;=1,B167='112'!$K$9,OR($N167='112'!$I$6,$O167='112'!$I$6))),"x",""))</f>
        <v/>
      </c>
      <c r="U167" s="87" t="str">
        <f>IF(ISERROR(FIND('112'!$M$9,G167,1)),"",IF((AND(FIND('112'!$M$9,G167,1)&gt;=1,B167&lt;'112'!$K$9,$N167='112'!$I$6)),"x",""))</f>
        <v/>
      </c>
      <c r="V167" s="87" t="str">
        <f>IF(ISERROR(FIND('112'!$M$9,G167,1)),"",IF((AND(FIND('112'!$M$9,G167,1)&gt;=1,B167&lt;'112'!$K$9,$O167='112'!$I$6)),"x",""))</f>
        <v/>
      </c>
      <c r="W167" s="87" t="str">
        <f>IF(AND($B167&gt;='1331'!$I$9,$B167&lt;='1331'!$J$9,OR($N167=$W$7,$O167=$W$7)),"x","")</f>
        <v>x</v>
      </c>
      <c r="X167" s="87" t="str">
        <f>IF(AND($N167=$W$7,$B167&lt;'1331'!$I$9),"x","")</f>
        <v/>
      </c>
      <c r="Y167" s="87" t="str">
        <f>IF(AND($O167=$W$7,$B167&lt;'1331'!$I$9),"x","")</f>
        <v/>
      </c>
      <c r="Z167" s="87" t="str">
        <f>IF(AND('341-CT'!$H$9=H167,OR(LEFT(N167,3)=$Z$7,LEFT(O167,3)=$Z$7)),"x","")</f>
        <v/>
      </c>
      <c r="AA167" s="87" t="str">
        <f>IF(OR(TH!N167=TH!$AA$7,O167=TH!$AA$7),"x","")</f>
        <v/>
      </c>
      <c r="AB167" s="87" t="str">
        <f>IF(AND(OR(N167="131",O167="131"),H167='131-CT'!$H$9),"x","")</f>
        <v/>
      </c>
      <c r="AC167" s="87"/>
      <c r="AD167" s="87" t="str">
        <f>IF(AND(MONTH(E167)='IN-NX'!$J$5,'IN-NX'!$D$7=D167),"x","")</f>
        <v/>
      </c>
      <c r="AE167" s="87" t="str">
        <f>IF(AND(OR(LEFT(TH!N167,2)="15",LEFT(TH!O167,2)="15"),'152-CT'!$J$8=TH!F167),"x","")</f>
        <v/>
      </c>
      <c r="AF167" s="87" t="str">
        <f>IF(AND(OR(LEFT(TH!N167,2)="15",LEFT(TH!O167,2)="15"),'THE KHO'!$E$7=TH!F167),"x","")</f>
        <v/>
      </c>
      <c r="AG167" s="87" t="str">
        <f>IF(AND(N167="1521",MONTH(C167)='BK NL'!$M$11),"x","")</f>
        <v/>
      </c>
    </row>
    <row r="168" spans="1:33" s="404" customFormat="1" ht="15.75" customHeight="1">
      <c r="A168" s="399" t="str">
        <f>IF(B168&lt;&gt;"",IF(AND(B168&gt;=_TM1,B168&lt;=_TM2,OR(TH!N168="1111",TH!O168="1111")),TH!D168,""),"")</f>
        <v>C19</v>
      </c>
      <c r="B168" s="63">
        <f>IF(C168&lt;&gt;"",MONTH(C168),"")</f>
        <v>1</v>
      </c>
      <c r="C168" s="64">
        <v>42380</v>
      </c>
      <c r="D168" s="64" t="s">
        <v>967</v>
      </c>
      <c r="E168" s="64">
        <v>42380</v>
      </c>
      <c r="F168" s="70" t="s">
        <v>850</v>
      </c>
      <c r="G168" s="362" t="s">
        <v>903</v>
      </c>
      <c r="H168" s="75" t="s">
        <v>888</v>
      </c>
      <c r="I168" s="518"/>
      <c r="J168" s="518"/>
      <c r="K168" s="509"/>
      <c r="L168" s="518"/>
      <c r="M168" s="65">
        <v>595900</v>
      </c>
      <c r="N168" s="66" t="s">
        <v>298</v>
      </c>
      <c r="O168" s="66" t="s">
        <v>63</v>
      </c>
      <c r="P168" s="87" t="str">
        <f>IF(AND('331-CT'!$E$7=TH!H168,OR(N168="331",O168="331")),"x","")</f>
        <v/>
      </c>
      <c r="Q168" s="87" t="str">
        <f>IF(AND(B168='111'!$L$11,OR($N168=$Q$7,$O168=$Q$7)),"x","")</f>
        <v>x</v>
      </c>
      <c r="R168" s="87" t="str">
        <f>IF(AND($N168=$Q$7,$B168&lt;'111'!$L$11),"x","")</f>
        <v/>
      </c>
      <c r="S168" s="87" t="str">
        <f>IF(AND($O168=$Q$7,$B168&lt;'111'!$L$11),"x","")</f>
        <v/>
      </c>
      <c r="T168" s="87" t="str">
        <f>IF(ISERROR(FIND('112'!$M$9,G168,1)),"",IF((AND(FIND('112'!$M$9,G168,1)&gt;=1,B168='112'!$K$9,OR($N168='112'!$I$6,$O168='112'!$I$6))),"x",""))</f>
        <v/>
      </c>
      <c r="U168" s="87" t="str">
        <f>IF(ISERROR(FIND('112'!$M$9,G168,1)),"",IF((AND(FIND('112'!$M$9,G168,1)&gt;=1,B168&lt;'112'!$K$9,$N168='112'!$I$6)),"x",""))</f>
        <v/>
      </c>
      <c r="V168" s="87" t="str">
        <f>IF(ISERROR(FIND('112'!$M$9,G168,1)),"",IF((AND(FIND('112'!$M$9,G168,1)&gt;=1,B168&lt;'112'!$K$9,$O168='112'!$I$6)),"x",""))</f>
        <v/>
      </c>
      <c r="W168" s="87" t="str">
        <f>IF(AND($B168&gt;='1331'!$I$9,$B168&lt;='1331'!$J$9,OR($N168=$W$7,$O168=$W$7)),"x","")</f>
        <v/>
      </c>
      <c r="X168" s="87" t="str">
        <f>IF(AND($N168=$W$7,$B168&lt;'1331'!$I$9),"x","")</f>
        <v/>
      </c>
      <c r="Y168" s="87" t="str">
        <f>IF(AND($O168=$W$7,$B168&lt;'1331'!$I$9),"x","")</f>
        <v/>
      </c>
      <c r="Z168" s="87" t="str">
        <f>IF(AND('341-CT'!$H$9=H168,OR(LEFT(N168,3)=$Z$7,LEFT(O168,3)=$Z$7)),"x","")</f>
        <v/>
      </c>
      <c r="AA168" s="87" t="str">
        <f>IF(OR(TH!N168=TH!$AA$7,O168=TH!$AA$7),"x","")</f>
        <v/>
      </c>
      <c r="AB168" s="87" t="str">
        <f>IF(AND(OR(N168="131",O168="131"),H168='131-CT'!$H$9),"x","")</f>
        <v/>
      </c>
      <c r="AC168" s="87"/>
      <c r="AD168" s="87" t="str">
        <f>IF(AND(MONTH(E168)='IN-NX'!$J$5,'IN-NX'!$D$7=D168),"x","")</f>
        <v/>
      </c>
      <c r="AE168" s="87" t="str">
        <f>IF(AND(OR(LEFT(TH!N168,2)="15",LEFT(TH!O168,2)="15"),'152-CT'!$J$8=TH!F168),"x","")</f>
        <v/>
      </c>
      <c r="AF168" s="87" t="str">
        <f>IF(AND(OR(LEFT(TH!N168,2)="15",LEFT(TH!O168,2)="15"),'THE KHO'!$E$7=TH!F168),"x","")</f>
        <v/>
      </c>
      <c r="AG168" s="87" t="str">
        <f>IF(AND(N168="1521",MONTH(C168)='BK NL'!$M$11),"x","")</f>
        <v/>
      </c>
    </row>
    <row r="169" spans="1:33" s="404" customFormat="1" ht="15.75" customHeight="1">
      <c r="A169" s="399" t="str">
        <f>IF(B169&lt;&gt;"",IF(AND(B169&gt;=_TM1,B169&lt;=_TM2,OR(TH!N169="1111",TH!O169="1111")),TH!D169,""),"")</f>
        <v>C19</v>
      </c>
      <c r="B169" s="63">
        <f>IF(C169&lt;&gt;"",MONTH(C169),"")</f>
        <v>1</v>
      </c>
      <c r="C169" s="64">
        <v>42380</v>
      </c>
      <c r="D169" s="64" t="s">
        <v>967</v>
      </c>
      <c r="E169" s="64">
        <v>42380</v>
      </c>
      <c r="F169" s="67" t="s">
        <v>851</v>
      </c>
      <c r="G169" s="376" t="s">
        <v>903</v>
      </c>
      <c r="H169" s="75" t="s">
        <v>888</v>
      </c>
      <c r="I169" s="518"/>
      <c r="J169" s="518"/>
      <c r="K169" s="509"/>
      <c r="L169" s="518"/>
      <c r="M169" s="65">
        <v>59590</v>
      </c>
      <c r="N169" s="66" t="s">
        <v>9</v>
      </c>
      <c r="O169" s="66" t="s">
        <v>63</v>
      </c>
      <c r="P169" s="87" t="str">
        <f>IF(AND('331-CT'!$E$7=TH!H169,OR(N169="331",O169="331")),"x","")</f>
        <v/>
      </c>
      <c r="Q169" s="87" t="str">
        <f>IF(AND(B169='111'!$L$11,OR($N169=$Q$7,$O169=$Q$7)),"x","")</f>
        <v>x</v>
      </c>
      <c r="R169" s="87" t="str">
        <f>IF(AND($N169=$Q$7,$B169&lt;'111'!$L$11),"x","")</f>
        <v/>
      </c>
      <c r="S169" s="87" t="str">
        <f>IF(AND($O169=$Q$7,$B169&lt;'111'!$L$11),"x","")</f>
        <v/>
      </c>
      <c r="T169" s="87" t="str">
        <f>IF(ISERROR(FIND('112'!$M$9,G169,1)),"",IF((AND(FIND('112'!$M$9,G169,1)&gt;=1,B169='112'!$K$9,OR($N169='112'!$I$6,$O169='112'!$I$6))),"x",""))</f>
        <v/>
      </c>
      <c r="U169" s="87" t="str">
        <f>IF(ISERROR(FIND('112'!$M$9,G169,1)),"",IF((AND(FIND('112'!$M$9,G169,1)&gt;=1,B169&lt;'112'!$K$9,$N169='112'!$I$6)),"x",""))</f>
        <v/>
      </c>
      <c r="V169" s="87" t="str">
        <f>IF(ISERROR(FIND('112'!$M$9,G169,1)),"",IF((AND(FIND('112'!$M$9,G169,1)&gt;=1,B169&lt;'112'!$K$9,$O169='112'!$I$6)),"x",""))</f>
        <v/>
      </c>
      <c r="W169" s="87" t="str">
        <f>IF(AND($B169&gt;='1331'!$I$9,$B169&lt;='1331'!$J$9,OR($N169=$W$7,$O169=$W$7)),"x","")</f>
        <v>x</v>
      </c>
      <c r="X169" s="87" t="str">
        <f>IF(AND($N169=$W$7,$B169&lt;'1331'!$I$9),"x","")</f>
        <v/>
      </c>
      <c r="Y169" s="87" t="str">
        <f>IF(AND($O169=$W$7,$B169&lt;'1331'!$I$9),"x","")</f>
        <v/>
      </c>
      <c r="Z169" s="87" t="str">
        <f>IF(AND('341-CT'!$H$9=H169,OR(LEFT(N169,3)=$Z$7,LEFT(O169,3)=$Z$7)),"x","")</f>
        <v/>
      </c>
      <c r="AA169" s="87" t="str">
        <f>IF(OR(TH!N169=TH!$AA$7,O169=TH!$AA$7),"x","")</f>
        <v/>
      </c>
      <c r="AB169" s="87" t="str">
        <f>IF(AND(OR(N169="131",O169="131"),H169='131-CT'!$H$9),"x","")</f>
        <v/>
      </c>
      <c r="AC169" s="87"/>
      <c r="AD169" s="87" t="str">
        <f>IF(AND(MONTH(E169)='IN-NX'!$J$5,'IN-NX'!$D$7=D169),"x","")</f>
        <v/>
      </c>
      <c r="AE169" s="87" t="str">
        <f>IF(AND(OR(LEFT(TH!N169,2)="15",LEFT(TH!O169,2)="15"),'152-CT'!$J$8=TH!F169),"x","")</f>
        <v/>
      </c>
      <c r="AF169" s="87" t="str">
        <f>IF(AND(OR(LEFT(TH!N169,2)="15",LEFT(TH!O169,2)="15"),'THE KHO'!$E$7=TH!F169),"x","")</f>
        <v/>
      </c>
      <c r="AG169" s="87" t="str">
        <f>IF(AND(N169="1521",MONTH(C169)='BK NL'!$M$11),"x","")</f>
        <v/>
      </c>
    </row>
    <row r="170" spans="1:33" s="404" customFormat="1" ht="15.75" customHeight="1">
      <c r="A170" s="399" t="str">
        <f>IF(B170&lt;&gt;"",IF(AND(B170&gt;=_TM1,B170&lt;=_TM2,OR(TH!N170="1111",TH!O170="1111")),TH!D170,""),"")</f>
        <v>C20</v>
      </c>
      <c r="B170" s="63">
        <f>IF(C170&lt;&gt;"",MONTH(C170),"")</f>
        <v>1</v>
      </c>
      <c r="C170" s="64">
        <v>42381</v>
      </c>
      <c r="D170" s="64" t="s">
        <v>968</v>
      </c>
      <c r="E170" s="64">
        <v>42381</v>
      </c>
      <c r="F170" s="67" t="s">
        <v>855</v>
      </c>
      <c r="G170" s="376" t="s">
        <v>904</v>
      </c>
      <c r="H170" s="75" t="s">
        <v>888</v>
      </c>
      <c r="I170" s="518"/>
      <c r="J170" s="518"/>
      <c r="K170" s="509"/>
      <c r="L170" s="518"/>
      <c r="M170" s="65">
        <v>790873</v>
      </c>
      <c r="N170" s="66" t="s">
        <v>101</v>
      </c>
      <c r="O170" s="66" t="s">
        <v>63</v>
      </c>
      <c r="P170" s="87" t="str">
        <f>IF(AND('331-CT'!$E$7=TH!H170,OR(N170="331",O170="331")),"x","")</f>
        <v/>
      </c>
      <c r="Q170" s="87" t="str">
        <f>IF(AND(B170='111'!$L$11,OR($N170=$Q$7,$O170=$Q$7)),"x","")</f>
        <v>x</v>
      </c>
      <c r="R170" s="87" t="str">
        <f>IF(AND($N170=$Q$7,$B170&lt;'111'!$L$11),"x","")</f>
        <v/>
      </c>
      <c r="S170" s="87" t="str">
        <f>IF(AND($O170=$Q$7,$B170&lt;'111'!$L$11),"x","")</f>
        <v/>
      </c>
      <c r="T170" s="87" t="str">
        <f>IF(ISERROR(FIND('112'!$M$9,G170,1)),"",IF((AND(FIND('112'!$M$9,G170,1)&gt;=1,B170='112'!$K$9,OR($N170='112'!$I$6,$O170='112'!$I$6))),"x",""))</f>
        <v/>
      </c>
      <c r="U170" s="87" t="str">
        <f>IF(ISERROR(FIND('112'!$M$9,G170,1)),"",IF((AND(FIND('112'!$M$9,G170,1)&gt;=1,B170&lt;'112'!$K$9,$N170='112'!$I$6)),"x",""))</f>
        <v/>
      </c>
      <c r="V170" s="87" t="str">
        <f>IF(ISERROR(FIND('112'!$M$9,G170,1)),"",IF((AND(FIND('112'!$M$9,G170,1)&gt;=1,B170&lt;'112'!$K$9,$O170='112'!$I$6)),"x",""))</f>
        <v/>
      </c>
      <c r="W170" s="87" t="str">
        <f>IF(AND($B170&gt;='1331'!$I$9,$B170&lt;='1331'!$J$9,OR($N170=$W$7,$O170=$W$7)),"x","")</f>
        <v/>
      </c>
      <c r="X170" s="87" t="str">
        <f>IF(AND($N170=$W$7,$B170&lt;'1331'!$I$9),"x","")</f>
        <v/>
      </c>
      <c r="Y170" s="87" t="str">
        <f>IF(AND($O170=$W$7,$B170&lt;'1331'!$I$9),"x","")</f>
        <v/>
      </c>
      <c r="Z170" s="87" t="str">
        <f>IF(AND('341-CT'!$H$9=H170,OR(LEFT(N170,3)=$Z$7,LEFT(O170,3)=$Z$7)),"x","")</f>
        <v/>
      </c>
      <c r="AA170" s="87" t="str">
        <f>IF(OR(TH!N170=TH!$AA$7,O170=TH!$AA$7),"x","")</f>
        <v/>
      </c>
      <c r="AB170" s="87" t="str">
        <f>IF(AND(OR(N170="131",O170="131"),H170='131-CT'!$H$9),"x","")</f>
        <v/>
      </c>
      <c r="AC170" s="87"/>
      <c r="AD170" s="87" t="str">
        <f>IF(AND(MONTH(E170)='IN-NX'!$J$5,'IN-NX'!$D$7=D170),"x","")</f>
        <v/>
      </c>
      <c r="AE170" s="87" t="str">
        <f>IF(AND(OR(LEFT(TH!N170,2)="15",LEFT(TH!O170,2)="15"),'152-CT'!$J$8=TH!F170),"x","")</f>
        <v/>
      </c>
      <c r="AF170" s="87" t="str">
        <f>IF(AND(OR(LEFT(TH!N170,2)="15",LEFT(TH!O170,2)="15"),'THE KHO'!$E$7=TH!F170),"x","")</f>
        <v/>
      </c>
      <c r="AG170" s="87" t="str">
        <f>IF(AND(N170="1521",MONTH(C170)='BK NL'!$M$11),"x","")</f>
        <v/>
      </c>
    </row>
    <row r="171" spans="1:33" s="404" customFormat="1" ht="15.75" customHeight="1">
      <c r="A171" s="399" t="str">
        <f>IF(B171&lt;&gt;"",IF(AND(B171&gt;=_TM1,B171&lt;=_TM2,OR(TH!N171="1111",TH!O171="1111")),TH!D171,""),"")</f>
        <v>C20</v>
      </c>
      <c r="B171" s="63">
        <f>IF(C171&lt;&gt;"",MONTH(C171),"")</f>
        <v>1</v>
      </c>
      <c r="C171" s="64">
        <v>42381</v>
      </c>
      <c r="D171" s="64" t="s">
        <v>968</v>
      </c>
      <c r="E171" s="64">
        <v>42381</v>
      </c>
      <c r="F171" s="67" t="s">
        <v>856</v>
      </c>
      <c r="G171" s="376" t="s">
        <v>904</v>
      </c>
      <c r="H171" s="75" t="s">
        <v>888</v>
      </c>
      <c r="I171" s="518"/>
      <c r="J171" s="518"/>
      <c r="K171" s="509"/>
      <c r="L171" s="518"/>
      <c r="M171" s="65">
        <v>79087</v>
      </c>
      <c r="N171" s="66" t="s">
        <v>9</v>
      </c>
      <c r="O171" s="66" t="s">
        <v>63</v>
      </c>
      <c r="P171" s="87" t="str">
        <f>IF(AND('331-CT'!$E$7=TH!H171,OR(N171="331",O171="331")),"x","")</f>
        <v/>
      </c>
      <c r="Q171" s="87" t="str">
        <f>IF(AND(B171='111'!$L$11,OR($N171=$Q$7,$O171=$Q$7)),"x","")</f>
        <v>x</v>
      </c>
      <c r="R171" s="87" t="str">
        <f>IF(AND($N171=$Q$7,$B171&lt;'111'!$L$11),"x","")</f>
        <v/>
      </c>
      <c r="S171" s="87" t="str">
        <f>IF(AND($O171=$Q$7,$B171&lt;'111'!$L$11),"x","")</f>
        <v/>
      </c>
      <c r="T171" s="87" t="str">
        <f>IF(ISERROR(FIND('112'!$M$9,G171,1)),"",IF((AND(FIND('112'!$M$9,G171,1)&gt;=1,B171='112'!$K$9,OR($N171='112'!$I$6,$O171='112'!$I$6))),"x",""))</f>
        <v/>
      </c>
      <c r="U171" s="87" t="str">
        <f>IF(ISERROR(FIND('112'!$M$9,G171,1)),"",IF((AND(FIND('112'!$M$9,G171,1)&gt;=1,B171&lt;'112'!$K$9,$N171='112'!$I$6)),"x",""))</f>
        <v/>
      </c>
      <c r="V171" s="87" t="str">
        <f>IF(ISERROR(FIND('112'!$M$9,G171,1)),"",IF((AND(FIND('112'!$M$9,G171,1)&gt;=1,B171&lt;'112'!$K$9,$O171='112'!$I$6)),"x",""))</f>
        <v/>
      </c>
      <c r="W171" s="87" t="str">
        <f>IF(AND($B171&gt;='1331'!$I$9,$B171&lt;='1331'!$J$9,OR($N171=$W$7,$O171=$W$7)),"x","")</f>
        <v>x</v>
      </c>
      <c r="X171" s="87" t="str">
        <f>IF(AND($N171=$W$7,$B171&lt;'1331'!$I$9),"x","")</f>
        <v/>
      </c>
      <c r="Y171" s="87" t="str">
        <f>IF(AND($O171=$W$7,$B171&lt;'1331'!$I$9),"x","")</f>
        <v/>
      </c>
      <c r="Z171" s="87" t="str">
        <f>IF(AND('341-CT'!$H$9=H171,OR(LEFT(N171,3)=$Z$7,LEFT(O171,3)=$Z$7)),"x","")</f>
        <v/>
      </c>
      <c r="AA171" s="87" t="str">
        <f>IF(OR(TH!N171=TH!$AA$7,O171=TH!$AA$7),"x","")</f>
        <v/>
      </c>
      <c r="AB171" s="87" t="str">
        <f>IF(AND(OR(N171="131",O171="131"),H171='131-CT'!$H$9),"x","")</f>
        <v/>
      </c>
      <c r="AC171" s="87"/>
      <c r="AD171" s="87" t="str">
        <f>IF(AND(MONTH(E171)='IN-NX'!$J$5,'IN-NX'!$D$7=D171),"x","")</f>
        <v/>
      </c>
      <c r="AE171" s="87" t="str">
        <f>IF(AND(OR(LEFT(TH!N171,2)="15",LEFT(TH!O171,2)="15"),'152-CT'!$J$8=TH!F171),"x","")</f>
        <v/>
      </c>
      <c r="AF171" s="87" t="str">
        <f>IF(AND(OR(LEFT(TH!N171,2)="15",LEFT(TH!O171,2)="15"),'THE KHO'!$E$7=TH!F171),"x","")</f>
        <v/>
      </c>
      <c r="AG171" s="87" t="str">
        <f>IF(AND(N171="1521",MONTH(C171)='BK NL'!$M$11),"x","")</f>
        <v/>
      </c>
    </row>
    <row r="172" spans="1:33" ht="15.75" customHeight="1">
      <c r="A172" s="399" t="str">
        <f>IF(B172&lt;&gt;"",IF(AND(B172&gt;=_TM1,B172&lt;=_TM2,OR(TH!N172="1111",TH!O172="1111")),TH!D172,""),"")</f>
        <v>C21</v>
      </c>
      <c r="B172" s="63">
        <f>IF(C172&lt;&gt;"",MONTH(C172),"")</f>
        <v>1</v>
      </c>
      <c r="C172" s="64">
        <v>42381</v>
      </c>
      <c r="D172" s="64" t="s">
        <v>969</v>
      </c>
      <c r="E172" s="64">
        <v>42381</v>
      </c>
      <c r="F172" s="67" t="s">
        <v>866</v>
      </c>
      <c r="G172" s="376" t="s">
        <v>905</v>
      </c>
      <c r="H172" s="75" t="s">
        <v>906</v>
      </c>
      <c r="I172" s="518"/>
      <c r="J172" s="518"/>
      <c r="K172" s="509"/>
      <c r="L172" s="518"/>
      <c r="M172" s="65">
        <v>3325000</v>
      </c>
      <c r="N172" s="66" t="s">
        <v>101</v>
      </c>
      <c r="O172" s="66" t="s">
        <v>63</v>
      </c>
      <c r="P172" s="87" t="str">
        <f>IF(AND('331-CT'!$E$7=TH!H172,OR(N172="331",O172="331")),"x","")</f>
        <v/>
      </c>
      <c r="Q172" s="87" t="str">
        <f>IF(AND(B172='111'!$L$11,OR($N172=$Q$7,$O172=$Q$7)),"x","")</f>
        <v>x</v>
      </c>
      <c r="R172" s="87" t="str">
        <f>IF(AND($N172=$Q$7,$B172&lt;'111'!$L$11),"x","")</f>
        <v/>
      </c>
      <c r="S172" s="87" t="str">
        <f>IF(AND($O172=$Q$7,$B172&lt;'111'!$L$11),"x","")</f>
        <v/>
      </c>
      <c r="T172" s="87" t="str">
        <f>IF(ISERROR(FIND('112'!$M$9,G172,1)),"",IF((AND(FIND('112'!$M$9,G172,1)&gt;=1,B172='112'!$K$9,OR($N172='112'!$I$6,$O172='112'!$I$6))),"x",""))</f>
        <v/>
      </c>
      <c r="U172" s="87" t="str">
        <f>IF(ISERROR(FIND('112'!$M$9,G172,1)),"",IF((AND(FIND('112'!$M$9,G172,1)&gt;=1,B172&lt;'112'!$K$9,$N172='112'!$I$6)),"x",""))</f>
        <v/>
      </c>
      <c r="V172" s="87" t="str">
        <f>IF(ISERROR(FIND('112'!$M$9,G172,1)),"",IF((AND(FIND('112'!$M$9,G172,1)&gt;=1,B172&lt;'112'!$K$9,$O172='112'!$I$6)),"x",""))</f>
        <v/>
      </c>
      <c r="W172" s="87" t="str">
        <f>IF(AND($B172&gt;='1331'!$I$9,$B172&lt;='1331'!$J$9,OR($N172=$W$7,$O172=$W$7)),"x","")</f>
        <v/>
      </c>
      <c r="X172" s="87" t="str">
        <f>IF(AND($N172=$W$7,$B172&lt;'1331'!$I$9),"x","")</f>
        <v/>
      </c>
      <c r="Y172" s="87" t="str">
        <f>IF(AND($O172=$W$7,$B172&lt;'1331'!$I$9),"x","")</f>
        <v/>
      </c>
      <c r="Z172" s="87" t="str">
        <f>IF(AND('341-CT'!$H$9=H172,OR(LEFT(N172,3)=$Z$7,LEFT(O172,3)=$Z$7)),"x","")</f>
        <v/>
      </c>
      <c r="AA172" s="87" t="str">
        <f>IF(OR(TH!N172=TH!$AA$7,O172=TH!$AA$7),"x","")</f>
        <v/>
      </c>
      <c r="AB172" s="87" t="str">
        <f>IF(AND(OR(N172="131",O172="131"),H172='131-CT'!$H$9),"x","")</f>
        <v/>
      </c>
      <c r="AC172" s="87"/>
      <c r="AD172" s="87" t="str">
        <f>IF(AND(MONTH(E172)='IN-NX'!$J$5,'IN-NX'!$D$7=D172),"x","")</f>
        <v/>
      </c>
      <c r="AE172" s="87" t="str">
        <f>IF(AND(OR(LEFT(TH!N172,2)="15",LEFT(TH!O172,2)="15"),'152-CT'!$J$8=TH!F172),"x","")</f>
        <v/>
      </c>
      <c r="AF172" s="87" t="str">
        <f>IF(AND(OR(LEFT(TH!N172,2)="15",LEFT(TH!O172,2)="15"),'THE KHO'!$E$7=TH!F172),"x","")</f>
        <v/>
      </c>
      <c r="AG172" s="87" t="str">
        <f>IF(AND(N172="1521",MONTH(C172)='BK NL'!$M$11),"x","")</f>
        <v/>
      </c>
    </row>
    <row r="173" spans="1:33" ht="15.75" customHeight="1">
      <c r="A173" s="399" t="str">
        <f>IF(B173&lt;&gt;"",IF(AND(B173&gt;=_TM1,B173&lt;=_TM2,OR(TH!N173="1111",TH!O173="1111")),TH!D173,""),"")</f>
        <v>C21</v>
      </c>
      <c r="B173" s="63">
        <f>IF(C173&lt;&gt;"",MONTH(C173),"")</f>
        <v>1</v>
      </c>
      <c r="C173" s="64">
        <v>42381</v>
      </c>
      <c r="D173" s="64" t="s">
        <v>969</v>
      </c>
      <c r="E173" s="64">
        <v>42381</v>
      </c>
      <c r="F173" s="67" t="s">
        <v>867</v>
      </c>
      <c r="G173" s="376" t="s">
        <v>905</v>
      </c>
      <c r="H173" s="75" t="s">
        <v>906</v>
      </c>
      <c r="I173" s="518"/>
      <c r="J173" s="518"/>
      <c r="K173" s="509"/>
      <c r="L173" s="518"/>
      <c r="M173" s="65">
        <v>332500</v>
      </c>
      <c r="N173" s="66" t="s">
        <v>9</v>
      </c>
      <c r="O173" s="66" t="s">
        <v>63</v>
      </c>
      <c r="P173" s="87" t="str">
        <f>IF(AND('331-CT'!$E$7=TH!H173,OR(N173="331",O173="331")),"x","")</f>
        <v/>
      </c>
      <c r="Q173" s="87" t="str">
        <f>IF(AND(B173='111'!$L$11,OR($N173=$Q$7,$O173=$Q$7)),"x","")</f>
        <v>x</v>
      </c>
      <c r="R173" s="87" t="str">
        <f>IF(AND($N173=$Q$7,$B173&lt;'111'!$L$11),"x","")</f>
        <v/>
      </c>
      <c r="S173" s="87" t="str">
        <f>IF(AND($O173=$Q$7,$B173&lt;'111'!$L$11),"x","")</f>
        <v/>
      </c>
      <c r="T173" s="87" t="str">
        <f>IF(ISERROR(FIND('112'!$M$9,G173,1)),"",IF((AND(FIND('112'!$M$9,G173,1)&gt;=1,B173='112'!$K$9,OR($N173='112'!$I$6,$O173='112'!$I$6))),"x",""))</f>
        <v/>
      </c>
      <c r="U173" s="87" t="str">
        <f>IF(ISERROR(FIND('112'!$M$9,G173,1)),"",IF((AND(FIND('112'!$M$9,G173,1)&gt;=1,B173&lt;'112'!$K$9,$N173='112'!$I$6)),"x",""))</f>
        <v/>
      </c>
      <c r="V173" s="87" t="str">
        <f>IF(ISERROR(FIND('112'!$M$9,G173,1)),"",IF((AND(FIND('112'!$M$9,G173,1)&gt;=1,B173&lt;'112'!$K$9,$O173='112'!$I$6)),"x",""))</f>
        <v/>
      </c>
      <c r="W173" s="87" t="str">
        <f>IF(AND($B173&gt;='1331'!$I$9,$B173&lt;='1331'!$J$9,OR($N173=$W$7,$O173=$W$7)),"x","")</f>
        <v>x</v>
      </c>
      <c r="X173" s="87" t="str">
        <f>IF(AND($N173=$W$7,$B173&lt;'1331'!$I$9),"x","")</f>
        <v/>
      </c>
      <c r="Y173" s="87" t="str">
        <f>IF(AND($O173=$W$7,$B173&lt;'1331'!$I$9),"x","")</f>
        <v/>
      </c>
      <c r="Z173" s="87" t="str">
        <f>IF(AND('341-CT'!$H$9=H173,OR(LEFT(N173,3)=$Z$7,LEFT(O173,3)=$Z$7)),"x","")</f>
        <v/>
      </c>
      <c r="AA173" s="87" t="str">
        <f>IF(OR(TH!N173=TH!$AA$7,O173=TH!$AA$7),"x","")</f>
        <v/>
      </c>
      <c r="AB173" s="87" t="str">
        <f>IF(AND(OR(N173="131",O173="131"),H173='131-CT'!$H$9),"x","")</f>
        <v/>
      </c>
      <c r="AC173" s="87"/>
      <c r="AD173" s="87" t="str">
        <f>IF(AND(MONTH(E173)='IN-NX'!$J$5,'IN-NX'!$D$7=D173),"x","")</f>
        <v/>
      </c>
      <c r="AE173" s="87" t="str">
        <f>IF(AND(OR(LEFT(TH!N173,2)="15",LEFT(TH!O173,2)="15"),'152-CT'!$J$8=TH!F173),"x","")</f>
        <v/>
      </c>
      <c r="AF173" s="87" t="str">
        <f>IF(AND(OR(LEFT(TH!N173,2)="15",LEFT(TH!O173,2)="15"),'THE KHO'!$E$7=TH!F173),"x","")</f>
        <v/>
      </c>
      <c r="AG173" s="87" t="str">
        <f>IF(AND(N173="1521",MONTH(C173)='BK NL'!$M$11),"x","")</f>
        <v/>
      </c>
    </row>
    <row r="174" spans="1:33" ht="15.75" customHeight="1">
      <c r="A174" s="399" t="str">
        <f>IF(B174&lt;&gt;"",IF(AND(B174&gt;=_TM1,B174&lt;=_TM2,OR(TH!N174="1111",TH!O174="1111")),TH!D174,""),"")</f>
        <v/>
      </c>
      <c r="B174" s="63">
        <f>IF(C174&lt;&gt;"",MONTH(C174),"")</f>
        <v>1</v>
      </c>
      <c r="C174" s="64">
        <v>42382</v>
      </c>
      <c r="D174" s="64" t="s">
        <v>773</v>
      </c>
      <c r="E174" s="64">
        <v>42382</v>
      </c>
      <c r="F174" s="67" t="s">
        <v>818</v>
      </c>
      <c r="G174" s="362" t="s">
        <v>999</v>
      </c>
      <c r="H174" s="96"/>
      <c r="I174" s="521"/>
      <c r="J174" s="521"/>
      <c r="K174" s="512"/>
      <c r="L174" s="521"/>
      <c r="M174" s="65">
        <v>2000000</v>
      </c>
      <c r="N174" s="66" t="s">
        <v>79</v>
      </c>
      <c r="O174" s="66" t="s">
        <v>26</v>
      </c>
      <c r="P174" s="87" t="str">
        <f>IF(AND('331-CT'!$E$7=TH!H174,OR(N174="331",O174="331")),"x","")</f>
        <v/>
      </c>
      <c r="Q174" s="87" t="str">
        <f>IF(AND(B174='111'!$L$11,OR($N174=$Q$7,$O174=$Q$7)),"x","")</f>
        <v/>
      </c>
      <c r="R174" s="87" t="str">
        <f>IF(AND($N174=$Q$7,$B174&lt;'111'!$L$11),"x","")</f>
        <v/>
      </c>
      <c r="S174" s="87" t="str">
        <f>IF(AND($O174=$Q$7,$B174&lt;'111'!$L$11),"x","")</f>
        <v/>
      </c>
      <c r="T174" s="87" t="str">
        <f>IF(ISERROR(FIND('112'!$M$9,G174,1)),"",IF((AND(FIND('112'!$M$9,G174,1)&gt;=1,B174='112'!$K$9,OR($N174='112'!$I$6,$O174='112'!$I$6))),"x",""))</f>
        <v>x</v>
      </c>
      <c r="U174" s="87" t="str">
        <f>IF(ISERROR(FIND('112'!$M$9,G174,1)),"",IF((AND(FIND('112'!$M$9,G174,1)&gt;=1,B174&lt;'112'!$K$9,$N174='112'!$I$6)),"x",""))</f>
        <v/>
      </c>
      <c r="V174" s="87" t="str">
        <f>IF(ISERROR(FIND('112'!$M$9,G174,1)),"",IF((AND(FIND('112'!$M$9,G174,1)&gt;=1,B174&lt;'112'!$K$9,$O174='112'!$I$6)),"x",""))</f>
        <v/>
      </c>
      <c r="W174" s="87" t="str">
        <f>IF(AND($B174&gt;='1331'!$I$9,$B174&lt;='1331'!$J$9,OR($N174=$W$7,$O174=$W$7)),"x","")</f>
        <v/>
      </c>
      <c r="X174" s="87" t="str">
        <f>IF(AND($N174=$W$7,$B174&lt;'1331'!$I$9),"x","")</f>
        <v/>
      </c>
      <c r="Y174" s="87" t="str">
        <f>IF(AND($O174=$W$7,$B174&lt;'1331'!$I$9),"x","")</f>
        <v/>
      </c>
      <c r="Z174" s="87" t="str">
        <f>IF(AND('341-CT'!$H$9=H174,OR(LEFT(N174,3)=$Z$7,LEFT(O174,3)=$Z$7)),"x","")</f>
        <v/>
      </c>
      <c r="AA174" s="87" t="str">
        <f>IF(OR(TH!N174=TH!$AA$7,O174=TH!$AA$7),"x","")</f>
        <v/>
      </c>
      <c r="AB174" s="87" t="str">
        <f>IF(AND(OR(N174="131",O174="131"),H174='131-CT'!$H$9),"x","")</f>
        <v/>
      </c>
      <c r="AC174" s="87"/>
      <c r="AD174" s="87" t="str">
        <f>IF(AND(MONTH(E174)='IN-NX'!$J$5,'IN-NX'!$D$7=D174),"x","")</f>
        <v/>
      </c>
      <c r="AE174" s="87" t="str">
        <f>IF(AND(OR(LEFT(TH!N174,2)="15",LEFT(TH!O174,2)="15"),'152-CT'!$J$8=TH!F174),"x","")</f>
        <v/>
      </c>
      <c r="AF174" s="87" t="str">
        <f>IF(AND(OR(LEFT(TH!N174,2)="15",LEFT(TH!O174,2)="15"),'THE KHO'!$E$7=TH!F174),"x","")</f>
        <v/>
      </c>
      <c r="AG174" s="87" t="str">
        <f>IF(AND(N174="1521",MONTH(C174)='BK NL'!$M$11),"x","")</f>
        <v/>
      </c>
    </row>
    <row r="175" spans="1:33" ht="15.75" customHeight="1">
      <c r="A175" s="399" t="str">
        <f>IF(B175&lt;&gt;"",IF(AND(B175&gt;=_TM1,B175&lt;=_TM2,OR(TH!N175="1111",TH!O175="1111")),TH!D175,""),"")</f>
        <v/>
      </c>
      <c r="B175" s="63">
        <f>IF(C175&lt;&gt;"",MONTH(C175),"")</f>
        <v>1</v>
      </c>
      <c r="C175" s="64">
        <v>42382</v>
      </c>
      <c r="D175" s="64" t="s">
        <v>600</v>
      </c>
      <c r="E175" s="64">
        <v>42382</v>
      </c>
      <c r="F175" s="67" t="s">
        <v>938</v>
      </c>
      <c r="G175" s="362"/>
      <c r="H175" s="96"/>
      <c r="I175" s="521"/>
      <c r="J175" s="521"/>
      <c r="K175" s="512"/>
      <c r="L175" s="521"/>
      <c r="M175" s="65">
        <v>2000000</v>
      </c>
      <c r="N175" s="66" t="s">
        <v>101</v>
      </c>
      <c r="O175" s="66" t="s">
        <v>79</v>
      </c>
      <c r="P175" s="87" t="str">
        <f>IF(AND('331-CT'!$E$7=TH!H175,OR(N175="331",O175="331")),"x","")</f>
        <v/>
      </c>
      <c r="Q175" s="87" t="str">
        <f>IF(AND(B175='111'!$L$11,OR($N175=$Q$7,$O175=$Q$7)),"x","")</f>
        <v/>
      </c>
      <c r="R175" s="87" t="str">
        <f>IF(AND($N175=$Q$7,$B175&lt;'111'!$L$11),"x","")</f>
        <v/>
      </c>
      <c r="S175" s="87" t="str">
        <f>IF(AND($O175=$Q$7,$B175&lt;'111'!$L$11),"x","")</f>
        <v/>
      </c>
      <c r="T175" s="87" t="str">
        <f>IF(ISERROR(FIND('112'!$M$9,G175,1)),"",IF((AND(FIND('112'!$M$9,G175,1)&gt;=1,B175='112'!$K$9,OR($N175='112'!$I$6,$O175='112'!$I$6))),"x",""))</f>
        <v/>
      </c>
      <c r="U175" s="87" t="str">
        <f>IF(ISERROR(FIND('112'!$M$9,G175,1)),"",IF((AND(FIND('112'!$M$9,G175,1)&gt;=1,B175&lt;'112'!$K$9,$N175='112'!$I$6)),"x",""))</f>
        <v/>
      </c>
      <c r="V175" s="87" t="str">
        <f>IF(ISERROR(FIND('112'!$M$9,G175,1)),"",IF((AND(FIND('112'!$M$9,G175,1)&gt;=1,B175&lt;'112'!$K$9,$O175='112'!$I$6)),"x",""))</f>
        <v/>
      </c>
      <c r="W175" s="87" t="str">
        <f>IF(AND($B175&gt;='1331'!$I$9,$B175&lt;='1331'!$J$9,OR($N175=$W$7,$O175=$W$7)),"x","")</f>
        <v/>
      </c>
      <c r="X175" s="87" t="str">
        <f>IF(AND($N175=$W$7,$B175&lt;'1331'!$I$9),"x","")</f>
        <v/>
      </c>
      <c r="Y175" s="87" t="str">
        <f>IF(AND($O175=$W$7,$B175&lt;'1331'!$I$9),"x","")</f>
        <v/>
      </c>
      <c r="Z175" s="87" t="str">
        <f>IF(AND('341-CT'!$H$9=H175,OR(LEFT(N175,3)=$Z$7,LEFT(O175,3)=$Z$7)),"x","")</f>
        <v/>
      </c>
      <c r="AA175" s="87" t="str">
        <f>IF(OR(TH!N175=TH!$AA$7,O175=TH!$AA$7),"x","")</f>
        <v/>
      </c>
      <c r="AB175" s="87" t="str">
        <f>IF(AND(OR(N175="131",O175="131"),H175='131-CT'!$H$9),"x","")</f>
        <v/>
      </c>
      <c r="AC175" s="87"/>
      <c r="AD175" s="87" t="str">
        <f>IF(AND(MONTH(E175)='IN-NX'!$J$5,'IN-NX'!$D$7=D175),"x","")</f>
        <v/>
      </c>
      <c r="AE175" s="87" t="str">
        <f>IF(AND(OR(LEFT(TH!N175,2)="15",LEFT(TH!O175,2)="15"),'152-CT'!$J$8=TH!F175),"x","")</f>
        <v/>
      </c>
      <c r="AF175" s="87" t="str">
        <f>IF(AND(OR(LEFT(TH!N175,2)="15",LEFT(TH!O175,2)="15"),'THE KHO'!$E$7=TH!F175),"x","")</f>
        <v/>
      </c>
      <c r="AG175" s="87" t="str">
        <f>IF(AND(N175="1521",MONTH(C175)='BK NL'!$M$11),"x","")</f>
        <v/>
      </c>
    </row>
    <row r="176" spans="1:33" ht="15.75" customHeight="1">
      <c r="A176" s="399" t="str">
        <f>IF(B176&lt;&gt;"",IF(AND(B176&gt;=_TM1,B176&lt;=_TM2,OR(TH!N176="1111",TH!O176="1111")),TH!D176,""),"")</f>
        <v/>
      </c>
      <c r="B176" s="63">
        <f>IF(C176&lt;&gt;"",MONTH(C176),"")</f>
        <v>1</v>
      </c>
      <c r="C176" s="64">
        <v>42383</v>
      </c>
      <c r="D176" s="64" t="s">
        <v>770</v>
      </c>
      <c r="E176" s="64">
        <v>42383</v>
      </c>
      <c r="F176" s="67" t="s">
        <v>771</v>
      </c>
      <c r="G176" s="362" t="s">
        <v>1005</v>
      </c>
      <c r="H176" s="75"/>
      <c r="I176" s="518"/>
      <c r="J176" s="518"/>
      <c r="K176" s="509">
        <v>4700</v>
      </c>
      <c r="L176" s="518">
        <v>22440</v>
      </c>
      <c r="M176" s="86">
        <f>ROUND(K176*L176,0)</f>
        <v>105468000</v>
      </c>
      <c r="N176" s="66" t="s">
        <v>282</v>
      </c>
      <c r="O176" s="66" t="s">
        <v>282</v>
      </c>
      <c r="P176" s="87" t="str">
        <f>IF(AND('331-CT'!$E$7=TH!H176,OR(N176="331",O176="331")),"x","")</f>
        <v/>
      </c>
      <c r="Q176" s="87" t="str">
        <f>IF(AND(B176='111'!$L$11,OR($N176=$Q$7,$O176=$Q$7)),"x","")</f>
        <v/>
      </c>
      <c r="R176" s="87" t="str">
        <f>IF(AND($N176=$Q$7,$B176&lt;'111'!$L$11),"x","")</f>
        <v/>
      </c>
      <c r="S176" s="87" t="str">
        <f>IF(AND($O176=$Q$7,$B176&lt;'111'!$L$11),"x","")</f>
        <v/>
      </c>
      <c r="T176" s="87" t="str">
        <f>IF(ISERROR(FIND('112'!$M$9,G176,1)),"",IF((AND(FIND('112'!$M$9,G176,1)&gt;=1,B176='112'!$K$9,OR($N176='112'!$I$6,$O176='112'!$I$6))),"x",""))</f>
        <v/>
      </c>
      <c r="U176" s="87" t="str">
        <f>IF(ISERROR(FIND('112'!$M$9,G176,1)),"",IF((AND(FIND('112'!$M$9,G176,1)&gt;=1,B176&lt;'112'!$K$9,$N176='112'!$I$6)),"x",""))</f>
        <v/>
      </c>
      <c r="V176" s="87" t="str">
        <f>IF(ISERROR(FIND('112'!$M$9,G176,1)),"",IF((AND(FIND('112'!$M$9,G176,1)&gt;=1,B176&lt;'112'!$K$9,$O176='112'!$I$6)),"x",""))</f>
        <v/>
      </c>
      <c r="W176" s="87" t="str">
        <f>IF(AND($B176&gt;='1331'!$I$9,$B176&lt;='1331'!$J$9,OR($N176=$W$7,$O176=$W$7)),"x","")</f>
        <v/>
      </c>
      <c r="X176" s="87" t="str">
        <f>IF(AND($N176=$W$7,$B176&lt;'1331'!$I$9),"x","")</f>
        <v/>
      </c>
      <c r="Y176" s="87" t="str">
        <f>IF(AND($O176=$W$7,$B176&lt;'1331'!$I$9),"x","")</f>
        <v/>
      </c>
      <c r="Z176" s="87" t="str">
        <f>IF(AND('341-CT'!$H$9=H176,OR(LEFT(N176,3)=$Z$7,LEFT(O176,3)=$Z$7)),"x","")</f>
        <v/>
      </c>
      <c r="AA176" s="87" t="str">
        <f>IF(OR(TH!N176=TH!$AA$7,O176=TH!$AA$7),"x","")</f>
        <v/>
      </c>
      <c r="AB176" s="87" t="str">
        <f>IF(AND(OR(N176="131",O176="131"),H176='131-CT'!$H$9),"x","")</f>
        <v/>
      </c>
      <c r="AC176" s="87"/>
      <c r="AD176" s="87" t="str">
        <f>IF(AND(MONTH(E176)='IN-NX'!$J$5,'IN-NX'!$D$7=D176),"x","")</f>
        <v/>
      </c>
      <c r="AE176" s="87" t="str">
        <f>IF(AND(OR(LEFT(TH!N176,2)="15",LEFT(TH!O176,2)="15"),'152-CT'!$J$8=TH!F176),"x","")</f>
        <v/>
      </c>
      <c r="AF176" s="87" t="str">
        <f>IF(AND(OR(LEFT(TH!N176,2)="15",LEFT(TH!O176,2)="15"),'THE KHO'!$E$7=TH!F176),"x","")</f>
        <v/>
      </c>
      <c r="AG176" s="87" t="str">
        <f>IF(AND(N176="1521",MONTH(C176)='BK NL'!$M$11),"x","")</f>
        <v/>
      </c>
    </row>
    <row r="177" spans="1:33" ht="15.75" customHeight="1">
      <c r="A177" s="399" t="str">
        <f>IF(B177&lt;&gt;"",IF(AND(B177&gt;=_TM1,B177&lt;=_TM2,OR(TH!N177="1111",TH!O177="1111")),TH!D177,""),"")</f>
        <v/>
      </c>
      <c r="B177" s="63">
        <f>IF(C177&lt;&gt;"",MONTH(C177),"")</f>
        <v>1</v>
      </c>
      <c r="C177" s="64">
        <v>42383</v>
      </c>
      <c r="D177" s="64" t="s">
        <v>773</v>
      </c>
      <c r="E177" s="64">
        <v>42383</v>
      </c>
      <c r="F177" s="67" t="s">
        <v>780</v>
      </c>
      <c r="G177" s="362" t="s">
        <v>999</v>
      </c>
      <c r="H177" s="75"/>
      <c r="I177" s="518"/>
      <c r="J177" s="518"/>
      <c r="K177" s="509">
        <v>6000</v>
      </c>
      <c r="L177" s="518">
        <v>22400</v>
      </c>
      <c r="M177" s="86">
        <f>ROUND(K177*L177,0)</f>
        <v>134400000</v>
      </c>
      <c r="N177" s="66" t="s">
        <v>26</v>
      </c>
      <c r="O177" s="66" t="s">
        <v>282</v>
      </c>
      <c r="P177" s="87" t="str">
        <f>IF(AND('331-CT'!$E$7=TH!H177,OR(N177="331",O177="331")),"x","")</f>
        <v/>
      </c>
      <c r="Q177" s="87" t="str">
        <f>IF(AND(B177='111'!$L$11,OR($N177=$Q$7,$O177=$Q$7)),"x","")</f>
        <v/>
      </c>
      <c r="R177" s="87" t="str">
        <f>IF(AND($N177=$Q$7,$B177&lt;'111'!$L$11),"x","")</f>
        <v/>
      </c>
      <c r="S177" s="87" t="str">
        <f>IF(AND($O177=$Q$7,$B177&lt;'111'!$L$11),"x","")</f>
        <v/>
      </c>
      <c r="T177" s="87" t="str">
        <f>IF(ISERROR(FIND('112'!$M$9,G177,1)),"",IF((AND(FIND('112'!$M$9,G177,1)&gt;=1,B177='112'!$K$9,OR($N177='112'!$I$6,$O177='112'!$I$6))),"x",""))</f>
        <v>x</v>
      </c>
      <c r="U177" s="87" t="str">
        <f>IF(ISERROR(FIND('112'!$M$9,G177,1)),"",IF((AND(FIND('112'!$M$9,G177,1)&gt;=1,B177&lt;'112'!$K$9,$N177='112'!$I$6)),"x",""))</f>
        <v/>
      </c>
      <c r="V177" s="87" t="str">
        <f>IF(ISERROR(FIND('112'!$M$9,G177,1)),"",IF((AND(FIND('112'!$M$9,G177,1)&gt;=1,B177&lt;'112'!$K$9,$O177='112'!$I$6)),"x",""))</f>
        <v/>
      </c>
      <c r="W177" s="87" t="str">
        <f>IF(AND($B177&gt;='1331'!$I$9,$B177&lt;='1331'!$J$9,OR($N177=$W$7,$O177=$W$7)),"x","")</f>
        <v/>
      </c>
      <c r="X177" s="87" t="str">
        <f>IF(AND($N177=$W$7,$B177&lt;'1331'!$I$9),"x","")</f>
        <v/>
      </c>
      <c r="Y177" s="87" t="str">
        <f>IF(AND($O177=$W$7,$B177&lt;'1331'!$I$9),"x","")</f>
        <v/>
      </c>
      <c r="Z177" s="87" t="str">
        <f>IF(AND('341-CT'!$H$9=H177,OR(LEFT(N177,3)=$Z$7,LEFT(O177,3)=$Z$7)),"x","")</f>
        <v/>
      </c>
      <c r="AA177" s="87" t="str">
        <f>IF(OR(TH!N177=TH!$AA$7,O177=TH!$AA$7),"x","")</f>
        <v/>
      </c>
      <c r="AB177" s="87" t="str">
        <f>IF(AND(OR(N177="131",O177="131"),H177='131-CT'!$H$9),"x","")</f>
        <v/>
      </c>
      <c r="AC177" s="87"/>
      <c r="AD177" s="87" t="str">
        <f>IF(AND(MONTH(E177)='IN-NX'!$J$5,'IN-NX'!$D$7=D177),"x","")</f>
        <v/>
      </c>
      <c r="AE177" s="87" t="str">
        <f>IF(AND(OR(LEFT(TH!N177,2)="15",LEFT(TH!O177,2)="15"),'152-CT'!$J$8=TH!F177),"x","")</f>
        <v/>
      </c>
      <c r="AF177" s="87" t="str">
        <f>IF(AND(OR(LEFT(TH!N177,2)="15",LEFT(TH!O177,2)="15"),'THE KHO'!$E$7=TH!F177),"x","")</f>
        <v/>
      </c>
      <c r="AG177" s="87" t="str">
        <f>IF(AND(N177="1521",MONTH(C177)='BK NL'!$M$11),"x","")</f>
        <v/>
      </c>
    </row>
    <row r="178" spans="1:33" ht="15.75" customHeight="1">
      <c r="A178" s="399" t="str">
        <f>IF(B178&lt;&gt;"",IF(AND(B178&gt;=_TM1,B178&lt;=_TM2,OR(TH!N178="1111",TH!O178="1111")),TH!D178,""),"")</f>
        <v/>
      </c>
      <c r="B178" s="63">
        <f>IF(C178&lt;&gt;"",MONTH(C178),"")</f>
        <v>1</v>
      </c>
      <c r="C178" s="64">
        <v>42383</v>
      </c>
      <c r="D178" s="64" t="s">
        <v>773</v>
      </c>
      <c r="E178" s="64">
        <v>42383</v>
      </c>
      <c r="F178" s="67" t="s">
        <v>819</v>
      </c>
      <c r="G178" s="362" t="s">
        <v>999</v>
      </c>
      <c r="H178" s="96" t="s">
        <v>697</v>
      </c>
      <c r="I178" s="522"/>
      <c r="J178" s="522"/>
      <c r="K178" s="513"/>
      <c r="L178" s="522"/>
      <c r="M178" s="65">
        <v>39198830</v>
      </c>
      <c r="N178" s="66" t="s">
        <v>8</v>
      </c>
      <c r="O178" s="66" t="s">
        <v>26</v>
      </c>
      <c r="P178" s="87" t="str">
        <f>IF(AND('331-CT'!$E$7=TH!H178,OR(N178="331",O178="331")),"x","")</f>
        <v/>
      </c>
      <c r="Q178" s="87" t="str">
        <f>IF(AND(B178='111'!$L$11,OR($N178=$Q$7,$O178=$Q$7)),"x","")</f>
        <v/>
      </c>
      <c r="R178" s="87" t="str">
        <f>IF(AND($N178=$Q$7,$B178&lt;'111'!$L$11),"x","")</f>
        <v/>
      </c>
      <c r="S178" s="87" t="str">
        <f>IF(AND($O178=$Q$7,$B178&lt;'111'!$L$11),"x","")</f>
        <v/>
      </c>
      <c r="T178" s="87" t="str">
        <f>IF(ISERROR(FIND('112'!$M$9,G178,1)),"",IF((AND(FIND('112'!$M$9,G178,1)&gt;=1,B178='112'!$K$9,OR($N178='112'!$I$6,$O178='112'!$I$6))),"x",""))</f>
        <v>x</v>
      </c>
      <c r="U178" s="87" t="str">
        <f>IF(ISERROR(FIND('112'!$M$9,G178,1)),"",IF((AND(FIND('112'!$M$9,G178,1)&gt;=1,B178&lt;'112'!$K$9,$N178='112'!$I$6)),"x",""))</f>
        <v/>
      </c>
      <c r="V178" s="87" t="str">
        <f>IF(ISERROR(FIND('112'!$M$9,G178,1)),"",IF((AND(FIND('112'!$M$9,G178,1)&gt;=1,B178&lt;'112'!$K$9,$O178='112'!$I$6)),"x",""))</f>
        <v/>
      </c>
      <c r="W178" s="87" t="str">
        <f>IF(AND($B178&gt;='1331'!$I$9,$B178&lt;='1331'!$J$9,OR($N178=$W$7,$O178=$W$7)),"x","")</f>
        <v/>
      </c>
      <c r="X178" s="87" t="str">
        <f>IF(AND($N178=$W$7,$B178&lt;'1331'!$I$9),"x","")</f>
        <v/>
      </c>
      <c r="Y178" s="87" t="str">
        <f>IF(AND($O178=$W$7,$B178&lt;'1331'!$I$9),"x","")</f>
        <v/>
      </c>
      <c r="Z178" s="87" t="str">
        <f>IF(AND('341-CT'!$H$9=H178,OR(LEFT(N178,3)=$Z$7,LEFT(O178,3)=$Z$7)),"x","")</f>
        <v/>
      </c>
      <c r="AA178" s="87" t="str">
        <f>IF(OR(TH!N178=TH!$AA$7,O178=TH!$AA$7),"x","")</f>
        <v/>
      </c>
      <c r="AB178" s="87" t="str">
        <f>IF(AND(OR(N178="131",O178="131"),H178='131-CT'!$H$9),"x","")</f>
        <v/>
      </c>
      <c r="AC178" s="87"/>
      <c r="AD178" s="87" t="str">
        <f>IF(AND(MONTH(E178)='IN-NX'!$J$5,'IN-NX'!$D$7=D178),"x","")</f>
        <v/>
      </c>
      <c r="AE178" s="87" t="str">
        <f>IF(AND(OR(LEFT(TH!N178,2)="15",LEFT(TH!O178,2)="15"),'152-CT'!$J$8=TH!F178),"x","")</f>
        <v/>
      </c>
      <c r="AF178" s="87" t="str">
        <f>IF(AND(OR(LEFT(TH!N178,2)="15",LEFT(TH!O178,2)="15"),'THE KHO'!$E$7=TH!F178),"x","")</f>
        <v/>
      </c>
      <c r="AG178" s="87" t="str">
        <f>IF(AND(N178="1521",MONTH(C178)='BK NL'!$M$11),"x","")</f>
        <v/>
      </c>
    </row>
    <row r="179" spans="1:33" ht="15.75" customHeight="1">
      <c r="A179" s="399" t="str">
        <f>IF(B179&lt;&gt;"",IF(AND(B179&gt;=_TM1,B179&lt;=_TM2,OR(TH!N179="1111",TH!O179="1111")),TH!D179,""),"")</f>
        <v/>
      </c>
      <c r="B179" s="63">
        <f>IF(C179&lt;&gt;"",MONTH(C179),"")</f>
        <v>1</v>
      </c>
      <c r="C179" s="64">
        <v>42383</v>
      </c>
      <c r="D179" s="64" t="s">
        <v>773</v>
      </c>
      <c r="E179" s="64">
        <v>42383</v>
      </c>
      <c r="F179" s="67" t="s">
        <v>817</v>
      </c>
      <c r="G179" s="362" t="s">
        <v>999</v>
      </c>
      <c r="H179" s="96"/>
      <c r="I179" s="518"/>
      <c r="J179" s="518"/>
      <c r="K179" s="509"/>
      <c r="L179" s="518"/>
      <c r="M179" s="65">
        <v>20000</v>
      </c>
      <c r="N179" s="66" t="s">
        <v>101</v>
      </c>
      <c r="O179" s="66" t="s">
        <v>26</v>
      </c>
      <c r="P179" s="87" t="str">
        <f>IF(AND('331-CT'!$E$7=TH!H179,OR(N179="331",O179="331")),"x","")</f>
        <v/>
      </c>
      <c r="Q179" s="87" t="str">
        <f>IF(AND(B179='111'!$L$11,OR($N179=$Q$7,$O179=$Q$7)),"x","")</f>
        <v/>
      </c>
      <c r="R179" s="87" t="str">
        <f>IF(AND($N179=$Q$7,$B179&lt;'111'!$L$11),"x","")</f>
        <v/>
      </c>
      <c r="S179" s="87" t="str">
        <f>IF(AND($O179=$Q$7,$B179&lt;'111'!$L$11),"x","")</f>
        <v/>
      </c>
      <c r="T179" s="87" t="str">
        <f>IF(ISERROR(FIND('112'!$M$9,G179,1)),"",IF((AND(FIND('112'!$M$9,G179,1)&gt;=1,B179='112'!$K$9,OR($N179='112'!$I$6,$O179='112'!$I$6))),"x",""))</f>
        <v>x</v>
      </c>
      <c r="U179" s="87" t="str">
        <f>IF(ISERROR(FIND('112'!$M$9,G179,1)),"",IF((AND(FIND('112'!$M$9,G179,1)&gt;=1,B179&lt;'112'!$K$9,$N179='112'!$I$6)),"x",""))</f>
        <v/>
      </c>
      <c r="V179" s="87" t="str">
        <f>IF(ISERROR(FIND('112'!$M$9,G179,1)),"",IF((AND(FIND('112'!$M$9,G179,1)&gt;=1,B179&lt;'112'!$K$9,$O179='112'!$I$6)),"x",""))</f>
        <v/>
      </c>
      <c r="W179" s="87" t="str">
        <f>IF(AND($B179&gt;='1331'!$I$9,$B179&lt;='1331'!$J$9,OR($N179=$W$7,$O179=$W$7)),"x","")</f>
        <v/>
      </c>
      <c r="X179" s="87" t="str">
        <f>IF(AND($N179=$W$7,$B179&lt;'1331'!$I$9),"x","")</f>
        <v/>
      </c>
      <c r="Y179" s="87" t="str">
        <f>IF(AND($O179=$W$7,$B179&lt;'1331'!$I$9),"x","")</f>
        <v/>
      </c>
      <c r="Z179" s="87" t="str">
        <f>IF(AND('341-CT'!$H$9=H179,OR(LEFT(N179,3)=$Z$7,LEFT(O179,3)=$Z$7)),"x","")</f>
        <v/>
      </c>
      <c r="AA179" s="87" t="str">
        <f>IF(OR(TH!N179=TH!$AA$7,O179=TH!$AA$7),"x","")</f>
        <v/>
      </c>
      <c r="AB179" s="87" t="str">
        <f>IF(AND(OR(N179="131",O179="131"),H179='131-CT'!$H$9),"x","")</f>
        <v/>
      </c>
      <c r="AC179" s="87"/>
      <c r="AD179" s="87" t="str">
        <f>IF(AND(MONTH(E179)='IN-NX'!$J$5,'IN-NX'!$D$7=D179),"x","")</f>
        <v/>
      </c>
      <c r="AE179" s="87" t="str">
        <f>IF(AND(OR(LEFT(TH!N179,2)="15",LEFT(TH!O179,2)="15"),'152-CT'!$J$8=TH!F179),"x","")</f>
        <v/>
      </c>
      <c r="AF179" s="87" t="str">
        <f>IF(AND(OR(LEFT(TH!N179,2)="15",LEFT(TH!O179,2)="15"),'THE KHO'!$E$7=TH!F179),"x","")</f>
        <v/>
      </c>
      <c r="AG179" s="87" t="str">
        <f>IF(AND(N179="1521",MONTH(C179)='BK NL'!$M$11),"x","")</f>
        <v/>
      </c>
    </row>
    <row r="180" spans="1:33" ht="15.75" customHeight="1">
      <c r="A180" s="399" t="str">
        <f>IF(B180&lt;&gt;"",IF(AND(B180&gt;=_TM1,B180&lt;=_TM2,OR(TH!N180="1111",TH!O180="1111")),TH!D180,""),"")</f>
        <v/>
      </c>
      <c r="B180" s="63">
        <f>IF(C180&lt;&gt;"",MONTH(C180),"")</f>
        <v>1</v>
      </c>
      <c r="C180" s="64">
        <v>42383</v>
      </c>
      <c r="D180" s="64" t="s">
        <v>773</v>
      </c>
      <c r="E180" s="64">
        <v>42383</v>
      </c>
      <c r="F180" s="67" t="s">
        <v>820</v>
      </c>
      <c r="G180" s="362" t="s">
        <v>999</v>
      </c>
      <c r="H180" s="96"/>
      <c r="I180" s="518"/>
      <c r="J180" s="518"/>
      <c r="K180" s="509"/>
      <c r="L180" s="518"/>
      <c r="M180" s="65">
        <v>2000</v>
      </c>
      <c r="N180" s="66" t="s">
        <v>9</v>
      </c>
      <c r="O180" s="66" t="s">
        <v>26</v>
      </c>
      <c r="P180" s="87" t="str">
        <f>IF(AND('331-CT'!$E$7=TH!H180,OR(N180="331",O180="331")),"x","")</f>
        <v/>
      </c>
      <c r="Q180" s="87" t="str">
        <f>IF(AND(B180='111'!$L$11,OR($N180=$Q$7,$O180=$Q$7)),"x","")</f>
        <v/>
      </c>
      <c r="R180" s="87" t="str">
        <f>IF(AND($N180=$Q$7,$B180&lt;'111'!$L$11),"x","")</f>
        <v/>
      </c>
      <c r="S180" s="87" t="str">
        <f>IF(AND($O180=$Q$7,$B180&lt;'111'!$L$11),"x","")</f>
        <v/>
      </c>
      <c r="T180" s="87" t="str">
        <f>IF(ISERROR(FIND('112'!$M$9,G180,1)),"",IF((AND(FIND('112'!$M$9,G180,1)&gt;=1,B180='112'!$K$9,OR($N180='112'!$I$6,$O180='112'!$I$6))),"x",""))</f>
        <v>x</v>
      </c>
      <c r="U180" s="87" t="str">
        <f>IF(ISERROR(FIND('112'!$M$9,G180,1)),"",IF((AND(FIND('112'!$M$9,G180,1)&gt;=1,B180&lt;'112'!$K$9,$N180='112'!$I$6)),"x",""))</f>
        <v/>
      </c>
      <c r="V180" s="87" t="str">
        <f>IF(ISERROR(FIND('112'!$M$9,G180,1)),"",IF((AND(FIND('112'!$M$9,G180,1)&gt;=1,B180&lt;'112'!$K$9,$O180='112'!$I$6)),"x",""))</f>
        <v/>
      </c>
      <c r="W180" s="87" t="str">
        <f>IF(AND($B180&gt;='1331'!$I$9,$B180&lt;='1331'!$J$9,OR($N180=$W$7,$O180=$W$7)),"x","")</f>
        <v>x</v>
      </c>
      <c r="X180" s="87" t="str">
        <f>IF(AND($N180=$W$7,$B180&lt;'1331'!$I$9),"x","")</f>
        <v/>
      </c>
      <c r="Y180" s="87" t="str">
        <f>IF(AND($O180=$W$7,$B180&lt;'1331'!$I$9),"x","")</f>
        <v/>
      </c>
      <c r="Z180" s="87" t="str">
        <f>IF(AND('341-CT'!$H$9=H180,OR(LEFT(N180,3)=$Z$7,LEFT(O180,3)=$Z$7)),"x","")</f>
        <v/>
      </c>
      <c r="AA180" s="87" t="str">
        <f>IF(OR(TH!N180=TH!$AA$7,O180=TH!$AA$7),"x","")</f>
        <v/>
      </c>
      <c r="AB180" s="87" t="str">
        <f>IF(AND(OR(N180="131",O180="131"),H180='131-CT'!$H$9),"x","")</f>
        <v/>
      </c>
      <c r="AC180" s="87"/>
      <c r="AD180" s="87" t="str">
        <f>IF(AND(MONTH(E180)='IN-NX'!$J$5,'IN-NX'!$D$7=D180),"x","")</f>
        <v/>
      </c>
      <c r="AE180" s="87" t="str">
        <f>IF(AND(OR(LEFT(TH!N180,2)="15",LEFT(TH!O180,2)="15"),'152-CT'!$J$8=TH!F180),"x","")</f>
        <v/>
      </c>
      <c r="AF180" s="87" t="str">
        <f>IF(AND(OR(LEFT(TH!N180,2)="15",LEFT(TH!O180,2)="15"),'THE KHO'!$E$7=TH!F180),"x","")</f>
        <v/>
      </c>
      <c r="AG180" s="87" t="str">
        <f>IF(AND(N180="1521",MONTH(C180)='BK NL'!$M$11),"x","")</f>
        <v/>
      </c>
    </row>
    <row r="181" spans="1:33" ht="15.75" customHeight="1">
      <c r="A181" s="399" t="str">
        <f>IF(B181&lt;&gt;"",IF(AND(B181&gt;=_TM1,B181&lt;=_TM2,OR(TH!N181="1111",TH!O181="1111")),TH!D181,""),"")</f>
        <v>C22</v>
      </c>
      <c r="B181" s="63">
        <f>IF(C181&lt;&gt;"",MONTH(C181),"")</f>
        <v>1</v>
      </c>
      <c r="C181" s="64">
        <v>42383</v>
      </c>
      <c r="D181" s="64" t="s">
        <v>970</v>
      </c>
      <c r="E181" s="64">
        <v>42383</v>
      </c>
      <c r="F181" s="67" t="s">
        <v>860</v>
      </c>
      <c r="G181" s="376" t="s">
        <v>907</v>
      </c>
      <c r="H181" s="75" t="s">
        <v>899</v>
      </c>
      <c r="I181" s="518"/>
      <c r="J181" s="518"/>
      <c r="K181" s="509"/>
      <c r="L181" s="518"/>
      <c r="M181" s="65">
        <v>16662900</v>
      </c>
      <c r="N181" s="66" t="s">
        <v>101</v>
      </c>
      <c r="O181" s="66" t="s">
        <v>63</v>
      </c>
      <c r="P181" s="87" t="str">
        <f>IF(AND('331-CT'!$E$7=TH!H181,OR(N181="331",O181="331")),"x","")</f>
        <v/>
      </c>
      <c r="Q181" s="87" t="str">
        <f>IF(AND(B181='111'!$L$11,OR($N181=$Q$7,$O181=$Q$7)),"x","")</f>
        <v>x</v>
      </c>
      <c r="R181" s="87" t="str">
        <f>IF(AND($N181=$Q$7,$B181&lt;'111'!$L$11),"x","")</f>
        <v/>
      </c>
      <c r="S181" s="87" t="str">
        <f>IF(AND($O181=$Q$7,$B181&lt;'111'!$L$11),"x","")</f>
        <v/>
      </c>
      <c r="T181" s="87" t="str">
        <f>IF(ISERROR(FIND('112'!$M$9,G181,1)),"",IF((AND(FIND('112'!$M$9,G181,1)&gt;=1,B181='112'!$K$9,OR($N181='112'!$I$6,$O181='112'!$I$6))),"x",""))</f>
        <v/>
      </c>
      <c r="U181" s="87" t="str">
        <f>IF(ISERROR(FIND('112'!$M$9,G181,1)),"",IF((AND(FIND('112'!$M$9,G181,1)&gt;=1,B181&lt;'112'!$K$9,$N181='112'!$I$6)),"x",""))</f>
        <v/>
      </c>
      <c r="V181" s="87" t="str">
        <f>IF(ISERROR(FIND('112'!$M$9,G181,1)),"",IF((AND(FIND('112'!$M$9,G181,1)&gt;=1,B181&lt;'112'!$K$9,$O181='112'!$I$6)),"x",""))</f>
        <v/>
      </c>
      <c r="W181" s="87" t="str">
        <f>IF(AND($B181&gt;='1331'!$I$9,$B181&lt;='1331'!$J$9,OR($N181=$W$7,$O181=$W$7)),"x","")</f>
        <v/>
      </c>
      <c r="X181" s="87" t="str">
        <f>IF(AND($N181=$W$7,$B181&lt;'1331'!$I$9),"x","")</f>
        <v/>
      </c>
      <c r="Y181" s="87" t="str">
        <f>IF(AND($O181=$W$7,$B181&lt;'1331'!$I$9),"x","")</f>
        <v/>
      </c>
      <c r="Z181" s="87" t="str">
        <f>IF(AND('341-CT'!$H$9=H181,OR(LEFT(N181,3)=$Z$7,LEFT(O181,3)=$Z$7)),"x","")</f>
        <v/>
      </c>
      <c r="AA181" s="87" t="str">
        <f>IF(OR(TH!N181=TH!$AA$7,O181=TH!$AA$7),"x","")</f>
        <v/>
      </c>
      <c r="AB181" s="87" t="str">
        <f>IF(AND(OR(N181="131",O181="131"),H181='131-CT'!$H$9),"x","")</f>
        <v/>
      </c>
      <c r="AC181" s="87"/>
      <c r="AD181" s="87" t="str">
        <f>IF(AND(MONTH(E181)='IN-NX'!$J$5,'IN-NX'!$D$7=D181),"x","")</f>
        <v/>
      </c>
      <c r="AE181" s="87" t="str">
        <f>IF(AND(OR(LEFT(TH!N181,2)="15",LEFT(TH!O181,2)="15"),'152-CT'!$J$8=TH!F181),"x","")</f>
        <v/>
      </c>
      <c r="AF181" s="87" t="str">
        <f>IF(AND(OR(LEFT(TH!N181,2)="15",LEFT(TH!O181,2)="15"),'THE KHO'!$E$7=TH!F181),"x","")</f>
        <v/>
      </c>
      <c r="AG181" s="87" t="str">
        <f>IF(AND(N181="1521",MONTH(C181)='BK NL'!$M$11),"x","")</f>
        <v/>
      </c>
    </row>
    <row r="182" spans="1:33" ht="15.75" customHeight="1">
      <c r="A182" s="399" t="str">
        <f>IF(B182&lt;&gt;"",IF(AND(B182&gt;=_TM1,B182&lt;=_TM2,OR(TH!N182="1111",TH!O182="1111")),TH!D182,""),"")</f>
        <v>C22</v>
      </c>
      <c r="B182" s="63">
        <f>IF(C182&lt;&gt;"",MONTH(C182),"")</f>
        <v>1</v>
      </c>
      <c r="C182" s="64">
        <v>42383</v>
      </c>
      <c r="D182" s="64" t="s">
        <v>970</v>
      </c>
      <c r="E182" s="64">
        <v>42383</v>
      </c>
      <c r="F182" s="67" t="s">
        <v>861</v>
      </c>
      <c r="G182" s="376" t="s">
        <v>907</v>
      </c>
      <c r="H182" s="75" t="s">
        <v>899</v>
      </c>
      <c r="I182" s="518"/>
      <c r="J182" s="518"/>
      <c r="K182" s="509"/>
      <c r="L182" s="518"/>
      <c r="M182" s="65">
        <v>1666290</v>
      </c>
      <c r="N182" s="66" t="s">
        <v>9</v>
      </c>
      <c r="O182" s="66" t="s">
        <v>63</v>
      </c>
      <c r="P182" s="87" t="str">
        <f>IF(AND('331-CT'!$E$7=TH!H182,OR(N182="331",O182="331")),"x","")</f>
        <v/>
      </c>
      <c r="Q182" s="87" t="str">
        <f>IF(AND(B182='111'!$L$11,OR($N182=$Q$7,$O182=$Q$7)),"x","")</f>
        <v>x</v>
      </c>
      <c r="R182" s="87" t="str">
        <f>IF(AND($N182=$Q$7,$B182&lt;'111'!$L$11),"x","")</f>
        <v/>
      </c>
      <c r="S182" s="87" t="str">
        <f>IF(AND($O182=$Q$7,$B182&lt;'111'!$L$11),"x","")</f>
        <v/>
      </c>
      <c r="T182" s="87" t="str">
        <f>IF(ISERROR(FIND('112'!$M$9,G182,1)),"",IF((AND(FIND('112'!$M$9,G182,1)&gt;=1,B182='112'!$K$9,OR($N182='112'!$I$6,$O182='112'!$I$6))),"x",""))</f>
        <v/>
      </c>
      <c r="U182" s="87" t="str">
        <f>IF(ISERROR(FIND('112'!$M$9,G182,1)),"",IF((AND(FIND('112'!$M$9,G182,1)&gt;=1,B182&lt;'112'!$K$9,$N182='112'!$I$6)),"x",""))</f>
        <v/>
      </c>
      <c r="V182" s="87" t="str">
        <f>IF(ISERROR(FIND('112'!$M$9,G182,1)),"",IF((AND(FIND('112'!$M$9,G182,1)&gt;=1,B182&lt;'112'!$K$9,$O182='112'!$I$6)),"x",""))</f>
        <v/>
      </c>
      <c r="W182" s="87" t="str">
        <f>IF(AND($B182&gt;='1331'!$I$9,$B182&lt;='1331'!$J$9,OR($N182=$W$7,$O182=$W$7)),"x","")</f>
        <v>x</v>
      </c>
      <c r="X182" s="87" t="str">
        <f>IF(AND($N182=$W$7,$B182&lt;'1331'!$I$9),"x","")</f>
        <v/>
      </c>
      <c r="Y182" s="87" t="str">
        <f>IF(AND($O182=$W$7,$B182&lt;'1331'!$I$9),"x","")</f>
        <v/>
      </c>
      <c r="Z182" s="87" t="str">
        <f>IF(AND('341-CT'!$H$9=H182,OR(LEFT(N182,3)=$Z$7,LEFT(O182,3)=$Z$7)),"x","")</f>
        <v/>
      </c>
      <c r="AA182" s="87" t="str">
        <f>IF(OR(TH!N182=TH!$AA$7,O182=TH!$AA$7),"x","")</f>
        <v/>
      </c>
      <c r="AB182" s="87" t="str">
        <f>IF(AND(OR(N182="131",O182="131"),H182='131-CT'!$H$9),"x","")</f>
        <v/>
      </c>
      <c r="AC182" s="87"/>
      <c r="AD182" s="87" t="str">
        <f>IF(AND(MONTH(E182)='IN-NX'!$J$5,'IN-NX'!$D$7=D182),"x","")</f>
        <v/>
      </c>
      <c r="AE182" s="87" t="str">
        <f>IF(AND(OR(LEFT(TH!N182,2)="15",LEFT(TH!O182,2)="15"),'152-CT'!$J$8=TH!F182),"x","")</f>
        <v/>
      </c>
      <c r="AF182" s="87" t="str">
        <f>IF(AND(OR(LEFT(TH!N182,2)="15",LEFT(TH!O182,2)="15"),'THE KHO'!$E$7=TH!F182),"x","")</f>
        <v/>
      </c>
      <c r="AG182" s="87" t="str">
        <f>IF(AND(N182="1521",MONTH(C182)='BK NL'!$M$11),"x","")</f>
        <v/>
      </c>
    </row>
    <row r="183" spans="1:33" ht="15.75" customHeight="1">
      <c r="A183" s="399" t="str">
        <f>IF(B183&lt;&gt;"",IF(AND(B183&gt;=_TM1,B183&lt;=_TM2,OR(TH!N183="1111",TH!O183="1111")),TH!D183,""),"")</f>
        <v>T02</v>
      </c>
      <c r="B183" s="63">
        <f>IF(C183&lt;&gt;"",MONTH(C183),"")</f>
        <v>1</v>
      </c>
      <c r="C183" s="64">
        <v>42384</v>
      </c>
      <c r="D183" s="64" t="s">
        <v>983</v>
      </c>
      <c r="E183" s="64">
        <v>42384</v>
      </c>
      <c r="F183" s="67" t="s">
        <v>821</v>
      </c>
      <c r="G183" s="362" t="s">
        <v>999</v>
      </c>
      <c r="H183" s="76" t="s">
        <v>842</v>
      </c>
      <c r="I183" s="518"/>
      <c r="J183" s="518"/>
      <c r="K183" s="509"/>
      <c r="L183" s="518"/>
      <c r="M183" s="65">
        <v>100000000</v>
      </c>
      <c r="N183" s="66" t="s">
        <v>63</v>
      </c>
      <c r="O183" s="66" t="s">
        <v>26</v>
      </c>
      <c r="P183" s="87" t="str">
        <f>IF(AND('331-CT'!$E$7=TH!H183,OR(N183="331",O183="331")),"x","")</f>
        <v/>
      </c>
      <c r="Q183" s="87" t="str">
        <f>IF(AND(B183='111'!$L$11,OR($N183=$Q$7,$O183=$Q$7)),"x","")</f>
        <v>x</v>
      </c>
      <c r="R183" s="87" t="str">
        <f>IF(AND($N183=$Q$7,$B183&lt;'111'!$L$11),"x","")</f>
        <v/>
      </c>
      <c r="S183" s="87" t="str">
        <f>IF(AND($O183=$Q$7,$B183&lt;'111'!$L$11),"x","")</f>
        <v/>
      </c>
      <c r="T183" s="87" t="str">
        <f>IF(ISERROR(FIND('112'!$M$9,G183,1)),"",IF((AND(FIND('112'!$M$9,G183,1)&gt;=1,B183='112'!$K$9,OR($N183='112'!$I$6,$O183='112'!$I$6))),"x",""))</f>
        <v>x</v>
      </c>
      <c r="U183" s="87" t="str">
        <f>IF(ISERROR(FIND('112'!$M$9,G183,1)),"",IF((AND(FIND('112'!$M$9,G183,1)&gt;=1,B183&lt;'112'!$K$9,$N183='112'!$I$6)),"x",""))</f>
        <v/>
      </c>
      <c r="V183" s="87" t="str">
        <f>IF(ISERROR(FIND('112'!$M$9,G183,1)),"",IF((AND(FIND('112'!$M$9,G183,1)&gt;=1,B183&lt;'112'!$K$9,$O183='112'!$I$6)),"x",""))</f>
        <v/>
      </c>
      <c r="W183" s="87" t="str">
        <f>IF(AND($B183&gt;='1331'!$I$9,$B183&lt;='1331'!$J$9,OR($N183=$W$7,$O183=$W$7)),"x","")</f>
        <v/>
      </c>
      <c r="X183" s="87" t="str">
        <f>IF(AND($N183=$W$7,$B183&lt;'1331'!$I$9),"x","")</f>
        <v/>
      </c>
      <c r="Y183" s="87" t="str">
        <f>IF(AND($O183=$W$7,$B183&lt;'1331'!$I$9),"x","")</f>
        <v/>
      </c>
      <c r="Z183" s="87" t="str">
        <f>IF(AND('341-CT'!$H$9=H183,OR(LEFT(N183,3)=$Z$7,LEFT(O183,3)=$Z$7)),"x","")</f>
        <v/>
      </c>
      <c r="AA183" s="87" t="str">
        <f>IF(OR(TH!N183=TH!$AA$7,O183=TH!$AA$7),"x","")</f>
        <v/>
      </c>
      <c r="AB183" s="87" t="str">
        <f>IF(AND(OR(N183="131",O183="131"),H183='131-CT'!$H$9),"x","")</f>
        <v/>
      </c>
      <c r="AC183" s="87"/>
      <c r="AD183" s="87" t="str">
        <f>IF(AND(MONTH(E183)='IN-NX'!$J$5,'IN-NX'!$D$7=D183),"x","")</f>
        <v/>
      </c>
      <c r="AE183" s="87" t="str">
        <f>IF(AND(OR(LEFT(TH!N183,2)="15",LEFT(TH!O183,2)="15"),'152-CT'!$J$8=TH!F183),"x","")</f>
        <v/>
      </c>
      <c r="AF183" s="87" t="str">
        <f>IF(AND(OR(LEFT(TH!N183,2)="15",LEFT(TH!O183,2)="15"),'THE KHO'!$E$7=TH!F183),"x","")</f>
        <v/>
      </c>
      <c r="AG183" s="87" t="str">
        <f>IF(AND(N183="1521",MONTH(C183)='BK NL'!$M$11),"x","")</f>
        <v/>
      </c>
    </row>
    <row r="184" spans="1:33" ht="15.75" customHeight="1">
      <c r="A184" s="399" t="str">
        <f>IF(B184&lt;&gt;"",IF(AND(B184&gt;=_TM1,B184&lt;=_TM2,OR(TH!N184="1111",TH!O184="1111")),TH!D184,""),"")</f>
        <v>C23</v>
      </c>
      <c r="B184" s="63">
        <f>IF(C184&lt;&gt;"",MONTH(C184),"")</f>
        <v>1</v>
      </c>
      <c r="C184" s="64">
        <v>42384</v>
      </c>
      <c r="D184" s="64" t="s">
        <v>971</v>
      </c>
      <c r="E184" s="64">
        <v>42384</v>
      </c>
      <c r="F184" s="67" t="s">
        <v>855</v>
      </c>
      <c r="G184" s="362" t="s">
        <v>908</v>
      </c>
      <c r="H184" s="409" t="s">
        <v>894</v>
      </c>
      <c r="I184" s="522"/>
      <c r="J184" s="522"/>
      <c r="K184" s="513"/>
      <c r="L184" s="522"/>
      <c r="M184" s="65">
        <v>306027</v>
      </c>
      <c r="N184" s="66" t="s">
        <v>101</v>
      </c>
      <c r="O184" s="66" t="s">
        <v>63</v>
      </c>
      <c r="P184" s="87" t="str">
        <f>IF(AND('331-CT'!$E$7=TH!H184,OR(N184="331",O184="331")),"x","")</f>
        <v/>
      </c>
      <c r="Q184" s="87" t="str">
        <f>IF(AND(B184='111'!$L$11,OR($N184=$Q$7,$O184=$Q$7)),"x","")</f>
        <v>x</v>
      </c>
      <c r="R184" s="87" t="str">
        <f>IF(AND($N184=$Q$7,$B184&lt;'111'!$L$11),"x","")</f>
        <v/>
      </c>
      <c r="S184" s="87" t="str">
        <f>IF(AND($O184=$Q$7,$B184&lt;'111'!$L$11),"x","")</f>
        <v/>
      </c>
      <c r="T184" s="87" t="str">
        <f>IF(ISERROR(FIND('112'!$M$9,G184,1)),"",IF((AND(FIND('112'!$M$9,G184,1)&gt;=1,B184='112'!$K$9,OR($N184='112'!$I$6,$O184='112'!$I$6))),"x",""))</f>
        <v/>
      </c>
      <c r="U184" s="87" t="str">
        <f>IF(ISERROR(FIND('112'!$M$9,G184,1)),"",IF((AND(FIND('112'!$M$9,G184,1)&gt;=1,B184&lt;'112'!$K$9,$N184='112'!$I$6)),"x",""))</f>
        <v/>
      </c>
      <c r="V184" s="87" t="str">
        <f>IF(ISERROR(FIND('112'!$M$9,G184,1)),"",IF((AND(FIND('112'!$M$9,G184,1)&gt;=1,B184&lt;'112'!$K$9,$O184='112'!$I$6)),"x",""))</f>
        <v/>
      </c>
      <c r="W184" s="87" t="str">
        <f>IF(AND($B184&gt;='1331'!$I$9,$B184&lt;='1331'!$J$9,OR($N184=$W$7,$O184=$W$7)),"x","")</f>
        <v/>
      </c>
      <c r="X184" s="87" t="str">
        <f>IF(AND($N184=$W$7,$B184&lt;'1331'!$I$9),"x","")</f>
        <v/>
      </c>
      <c r="Y184" s="87" t="str">
        <f>IF(AND($O184=$W$7,$B184&lt;'1331'!$I$9),"x","")</f>
        <v/>
      </c>
      <c r="Z184" s="87" t="str">
        <f>IF(AND('341-CT'!$H$9=H184,OR(LEFT(N184,3)=$Z$7,LEFT(O184,3)=$Z$7)),"x","")</f>
        <v/>
      </c>
      <c r="AA184" s="87" t="str">
        <f>IF(OR(TH!N184=TH!$AA$7,O184=TH!$AA$7),"x","")</f>
        <v/>
      </c>
      <c r="AB184" s="87" t="str">
        <f>IF(AND(OR(N184="131",O184="131"),H184='131-CT'!$H$9),"x","")</f>
        <v/>
      </c>
      <c r="AC184" s="87"/>
      <c r="AD184" s="87" t="str">
        <f>IF(AND(MONTH(E184)='IN-NX'!$J$5,'IN-NX'!$D$7=D184),"x","")</f>
        <v/>
      </c>
      <c r="AE184" s="87" t="str">
        <f>IF(AND(OR(LEFT(TH!N184,2)="15",LEFT(TH!O184,2)="15"),'152-CT'!$J$8=TH!F184),"x","")</f>
        <v/>
      </c>
      <c r="AF184" s="87" t="str">
        <f>IF(AND(OR(LEFT(TH!N184,2)="15",LEFT(TH!O184,2)="15"),'THE KHO'!$E$7=TH!F184),"x","")</f>
        <v/>
      </c>
      <c r="AG184" s="87" t="str">
        <f>IF(AND(N184="1521",MONTH(C184)='BK NL'!$M$11),"x","")</f>
        <v/>
      </c>
    </row>
    <row r="185" spans="1:33" ht="15.75" customHeight="1">
      <c r="A185" s="399" t="str">
        <f>IF(B185&lt;&gt;"",IF(AND(B185&gt;=_TM1,B185&lt;=_TM2,OR(TH!N185="1111",TH!O185="1111")),TH!D185,""),"")</f>
        <v>C23</v>
      </c>
      <c r="B185" s="63">
        <f>IF(C185&lt;&gt;"",MONTH(C185),"")</f>
        <v>1</v>
      </c>
      <c r="C185" s="64">
        <v>42384</v>
      </c>
      <c r="D185" s="64" t="s">
        <v>971</v>
      </c>
      <c r="E185" s="64">
        <v>42384</v>
      </c>
      <c r="F185" s="67" t="s">
        <v>856</v>
      </c>
      <c r="G185" s="362" t="s">
        <v>908</v>
      </c>
      <c r="H185" s="409" t="s">
        <v>894</v>
      </c>
      <c r="I185" s="522"/>
      <c r="J185" s="522"/>
      <c r="K185" s="513"/>
      <c r="L185" s="522"/>
      <c r="M185" s="65">
        <v>30603</v>
      </c>
      <c r="N185" s="66" t="s">
        <v>9</v>
      </c>
      <c r="O185" s="66" t="s">
        <v>63</v>
      </c>
      <c r="P185" s="87" t="str">
        <f>IF(AND('331-CT'!$E$7=TH!H185,OR(N185="331",O185="331")),"x","")</f>
        <v/>
      </c>
      <c r="Q185" s="87" t="str">
        <f>IF(AND(B185='111'!$L$11,OR($N185=$Q$7,$O185=$Q$7)),"x","")</f>
        <v>x</v>
      </c>
      <c r="R185" s="87" t="str">
        <f>IF(AND($N185=$Q$7,$B185&lt;'111'!$L$11),"x","")</f>
        <v/>
      </c>
      <c r="S185" s="87" t="str">
        <f>IF(AND($O185=$Q$7,$B185&lt;'111'!$L$11),"x","")</f>
        <v/>
      </c>
      <c r="T185" s="87" t="str">
        <f>IF(ISERROR(FIND('112'!$M$9,G185,1)),"",IF((AND(FIND('112'!$M$9,G185,1)&gt;=1,B185='112'!$K$9,OR($N185='112'!$I$6,$O185='112'!$I$6))),"x",""))</f>
        <v/>
      </c>
      <c r="U185" s="87" t="str">
        <f>IF(ISERROR(FIND('112'!$M$9,G185,1)),"",IF((AND(FIND('112'!$M$9,G185,1)&gt;=1,B185&lt;'112'!$K$9,$N185='112'!$I$6)),"x",""))</f>
        <v/>
      </c>
      <c r="V185" s="87" t="str">
        <f>IF(ISERROR(FIND('112'!$M$9,G185,1)),"",IF((AND(FIND('112'!$M$9,G185,1)&gt;=1,B185&lt;'112'!$K$9,$O185='112'!$I$6)),"x",""))</f>
        <v/>
      </c>
      <c r="W185" s="87" t="str">
        <f>IF(AND($B185&gt;='1331'!$I$9,$B185&lt;='1331'!$J$9,OR($N185=$W$7,$O185=$W$7)),"x","")</f>
        <v>x</v>
      </c>
      <c r="X185" s="87" t="str">
        <f>IF(AND($N185=$W$7,$B185&lt;'1331'!$I$9),"x","")</f>
        <v/>
      </c>
      <c r="Y185" s="87" t="str">
        <f>IF(AND($O185=$W$7,$B185&lt;'1331'!$I$9),"x","")</f>
        <v/>
      </c>
      <c r="Z185" s="87" t="str">
        <f>IF(AND('341-CT'!$H$9=H185,OR(LEFT(N185,3)=$Z$7,LEFT(O185,3)=$Z$7)),"x","")</f>
        <v/>
      </c>
      <c r="AA185" s="87" t="str">
        <f>IF(OR(TH!N185=TH!$AA$7,O185=TH!$AA$7),"x","")</f>
        <v/>
      </c>
      <c r="AB185" s="87" t="str">
        <f>IF(AND(OR(N185="131",O185="131"),H185='131-CT'!$H$9),"x","")</f>
        <v/>
      </c>
      <c r="AC185" s="87"/>
      <c r="AD185" s="87" t="str">
        <f>IF(AND(MONTH(E185)='IN-NX'!$J$5,'IN-NX'!$D$7=D185),"x","")</f>
        <v/>
      </c>
      <c r="AE185" s="87" t="str">
        <f>IF(AND(OR(LEFT(TH!N185,2)="15",LEFT(TH!O185,2)="15"),'152-CT'!$J$8=TH!F185),"x","")</f>
        <v/>
      </c>
      <c r="AF185" s="87" t="str">
        <f>IF(AND(OR(LEFT(TH!N185,2)="15",LEFT(TH!O185,2)="15"),'THE KHO'!$E$7=TH!F185),"x","")</f>
        <v/>
      </c>
      <c r="AG185" s="87" t="str">
        <f>IF(AND(N185="1521",MONTH(C185)='BK NL'!$M$11),"x","")</f>
        <v/>
      </c>
    </row>
    <row r="186" spans="1:33" ht="15.75" customHeight="1">
      <c r="A186" s="399" t="str">
        <f>IF(B186&lt;&gt;"",IF(AND(B186&gt;=_TM1,B186&lt;=_TM2,OR(TH!N186="1111",TH!O186="1111")),TH!D186,""),"")</f>
        <v>C24</v>
      </c>
      <c r="B186" s="63">
        <f>IF(C186&lt;&gt;"",MONTH(C186),"")</f>
        <v>1</v>
      </c>
      <c r="C186" s="64">
        <v>42384</v>
      </c>
      <c r="D186" s="64" t="s">
        <v>972</v>
      </c>
      <c r="E186" s="64">
        <v>42384</v>
      </c>
      <c r="F186" s="67" t="s">
        <v>855</v>
      </c>
      <c r="G186" s="362" t="s">
        <v>909</v>
      </c>
      <c r="H186" s="409" t="s">
        <v>888</v>
      </c>
      <c r="I186" s="522"/>
      <c r="J186" s="522"/>
      <c r="K186" s="513"/>
      <c r="L186" s="522"/>
      <c r="M186" s="65">
        <v>593155</v>
      </c>
      <c r="N186" s="66" t="s">
        <v>101</v>
      </c>
      <c r="O186" s="66" t="s">
        <v>63</v>
      </c>
      <c r="P186" s="87" t="str">
        <f>IF(AND('331-CT'!$E$7=TH!H186,OR(N186="331",O186="331")),"x","")</f>
        <v/>
      </c>
      <c r="Q186" s="87" t="str">
        <f>IF(AND(B186='111'!$L$11,OR($N186=$Q$7,$O186=$Q$7)),"x","")</f>
        <v>x</v>
      </c>
      <c r="R186" s="87" t="str">
        <f>IF(AND($N186=$Q$7,$B186&lt;'111'!$L$11),"x","")</f>
        <v/>
      </c>
      <c r="S186" s="87" t="str">
        <f>IF(AND($O186=$Q$7,$B186&lt;'111'!$L$11),"x","")</f>
        <v/>
      </c>
      <c r="T186" s="87" t="str">
        <f>IF(ISERROR(FIND('112'!$M$9,G186,1)),"",IF((AND(FIND('112'!$M$9,G186,1)&gt;=1,B186='112'!$K$9,OR($N186='112'!$I$6,$O186='112'!$I$6))),"x",""))</f>
        <v/>
      </c>
      <c r="U186" s="87" t="str">
        <f>IF(ISERROR(FIND('112'!$M$9,G186,1)),"",IF((AND(FIND('112'!$M$9,G186,1)&gt;=1,B186&lt;'112'!$K$9,$N186='112'!$I$6)),"x",""))</f>
        <v/>
      </c>
      <c r="V186" s="87" t="str">
        <f>IF(ISERROR(FIND('112'!$M$9,G186,1)),"",IF((AND(FIND('112'!$M$9,G186,1)&gt;=1,B186&lt;'112'!$K$9,$O186='112'!$I$6)),"x",""))</f>
        <v/>
      </c>
      <c r="W186" s="87" t="str">
        <f>IF(AND($B186&gt;='1331'!$I$9,$B186&lt;='1331'!$J$9,OR($N186=$W$7,$O186=$W$7)),"x","")</f>
        <v/>
      </c>
      <c r="X186" s="87" t="str">
        <f>IF(AND($N186=$W$7,$B186&lt;'1331'!$I$9),"x","")</f>
        <v/>
      </c>
      <c r="Y186" s="87" t="str">
        <f>IF(AND($O186=$W$7,$B186&lt;'1331'!$I$9),"x","")</f>
        <v/>
      </c>
      <c r="Z186" s="87" t="str">
        <f>IF(AND('341-CT'!$H$9=H186,OR(LEFT(N186,3)=$Z$7,LEFT(O186,3)=$Z$7)),"x","")</f>
        <v/>
      </c>
      <c r="AA186" s="87" t="str">
        <f>IF(OR(TH!N186=TH!$AA$7,O186=TH!$AA$7),"x","")</f>
        <v/>
      </c>
      <c r="AB186" s="87" t="str">
        <f>IF(AND(OR(N186="131",O186="131"),H186='131-CT'!$H$9),"x","")</f>
        <v/>
      </c>
      <c r="AC186" s="87"/>
      <c r="AD186" s="87" t="str">
        <f>IF(AND(MONTH(E186)='IN-NX'!$J$5,'IN-NX'!$D$7=D186),"x","")</f>
        <v/>
      </c>
      <c r="AE186" s="87" t="str">
        <f>IF(AND(OR(LEFT(TH!N186,2)="15",LEFT(TH!O186,2)="15"),'152-CT'!$J$8=TH!F186),"x","")</f>
        <v/>
      </c>
      <c r="AF186" s="87" t="str">
        <f>IF(AND(OR(LEFT(TH!N186,2)="15",LEFT(TH!O186,2)="15"),'THE KHO'!$E$7=TH!F186),"x","")</f>
        <v/>
      </c>
      <c r="AG186" s="87" t="str">
        <f>IF(AND(N186="1521",MONTH(C186)='BK NL'!$M$11),"x","")</f>
        <v/>
      </c>
    </row>
    <row r="187" spans="1:33" ht="15.75" customHeight="1">
      <c r="A187" s="399" t="str">
        <f>IF(B187&lt;&gt;"",IF(AND(B187&gt;=_TM1,B187&lt;=_TM2,OR(TH!N187="1111",TH!O187="1111")),TH!D187,""),"")</f>
        <v>C24</v>
      </c>
      <c r="B187" s="63">
        <f>IF(C187&lt;&gt;"",MONTH(C187),"")</f>
        <v>1</v>
      </c>
      <c r="C187" s="64">
        <v>42384</v>
      </c>
      <c r="D187" s="64" t="s">
        <v>972</v>
      </c>
      <c r="E187" s="64">
        <v>42384</v>
      </c>
      <c r="F187" s="67" t="s">
        <v>856</v>
      </c>
      <c r="G187" s="362" t="s">
        <v>909</v>
      </c>
      <c r="H187" s="75" t="s">
        <v>888</v>
      </c>
      <c r="I187" s="518"/>
      <c r="J187" s="518"/>
      <c r="K187" s="509"/>
      <c r="L187" s="518"/>
      <c r="M187" s="65">
        <v>59315</v>
      </c>
      <c r="N187" s="66" t="s">
        <v>9</v>
      </c>
      <c r="O187" s="66" t="s">
        <v>63</v>
      </c>
      <c r="P187" s="87" t="str">
        <f>IF(AND('331-CT'!$E$7=TH!H187,OR(N187="331",O187="331")),"x","")</f>
        <v/>
      </c>
      <c r="Q187" s="87" t="str">
        <f>IF(AND(B187='111'!$L$11,OR($N187=$Q$7,$O187=$Q$7)),"x","")</f>
        <v>x</v>
      </c>
      <c r="R187" s="87" t="str">
        <f>IF(AND($N187=$Q$7,$B187&lt;'111'!$L$11),"x","")</f>
        <v/>
      </c>
      <c r="S187" s="87" t="str">
        <f>IF(AND($O187=$Q$7,$B187&lt;'111'!$L$11),"x","")</f>
        <v/>
      </c>
      <c r="T187" s="87" t="str">
        <f>IF(ISERROR(FIND('112'!$M$9,G187,1)),"",IF((AND(FIND('112'!$M$9,G187,1)&gt;=1,B187='112'!$K$9,OR($N187='112'!$I$6,$O187='112'!$I$6))),"x",""))</f>
        <v/>
      </c>
      <c r="U187" s="87" t="str">
        <f>IF(ISERROR(FIND('112'!$M$9,G187,1)),"",IF((AND(FIND('112'!$M$9,G187,1)&gt;=1,B187&lt;'112'!$K$9,$N187='112'!$I$6)),"x",""))</f>
        <v/>
      </c>
      <c r="V187" s="87" t="str">
        <f>IF(ISERROR(FIND('112'!$M$9,G187,1)),"",IF((AND(FIND('112'!$M$9,G187,1)&gt;=1,B187&lt;'112'!$K$9,$O187='112'!$I$6)),"x",""))</f>
        <v/>
      </c>
      <c r="W187" s="87" t="str">
        <f>IF(AND($B187&gt;='1331'!$I$9,$B187&lt;='1331'!$J$9,OR($N187=$W$7,$O187=$W$7)),"x","")</f>
        <v>x</v>
      </c>
      <c r="X187" s="87" t="str">
        <f>IF(AND($N187=$W$7,$B187&lt;'1331'!$I$9),"x","")</f>
        <v/>
      </c>
      <c r="Y187" s="87" t="str">
        <f>IF(AND($O187=$W$7,$B187&lt;'1331'!$I$9),"x","")</f>
        <v/>
      </c>
      <c r="Z187" s="87" t="str">
        <f>IF(AND('341-CT'!$H$9=H187,OR(LEFT(N187,3)=$Z$7,LEFT(O187,3)=$Z$7)),"x","")</f>
        <v/>
      </c>
      <c r="AA187" s="87" t="str">
        <f>IF(OR(TH!N187=TH!$AA$7,O187=TH!$AA$7),"x","")</f>
        <v/>
      </c>
      <c r="AB187" s="87" t="str">
        <f>IF(AND(OR(N187="131",O187="131"),H187='131-CT'!$H$9),"x","")</f>
        <v/>
      </c>
      <c r="AC187" s="87"/>
      <c r="AD187" s="87" t="str">
        <f>IF(AND(MONTH(E187)='IN-NX'!$J$5,'IN-NX'!$D$7=D187),"x","")</f>
        <v/>
      </c>
      <c r="AE187" s="87" t="str">
        <f>IF(AND(OR(LEFT(TH!N187,2)="15",LEFT(TH!O187,2)="15"),'152-CT'!$J$8=TH!F187),"x","")</f>
        <v/>
      </c>
      <c r="AF187" s="87" t="str">
        <f>IF(AND(OR(LEFT(TH!N187,2)="15",LEFT(TH!O187,2)="15"),'THE KHO'!$E$7=TH!F187),"x","")</f>
        <v/>
      </c>
      <c r="AG187" s="87" t="str">
        <f>IF(AND(N187="1521",MONTH(C187)='BK NL'!$M$11),"x","")</f>
        <v/>
      </c>
    </row>
    <row r="188" spans="1:33" ht="15.75" customHeight="1">
      <c r="A188" s="399" t="str">
        <f>IF(B188&lt;&gt;"",IF(AND(B188&gt;=_TM1,B188&lt;=_TM2,OR(TH!N188="1111",TH!O188="1111")),TH!D188,""),"")</f>
        <v>C25</v>
      </c>
      <c r="B188" s="63">
        <f>IF(C188&lt;&gt;"",MONTH(C188),"")</f>
        <v>1</v>
      </c>
      <c r="C188" s="64">
        <v>42384</v>
      </c>
      <c r="D188" s="64" t="s">
        <v>973</v>
      </c>
      <c r="E188" s="64">
        <v>42384</v>
      </c>
      <c r="F188" s="67" t="s">
        <v>868</v>
      </c>
      <c r="G188" s="362" t="s">
        <v>910</v>
      </c>
      <c r="H188" s="75" t="s">
        <v>911</v>
      </c>
      <c r="I188" s="518"/>
      <c r="J188" s="518"/>
      <c r="K188" s="509"/>
      <c r="L188" s="518"/>
      <c r="M188" s="65">
        <v>400000</v>
      </c>
      <c r="N188" s="66" t="s">
        <v>101</v>
      </c>
      <c r="O188" s="66" t="s">
        <v>63</v>
      </c>
      <c r="P188" s="87" t="str">
        <f>IF(AND('331-CT'!$E$7=TH!H188,OR(N188="331",O188="331")),"x","")</f>
        <v/>
      </c>
      <c r="Q188" s="87" t="str">
        <f>IF(AND(B188='111'!$L$11,OR($N188=$Q$7,$O188=$Q$7)),"x","")</f>
        <v>x</v>
      </c>
      <c r="R188" s="87" t="str">
        <f>IF(AND($N188=$Q$7,$B188&lt;'111'!$L$11),"x","")</f>
        <v/>
      </c>
      <c r="S188" s="87" t="str">
        <f>IF(AND($O188=$Q$7,$B188&lt;'111'!$L$11),"x","")</f>
        <v/>
      </c>
      <c r="T188" s="87" t="str">
        <f>IF(ISERROR(FIND('112'!$M$9,G188,1)),"",IF((AND(FIND('112'!$M$9,G188,1)&gt;=1,B188='112'!$K$9,OR($N188='112'!$I$6,$O188='112'!$I$6))),"x",""))</f>
        <v/>
      </c>
      <c r="U188" s="87" t="str">
        <f>IF(ISERROR(FIND('112'!$M$9,G188,1)),"",IF((AND(FIND('112'!$M$9,G188,1)&gt;=1,B188&lt;'112'!$K$9,$N188='112'!$I$6)),"x",""))</f>
        <v/>
      </c>
      <c r="V188" s="87" t="str">
        <f>IF(ISERROR(FIND('112'!$M$9,G188,1)),"",IF((AND(FIND('112'!$M$9,G188,1)&gt;=1,B188&lt;'112'!$K$9,$O188='112'!$I$6)),"x",""))</f>
        <v/>
      </c>
      <c r="W188" s="87" t="str">
        <f>IF(AND($B188&gt;='1331'!$I$9,$B188&lt;='1331'!$J$9,OR($N188=$W$7,$O188=$W$7)),"x","")</f>
        <v/>
      </c>
      <c r="X188" s="87" t="str">
        <f>IF(AND($N188=$W$7,$B188&lt;'1331'!$I$9),"x","")</f>
        <v/>
      </c>
      <c r="Y188" s="87" t="str">
        <f>IF(AND($O188=$W$7,$B188&lt;'1331'!$I$9),"x","")</f>
        <v/>
      </c>
      <c r="Z188" s="87" t="str">
        <f>IF(AND('341-CT'!$H$9=H188,OR(LEFT(N188,3)=$Z$7,LEFT(O188,3)=$Z$7)),"x","")</f>
        <v/>
      </c>
      <c r="AA188" s="87" t="str">
        <f>IF(OR(TH!N188=TH!$AA$7,O188=TH!$AA$7),"x","")</f>
        <v/>
      </c>
      <c r="AB188" s="87" t="str">
        <f>IF(AND(OR(N188="131",O188="131"),H188='131-CT'!$H$9),"x","")</f>
        <v/>
      </c>
      <c r="AC188" s="87"/>
      <c r="AD188" s="87" t="str">
        <f>IF(AND(MONTH(E188)='IN-NX'!$J$5,'IN-NX'!$D$7=D188),"x","")</f>
        <v/>
      </c>
      <c r="AE188" s="87" t="str">
        <f>IF(AND(OR(LEFT(TH!N188,2)="15",LEFT(TH!O188,2)="15"),'152-CT'!$J$8=TH!F188),"x","")</f>
        <v/>
      </c>
      <c r="AF188" s="87" t="str">
        <f>IF(AND(OR(LEFT(TH!N188,2)="15",LEFT(TH!O188,2)="15"),'THE KHO'!$E$7=TH!F188),"x","")</f>
        <v/>
      </c>
      <c r="AG188" s="87" t="str">
        <f>IF(AND(N188="1521",MONTH(C188)='BK NL'!$M$11),"x","")</f>
        <v/>
      </c>
    </row>
    <row r="189" spans="1:33" ht="15.75" customHeight="1">
      <c r="A189" s="399" t="str">
        <f>IF(B189&lt;&gt;"",IF(AND(B189&gt;=_TM1,B189&lt;=_TM2,OR(TH!N189="1111",TH!O189="1111")),TH!D189,""),"")</f>
        <v>C25</v>
      </c>
      <c r="B189" s="63">
        <f>IF(C189&lt;&gt;"",MONTH(C189),"")</f>
        <v>1</v>
      </c>
      <c r="C189" s="64">
        <v>42384</v>
      </c>
      <c r="D189" s="64" t="s">
        <v>973</v>
      </c>
      <c r="E189" s="64">
        <v>42384</v>
      </c>
      <c r="F189" s="67" t="s">
        <v>869</v>
      </c>
      <c r="G189" s="362" t="s">
        <v>910</v>
      </c>
      <c r="H189" s="409" t="s">
        <v>911</v>
      </c>
      <c r="I189" s="522"/>
      <c r="J189" s="522"/>
      <c r="K189" s="513"/>
      <c r="L189" s="522"/>
      <c r="M189" s="65">
        <v>20000</v>
      </c>
      <c r="N189" s="66" t="s">
        <v>9</v>
      </c>
      <c r="O189" s="66" t="s">
        <v>63</v>
      </c>
      <c r="P189" s="87" t="str">
        <f>IF(AND('331-CT'!$E$7=TH!H189,OR(N189="331",O189="331")),"x","")</f>
        <v/>
      </c>
      <c r="Q189" s="87" t="str">
        <f>IF(AND(B189='111'!$L$11,OR($N189=$Q$7,$O189=$Q$7)),"x","")</f>
        <v>x</v>
      </c>
      <c r="R189" s="87" t="str">
        <f>IF(AND($N189=$Q$7,$B189&lt;'111'!$L$11),"x","")</f>
        <v/>
      </c>
      <c r="S189" s="87" t="str">
        <f>IF(AND($O189=$Q$7,$B189&lt;'111'!$L$11),"x","")</f>
        <v/>
      </c>
      <c r="T189" s="87" t="str">
        <f>IF(ISERROR(FIND('112'!$M$9,G189,1)),"",IF((AND(FIND('112'!$M$9,G189,1)&gt;=1,B189='112'!$K$9,OR($N189='112'!$I$6,$O189='112'!$I$6))),"x",""))</f>
        <v/>
      </c>
      <c r="U189" s="87" t="str">
        <f>IF(ISERROR(FIND('112'!$M$9,G189,1)),"",IF((AND(FIND('112'!$M$9,G189,1)&gt;=1,B189&lt;'112'!$K$9,$N189='112'!$I$6)),"x",""))</f>
        <v/>
      </c>
      <c r="V189" s="87" t="str">
        <f>IF(ISERROR(FIND('112'!$M$9,G189,1)),"",IF((AND(FIND('112'!$M$9,G189,1)&gt;=1,B189&lt;'112'!$K$9,$O189='112'!$I$6)),"x",""))</f>
        <v/>
      </c>
      <c r="W189" s="87" t="str">
        <f>IF(AND($B189&gt;='1331'!$I$9,$B189&lt;='1331'!$J$9,OR($N189=$W$7,$O189=$W$7)),"x","")</f>
        <v>x</v>
      </c>
      <c r="X189" s="87" t="str">
        <f>IF(AND($N189=$W$7,$B189&lt;'1331'!$I$9),"x","")</f>
        <v/>
      </c>
      <c r="Y189" s="87" t="str">
        <f>IF(AND($O189=$W$7,$B189&lt;'1331'!$I$9),"x","")</f>
        <v/>
      </c>
      <c r="Z189" s="87" t="str">
        <f>IF(AND('341-CT'!$H$9=H189,OR(LEFT(N189,3)=$Z$7,LEFT(O189,3)=$Z$7)),"x","")</f>
        <v/>
      </c>
      <c r="AA189" s="87" t="str">
        <f>IF(OR(TH!N189=TH!$AA$7,O189=TH!$AA$7),"x","")</f>
        <v/>
      </c>
      <c r="AB189" s="87" t="str">
        <f>IF(AND(OR(N189="131",O189="131"),H189='131-CT'!$H$9),"x","")</f>
        <v/>
      </c>
      <c r="AC189" s="87"/>
      <c r="AD189" s="87" t="str">
        <f>IF(AND(MONTH(E189)='IN-NX'!$J$5,'IN-NX'!$D$7=D189),"x","")</f>
        <v/>
      </c>
      <c r="AE189" s="87" t="str">
        <f>IF(AND(OR(LEFT(TH!N189,2)="15",LEFT(TH!O189,2)="15"),'152-CT'!$J$8=TH!F189),"x","")</f>
        <v/>
      </c>
      <c r="AF189" s="87" t="str">
        <f>IF(AND(OR(LEFT(TH!N189,2)="15",LEFT(TH!O189,2)="15"),'THE KHO'!$E$7=TH!F189),"x","")</f>
        <v/>
      </c>
      <c r="AG189" s="87" t="str">
        <f>IF(AND(N189="1521",MONTH(C189)='BK NL'!$M$11),"x","")</f>
        <v/>
      </c>
    </row>
    <row r="190" spans="1:33" ht="15.75" customHeight="1">
      <c r="A190" s="399" t="str">
        <f>IF(B190&lt;&gt;"",IF(AND(B190&gt;=_TM1,B190&lt;=_TM2,OR(TH!N190="1111",TH!O190="1111")),TH!D190,""),"")</f>
        <v>C26</v>
      </c>
      <c r="B190" s="63">
        <f>IF(C190&lt;&gt;"",MONTH(C190),"")</f>
        <v>1</v>
      </c>
      <c r="C190" s="64">
        <v>42384</v>
      </c>
      <c r="D190" s="64" t="s">
        <v>974</v>
      </c>
      <c r="E190" s="64">
        <v>42384</v>
      </c>
      <c r="F190" s="67" t="s">
        <v>860</v>
      </c>
      <c r="G190" s="362" t="s">
        <v>912</v>
      </c>
      <c r="H190" s="409" t="s">
        <v>899</v>
      </c>
      <c r="I190" s="522"/>
      <c r="J190" s="522"/>
      <c r="K190" s="513"/>
      <c r="L190" s="522"/>
      <c r="M190" s="65">
        <v>17435800</v>
      </c>
      <c r="N190" s="66" t="s">
        <v>101</v>
      </c>
      <c r="O190" s="66" t="s">
        <v>63</v>
      </c>
      <c r="P190" s="87" t="str">
        <f>IF(AND('331-CT'!$E$7=TH!H190,OR(N190="331",O190="331")),"x","")</f>
        <v/>
      </c>
      <c r="Q190" s="87" t="str">
        <f>IF(AND(B190='111'!$L$11,OR($N190=$Q$7,$O190=$Q$7)),"x","")</f>
        <v>x</v>
      </c>
      <c r="R190" s="87" t="str">
        <f>IF(AND($N190=$Q$7,$B190&lt;'111'!$L$11),"x","")</f>
        <v/>
      </c>
      <c r="S190" s="87" t="str">
        <f>IF(AND($O190=$Q$7,$B190&lt;'111'!$L$11),"x","")</f>
        <v/>
      </c>
      <c r="T190" s="87" t="str">
        <f>IF(ISERROR(FIND('112'!$M$9,G190,1)),"",IF((AND(FIND('112'!$M$9,G190,1)&gt;=1,B190='112'!$K$9,OR($N190='112'!$I$6,$O190='112'!$I$6))),"x",""))</f>
        <v/>
      </c>
      <c r="U190" s="87" t="str">
        <f>IF(ISERROR(FIND('112'!$M$9,G190,1)),"",IF((AND(FIND('112'!$M$9,G190,1)&gt;=1,B190&lt;'112'!$K$9,$N190='112'!$I$6)),"x",""))</f>
        <v/>
      </c>
      <c r="V190" s="87" t="str">
        <f>IF(ISERROR(FIND('112'!$M$9,G190,1)),"",IF((AND(FIND('112'!$M$9,G190,1)&gt;=1,B190&lt;'112'!$K$9,$O190='112'!$I$6)),"x",""))</f>
        <v/>
      </c>
      <c r="W190" s="87" t="str">
        <f>IF(AND($B190&gt;='1331'!$I$9,$B190&lt;='1331'!$J$9,OR($N190=$W$7,$O190=$W$7)),"x","")</f>
        <v/>
      </c>
      <c r="X190" s="87" t="str">
        <f>IF(AND($N190=$W$7,$B190&lt;'1331'!$I$9),"x","")</f>
        <v/>
      </c>
      <c r="Y190" s="87" t="str">
        <f>IF(AND($O190=$W$7,$B190&lt;'1331'!$I$9),"x","")</f>
        <v/>
      </c>
      <c r="Z190" s="87" t="str">
        <f>IF(AND('341-CT'!$H$9=H190,OR(LEFT(N190,3)=$Z$7,LEFT(O190,3)=$Z$7)),"x","")</f>
        <v/>
      </c>
      <c r="AA190" s="87" t="str">
        <f>IF(OR(TH!N190=TH!$AA$7,O190=TH!$AA$7),"x","")</f>
        <v/>
      </c>
      <c r="AB190" s="87" t="str">
        <f>IF(AND(OR(N190="131",O190="131"),H190='131-CT'!$H$9),"x","")</f>
        <v/>
      </c>
      <c r="AC190" s="87"/>
      <c r="AD190" s="87" t="str">
        <f>IF(AND(MONTH(E190)='IN-NX'!$J$5,'IN-NX'!$D$7=D190),"x","")</f>
        <v/>
      </c>
      <c r="AE190" s="87" t="str">
        <f>IF(AND(OR(LEFT(TH!N190,2)="15",LEFT(TH!O190,2)="15"),'152-CT'!$J$8=TH!F190),"x","")</f>
        <v/>
      </c>
      <c r="AF190" s="87" t="str">
        <f>IF(AND(OR(LEFT(TH!N190,2)="15",LEFT(TH!O190,2)="15"),'THE KHO'!$E$7=TH!F190),"x","")</f>
        <v/>
      </c>
      <c r="AG190" s="87" t="str">
        <f>IF(AND(N190="1521",MONTH(C190)='BK NL'!$M$11),"x","")</f>
        <v/>
      </c>
    </row>
    <row r="191" spans="1:33" ht="15.75" customHeight="1">
      <c r="A191" s="399" t="str">
        <f>IF(B191&lt;&gt;"",IF(AND(B191&gt;=_TM1,B191&lt;=_TM2,OR(TH!N191="1111",TH!O191="1111")),TH!D191,""),"")</f>
        <v>C26</v>
      </c>
      <c r="B191" s="63">
        <f>IF(C191&lt;&gt;"",MONTH(C191),"")</f>
        <v>1</v>
      </c>
      <c r="C191" s="64">
        <v>42384</v>
      </c>
      <c r="D191" s="64" t="s">
        <v>974</v>
      </c>
      <c r="E191" s="64">
        <v>42384</v>
      </c>
      <c r="F191" s="67" t="s">
        <v>861</v>
      </c>
      <c r="G191" s="362" t="s">
        <v>912</v>
      </c>
      <c r="H191" s="409" t="s">
        <v>899</v>
      </c>
      <c r="I191" s="522"/>
      <c r="J191" s="522"/>
      <c r="K191" s="513"/>
      <c r="L191" s="522"/>
      <c r="M191" s="65">
        <v>1743580</v>
      </c>
      <c r="N191" s="66" t="s">
        <v>9</v>
      </c>
      <c r="O191" s="66" t="s">
        <v>63</v>
      </c>
      <c r="P191" s="87" t="str">
        <f>IF(AND('331-CT'!$E$7=TH!H191,OR(N191="331",O191="331")),"x","")</f>
        <v/>
      </c>
      <c r="Q191" s="87" t="str">
        <f>IF(AND(B191='111'!$L$11,OR($N191=$Q$7,$O191=$Q$7)),"x","")</f>
        <v>x</v>
      </c>
      <c r="R191" s="87" t="str">
        <f>IF(AND($N191=$Q$7,$B191&lt;'111'!$L$11),"x","")</f>
        <v/>
      </c>
      <c r="S191" s="87" t="str">
        <f>IF(AND($O191=$Q$7,$B191&lt;'111'!$L$11),"x","")</f>
        <v/>
      </c>
      <c r="T191" s="87" t="str">
        <f>IF(ISERROR(FIND('112'!$M$9,G191,1)),"",IF((AND(FIND('112'!$M$9,G191,1)&gt;=1,B191='112'!$K$9,OR($N191='112'!$I$6,$O191='112'!$I$6))),"x",""))</f>
        <v/>
      </c>
      <c r="U191" s="87" t="str">
        <f>IF(ISERROR(FIND('112'!$M$9,G191,1)),"",IF((AND(FIND('112'!$M$9,G191,1)&gt;=1,B191&lt;'112'!$K$9,$N191='112'!$I$6)),"x",""))</f>
        <v/>
      </c>
      <c r="V191" s="87" t="str">
        <f>IF(ISERROR(FIND('112'!$M$9,G191,1)),"",IF((AND(FIND('112'!$M$9,G191,1)&gt;=1,B191&lt;'112'!$K$9,$O191='112'!$I$6)),"x",""))</f>
        <v/>
      </c>
      <c r="W191" s="87" t="str">
        <f>IF(AND($B191&gt;='1331'!$I$9,$B191&lt;='1331'!$J$9,OR($N191=$W$7,$O191=$W$7)),"x","")</f>
        <v>x</v>
      </c>
      <c r="X191" s="87" t="str">
        <f>IF(AND($N191=$W$7,$B191&lt;'1331'!$I$9),"x","")</f>
        <v/>
      </c>
      <c r="Y191" s="87" t="str">
        <f>IF(AND($O191=$W$7,$B191&lt;'1331'!$I$9),"x","")</f>
        <v/>
      </c>
      <c r="Z191" s="87" t="str">
        <f>IF(AND('341-CT'!$H$9=H191,OR(LEFT(N191,3)=$Z$7,LEFT(O191,3)=$Z$7)),"x","")</f>
        <v/>
      </c>
      <c r="AA191" s="87" t="str">
        <f>IF(OR(TH!N191=TH!$AA$7,O191=TH!$AA$7),"x","")</f>
        <v/>
      </c>
      <c r="AB191" s="87" t="str">
        <f>IF(AND(OR(N191="131",O191="131"),H191='131-CT'!$H$9),"x","")</f>
        <v/>
      </c>
      <c r="AC191" s="87"/>
      <c r="AD191" s="87" t="str">
        <f>IF(AND(MONTH(E191)='IN-NX'!$J$5,'IN-NX'!$D$7=D191),"x","")</f>
        <v/>
      </c>
      <c r="AE191" s="87" t="str">
        <f>IF(AND(OR(LEFT(TH!N191,2)="15",LEFT(TH!O191,2)="15"),'152-CT'!$J$8=TH!F191),"x","")</f>
        <v/>
      </c>
      <c r="AF191" s="87" t="str">
        <f>IF(AND(OR(LEFT(TH!N191,2)="15",LEFT(TH!O191,2)="15"),'THE KHO'!$E$7=TH!F191),"x","")</f>
        <v/>
      </c>
      <c r="AG191" s="87" t="str">
        <f>IF(AND(N191="1521",MONTH(C191)='BK NL'!$M$11),"x","")</f>
        <v/>
      </c>
    </row>
    <row r="192" spans="1:33" ht="15.75" customHeight="1">
      <c r="A192" s="399" t="str">
        <f>IF(B192&lt;&gt;"",IF(AND(B192&gt;=_TM1,B192&lt;=_TM2,OR(TH!N192="1111",TH!O192="1111")),TH!D192,""),"")</f>
        <v/>
      </c>
      <c r="B192" s="63">
        <f>IF(C192&lt;&gt;"",MONTH(C192),"")</f>
        <v>1</v>
      </c>
      <c r="C192" s="64">
        <v>42387</v>
      </c>
      <c r="D192" s="64" t="s">
        <v>773</v>
      </c>
      <c r="E192" s="64">
        <v>42387</v>
      </c>
      <c r="F192" s="67" t="s">
        <v>822</v>
      </c>
      <c r="G192" s="362" t="s">
        <v>999</v>
      </c>
      <c r="H192" s="96"/>
      <c r="I192" s="518"/>
      <c r="J192" s="518"/>
      <c r="K192" s="509"/>
      <c r="L192" s="518"/>
      <c r="M192" s="65">
        <v>3087650</v>
      </c>
      <c r="N192" s="66" t="s">
        <v>99</v>
      </c>
      <c r="O192" s="66" t="s">
        <v>26</v>
      </c>
      <c r="P192" s="87" t="str">
        <f>IF(AND('331-CT'!$E$7=TH!H192,OR(N192="331",O192="331")),"x","")</f>
        <v/>
      </c>
      <c r="Q192" s="87" t="str">
        <f>IF(AND(B192='111'!$L$11,OR($N192=$Q$7,$O192=$Q$7)),"x","")</f>
        <v/>
      </c>
      <c r="R192" s="87" t="str">
        <f>IF(AND($N192=$Q$7,$B192&lt;'111'!$L$11),"x","")</f>
        <v/>
      </c>
      <c r="S192" s="87" t="str">
        <f>IF(AND($O192=$Q$7,$B192&lt;'111'!$L$11),"x","")</f>
        <v/>
      </c>
      <c r="T192" s="87" t="str">
        <f>IF(ISERROR(FIND('112'!$M$9,G192,1)),"",IF((AND(FIND('112'!$M$9,G192,1)&gt;=1,B192='112'!$K$9,OR($N192='112'!$I$6,$O192='112'!$I$6))),"x",""))</f>
        <v>x</v>
      </c>
      <c r="U192" s="87" t="str">
        <f>IF(ISERROR(FIND('112'!$M$9,G192,1)),"",IF((AND(FIND('112'!$M$9,G192,1)&gt;=1,B192&lt;'112'!$K$9,$N192='112'!$I$6)),"x",""))</f>
        <v/>
      </c>
      <c r="V192" s="87" t="str">
        <f>IF(ISERROR(FIND('112'!$M$9,G192,1)),"",IF((AND(FIND('112'!$M$9,G192,1)&gt;=1,B192&lt;'112'!$K$9,$O192='112'!$I$6)),"x",""))</f>
        <v/>
      </c>
      <c r="W192" s="87" t="str">
        <f>IF(AND($B192&gt;='1331'!$I$9,$B192&lt;='1331'!$J$9,OR($N192=$W$7,$O192=$W$7)),"x","")</f>
        <v/>
      </c>
      <c r="X192" s="87" t="str">
        <f>IF(AND($N192=$W$7,$B192&lt;'1331'!$I$9),"x","")</f>
        <v/>
      </c>
      <c r="Y192" s="87" t="str">
        <f>IF(AND($O192=$W$7,$B192&lt;'1331'!$I$9),"x","")</f>
        <v/>
      </c>
      <c r="Z192" s="87" t="str">
        <f>IF(AND('341-CT'!$H$9=H192,OR(LEFT(N192,3)=$Z$7,LEFT(O192,3)=$Z$7)),"x","")</f>
        <v/>
      </c>
      <c r="AA192" s="87" t="str">
        <f>IF(OR(TH!N192=TH!$AA$7,O192=TH!$AA$7),"x","")</f>
        <v/>
      </c>
      <c r="AB192" s="87" t="str">
        <f>IF(AND(OR(N192="131",O192="131"),H192='131-CT'!$H$9),"x","")</f>
        <v/>
      </c>
      <c r="AC192" s="87"/>
      <c r="AD192" s="87" t="str">
        <f>IF(AND(MONTH(E192)='IN-NX'!$J$5,'IN-NX'!$D$7=D192),"x","")</f>
        <v/>
      </c>
      <c r="AE192" s="87" t="str">
        <f>IF(AND(OR(LEFT(TH!N192,2)="15",LEFT(TH!O192,2)="15"),'152-CT'!$J$8=TH!F192),"x","")</f>
        <v/>
      </c>
      <c r="AF192" s="87" t="str">
        <f>IF(AND(OR(LEFT(TH!N192,2)="15",LEFT(TH!O192,2)="15"),'THE KHO'!$E$7=TH!F192),"x","")</f>
        <v/>
      </c>
      <c r="AG192" s="87" t="str">
        <f>IF(AND(N192="1521",MONTH(C192)='BK NL'!$M$11),"x","")</f>
        <v/>
      </c>
    </row>
    <row r="193" spans="1:33" ht="15.75" customHeight="1">
      <c r="A193" s="399" t="str">
        <f>IF(B193&lt;&gt;"",IF(AND(B193&gt;=_TM1,B193&lt;=_TM2,OR(TH!N193="1111",TH!O193="1111")),TH!D193,""),"")</f>
        <v/>
      </c>
      <c r="B193" s="63">
        <f>IF(C193&lt;&gt;"",MONTH(C193),"")</f>
        <v>1</v>
      </c>
      <c r="C193" s="64">
        <v>42387</v>
      </c>
      <c r="D193" s="64" t="s">
        <v>773</v>
      </c>
      <c r="E193" s="64">
        <v>42387</v>
      </c>
      <c r="F193" s="67" t="s">
        <v>823</v>
      </c>
      <c r="G193" s="362" t="s">
        <v>999</v>
      </c>
      <c r="H193" s="96"/>
      <c r="I193" s="518"/>
      <c r="J193" s="518"/>
      <c r="K193" s="509"/>
      <c r="L193" s="518"/>
      <c r="M193" s="65">
        <v>3859450</v>
      </c>
      <c r="N193" s="66" t="s">
        <v>99</v>
      </c>
      <c r="O193" s="66" t="s">
        <v>26</v>
      </c>
      <c r="P193" s="87" t="str">
        <f>IF(AND('331-CT'!$E$7=TH!H193,OR(N193="331",O193="331")),"x","")</f>
        <v/>
      </c>
      <c r="Q193" s="87" t="str">
        <f>IF(AND(B193='111'!$L$11,OR($N193=$Q$7,$O193=$Q$7)),"x","")</f>
        <v/>
      </c>
      <c r="R193" s="87" t="str">
        <f>IF(AND($N193=$Q$7,$B193&lt;'111'!$L$11),"x","")</f>
        <v/>
      </c>
      <c r="S193" s="87" t="str">
        <f>IF(AND($O193=$Q$7,$B193&lt;'111'!$L$11),"x","")</f>
        <v/>
      </c>
      <c r="T193" s="87" t="str">
        <f>IF(ISERROR(FIND('112'!$M$9,G193,1)),"",IF((AND(FIND('112'!$M$9,G193,1)&gt;=1,B193='112'!$K$9,OR($N193='112'!$I$6,$O193='112'!$I$6))),"x",""))</f>
        <v>x</v>
      </c>
      <c r="U193" s="87" t="str">
        <f>IF(ISERROR(FIND('112'!$M$9,G193,1)),"",IF((AND(FIND('112'!$M$9,G193,1)&gt;=1,B193&lt;'112'!$K$9,$N193='112'!$I$6)),"x",""))</f>
        <v/>
      </c>
      <c r="V193" s="87" t="str">
        <f>IF(ISERROR(FIND('112'!$M$9,G193,1)),"",IF((AND(FIND('112'!$M$9,G193,1)&gt;=1,B193&lt;'112'!$K$9,$O193='112'!$I$6)),"x",""))</f>
        <v/>
      </c>
      <c r="W193" s="87" t="str">
        <f>IF(AND($B193&gt;='1331'!$I$9,$B193&lt;='1331'!$J$9,OR($N193=$W$7,$O193=$W$7)),"x","")</f>
        <v/>
      </c>
      <c r="X193" s="87" t="str">
        <f>IF(AND($N193=$W$7,$B193&lt;'1331'!$I$9),"x","")</f>
        <v/>
      </c>
      <c r="Y193" s="87" t="str">
        <f>IF(AND($O193=$W$7,$B193&lt;'1331'!$I$9),"x","")</f>
        <v/>
      </c>
      <c r="Z193" s="87" t="str">
        <f>IF(AND('341-CT'!$H$9=H193,OR(LEFT(N193,3)=$Z$7,LEFT(O193,3)=$Z$7)),"x","")</f>
        <v/>
      </c>
      <c r="AA193" s="87" t="str">
        <f>IF(OR(TH!N193=TH!$AA$7,O193=TH!$AA$7),"x","")</f>
        <v/>
      </c>
      <c r="AB193" s="87" t="str">
        <f>IF(AND(OR(N193="131",O193="131"),H193='131-CT'!$H$9),"x","")</f>
        <v/>
      </c>
      <c r="AC193" s="87"/>
      <c r="AD193" s="87" t="str">
        <f>IF(AND(MONTH(E193)='IN-NX'!$J$5,'IN-NX'!$D$7=D193),"x","")</f>
        <v/>
      </c>
      <c r="AE193" s="87" t="str">
        <f>IF(AND(OR(LEFT(TH!N193,2)="15",LEFT(TH!O193,2)="15"),'152-CT'!$J$8=TH!F193),"x","")</f>
        <v/>
      </c>
      <c r="AF193" s="87" t="str">
        <f>IF(AND(OR(LEFT(TH!N193,2)="15",LEFT(TH!O193,2)="15"),'THE KHO'!$E$7=TH!F193),"x","")</f>
        <v/>
      </c>
      <c r="AG193" s="87" t="str">
        <f>IF(AND(N193="1521",MONTH(C193)='BK NL'!$M$11),"x","")</f>
        <v/>
      </c>
    </row>
    <row r="194" spans="1:33" ht="15.75" customHeight="1">
      <c r="A194" s="399" t="str">
        <f>IF(B194&lt;&gt;"",IF(AND(B194&gt;=_TM1,B194&lt;=_TM2,OR(TH!N194="1111",TH!O194="1111")),TH!D194,""),"")</f>
        <v/>
      </c>
      <c r="B194" s="63">
        <f>IF(C194&lt;&gt;"",MONTH(C194),"")</f>
        <v>1</v>
      </c>
      <c r="C194" s="64">
        <v>42387</v>
      </c>
      <c r="D194" s="64" t="s">
        <v>773</v>
      </c>
      <c r="E194" s="64">
        <v>42387</v>
      </c>
      <c r="F194" s="67" t="s">
        <v>824</v>
      </c>
      <c r="G194" s="362" t="s">
        <v>999</v>
      </c>
      <c r="H194" s="96"/>
      <c r="I194" s="522"/>
      <c r="J194" s="522"/>
      <c r="K194" s="513"/>
      <c r="L194" s="522"/>
      <c r="M194" s="65">
        <v>7490746</v>
      </c>
      <c r="N194" s="66" t="s">
        <v>99</v>
      </c>
      <c r="O194" s="66" t="s">
        <v>26</v>
      </c>
      <c r="P194" s="87" t="str">
        <f>IF(AND('331-CT'!$E$7=TH!H194,OR(N194="331",O194="331")),"x","")</f>
        <v/>
      </c>
      <c r="Q194" s="87" t="str">
        <f>IF(AND(B194='111'!$L$11,OR($N194=$Q$7,$O194=$Q$7)),"x","")</f>
        <v/>
      </c>
      <c r="R194" s="87" t="str">
        <f>IF(AND($N194=$Q$7,$B194&lt;'111'!$L$11),"x","")</f>
        <v/>
      </c>
      <c r="S194" s="87" t="str">
        <f>IF(AND($O194=$Q$7,$B194&lt;'111'!$L$11),"x","")</f>
        <v/>
      </c>
      <c r="T194" s="87" t="str">
        <f>IF(ISERROR(FIND('112'!$M$9,G194,1)),"",IF((AND(FIND('112'!$M$9,G194,1)&gt;=1,B194='112'!$K$9,OR($N194='112'!$I$6,$O194='112'!$I$6))),"x",""))</f>
        <v>x</v>
      </c>
      <c r="U194" s="87" t="str">
        <f>IF(ISERROR(FIND('112'!$M$9,G194,1)),"",IF((AND(FIND('112'!$M$9,G194,1)&gt;=1,B194&lt;'112'!$K$9,$N194='112'!$I$6)),"x",""))</f>
        <v/>
      </c>
      <c r="V194" s="87" t="str">
        <f>IF(ISERROR(FIND('112'!$M$9,G194,1)),"",IF((AND(FIND('112'!$M$9,G194,1)&gt;=1,B194&lt;'112'!$K$9,$O194='112'!$I$6)),"x",""))</f>
        <v/>
      </c>
      <c r="W194" s="87" t="str">
        <f>IF(AND($B194&gt;='1331'!$I$9,$B194&lt;='1331'!$J$9,OR($N194=$W$7,$O194=$W$7)),"x","")</f>
        <v/>
      </c>
      <c r="X194" s="87" t="str">
        <f>IF(AND($N194=$W$7,$B194&lt;'1331'!$I$9),"x","")</f>
        <v/>
      </c>
      <c r="Y194" s="87" t="str">
        <f>IF(AND($O194=$W$7,$B194&lt;'1331'!$I$9),"x","")</f>
        <v/>
      </c>
      <c r="Z194" s="87" t="str">
        <f>IF(AND('341-CT'!$H$9=H194,OR(LEFT(N194,3)=$Z$7,LEFT(O194,3)=$Z$7)),"x","")</f>
        <v/>
      </c>
      <c r="AA194" s="87" t="str">
        <f>IF(OR(TH!N194=TH!$AA$7,O194=TH!$AA$7),"x","")</f>
        <v/>
      </c>
      <c r="AB194" s="87" t="str">
        <f>IF(AND(OR(N194="131",O194="131"),H194='131-CT'!$H$9),"x","")</f>
        <v/>
      </c>
      <c r="AC194" s="87"/>
      <c r="AD194" s="87" t="str">
        <f>IF(AND(MONTH(E194)='IN-NX'!$J$5,'IN-NX'!$D$7=D194),"x","")</f>
        <v/>
      </c>
      <c r="AE194" s="87" t="str">
        <f>IF(AND(OR(LEFT(TH!N194,2)="15",LEFT(TH!O194,2)="15"),'152-CT'!$J$8=TH!F194),"x","")</f>
        <v/>
      </c>
      <c r="AF194" s="87" t="str">
        <f>IF(AND(OR(LEFT(TH!N194,2)="15",LEFT(TH!O194,2)="15"),'THE KHO'!$E$7=TH!F194),"x","")</f>
        <v/>
      </c>
      <c r="AG194" s="87" t="str">
        <f>IF(AND(N194="1521",MONTH(C194)='BK NL'!$M$11),"x","")</f>
        <v/>
      </c>
    </row>
    <row r="195" spans="1:33" ht="15.75" customHeight="1">
      <c r="A195" s="399" t="str">
        <f>IF(B195&lt;&gt;"",IF(AND(B195&gt;=_TM1,B195&lt;=_TM2,OR(TH!N195="1111",TH!O195="1111")),TH!D195,""),"")</f>
        <v>C27</v>
      </c>
      <c r="B195" s="63">
        <f>IF(C195&lt;&gt;"",MONTH(C195),"")</f>
        <v>1</v>
      </c>
      <c r="C195" s="64">
        <v>42387</v>
      </c>
      <c r="D195" s="64" t="s">
        <v>975</v>
      </c>
      <c r="E195" s="64">
        <v>42387</v>
      </c>
      <c r="F195" s="67" t="s">
        <v>870</v>
      </c>
      <c r="G195" s="362" t="s">
        <v>913</v>
      </c>
      <c r="H195" s="409" t="s">
        <v>888</v>
      </c>
      <c r="I195" s="522"/>
      <c r="J195" s="522"/>
      <c r="K195" s="513"/>
      <c r="L195" s="522"/>
      <c r="M195" s="65">
        <v>1346136</v>
      </c>
      <c r="N195" s="66" t="s">
        <v>101</v>
      </c>
      <c r="O195" s="66" t="s">
        <v>63</v>
      </c>
      <c r="P195" s="87" t="str">
        <f>IF(AND('331-CT'!$E$7=TH!H195,OR(N195="331",O195="331")),"x","")</f>
        <v/>
      </c>
      <c r="Q195" s="87" t="str">
        <f>IF(AND(B195='111'!$L$11,OR($N195=$Q$7,$O195=$Q$7)),"x","")</f>
        <v>x</v>
      </c>
      <c r="R195" s="87" t="str">
        <f>IF(AND($N195=$Q$7,$B195&lt;'111'!$L$11),"x","")</f>
        <v/>
      </c>
      <c r="S195" s="87" t="str">
        <f>IF(AND($O195=$Q$7,$B195&lt;'111'!$L$11),"x","")</f>
        <v/>
      </c>
      <c r="T195" s="87" t="str">
        <f>IF(ISERROR(FIND('112'!$M$9,G195,1)),"",IF((AND(FIND('112'!$M$9,G195,1)&gt;=1,B195='112'!$K$9,OR($N195='112'!$I$6,$O195='112'!$I$6))),"x",""))</f>
        <v/>
      </c>
      <c r="U195" s="87" t="str">
        <f>IF(ISERROR(FIND('112'!$M$9,G195,1)),"",IF((AND(FIND('112'!$M$9,G195,1)&gt;=1,B195&lt;'112'!$K$9,$N195='112'!$I$6)),"x",""))</f>
        <v/>
      </c>
      <c r="V195" s="87" t="str">
        <f>IF(ISERROR(FIND('112'!$M$9,G195,1)),"",IF((AND(FIND('112'!$M$9,G195,1)&gt;=1,B195&lt;'112'!$K$9,$O195='112'!$I$6)),"x",""))</f>
        <v/>
      </c>
      <c r="W195" s="87" t="str">
        <f>IF(AND($B195&gt;='1331'!$I$9,$B195&lt;='1331'!$J$9,OR($N195=$W$7,$O195=$W$7)),"x","")</f>
        <v/>
      </c>
      <c r="X195" s="87" t="str">
        <f>IF(AND($N195=$W$7,$B195&lt;'1331'!$I$9),"x","")</f>
        <v/>
      </c>
      <c r="Y195" s="87" t="str">
        <f>IF(AND($O195=$W$7,$B195&lt;'1331'!$I$9),"x","")</f>
        <v/>
      </c>
      <c r="Z195" s="87" t="str">
        <f>IF(AND('341-CT'!$H$9=H195,OR(LEFT(N195,3)=$Z$7,LEFT(O195,3)=$Z$7)),"x","")</f>
        <v/>
      </c>
      <c r="AA195" s="87" t="str">
        <f>IF(OR(TH!N195=TH!$AA$7,O195=TH!$AA$7),"x","")</f>
        <v/>
      </c>
      <c r="AB195" s="87" t="str">
        <f>IF(AND(OR(N195="131",O195="131"),H195='131-CT'!$H$9),"x","")</f>
        <v/>
      </c>
      <c r="AC195" s="87"/>
      <c r="AD195" s="87" t="str">
        <f>IF(AND(MONTH(E195)='IN-NX'!$J$5,'IN-NX'!$D$7=D195),"x","")</f>
        <v/>
      </c>
      <c r="AE195" s="87" t="str">
        <f>IF(AND(OR(LEFT(TH!N195,2)="15",LEFT(TH!O195,2)="15"),'152-CT'!$J$8=TH!F195),"x","")</f>
        <v/>
      </c>
      <c r="AF195" s="87" t="str">
        <f>IF(AND(OR(LEFT(TH!N195,2)="15",LEFT(TH!O195,2)="15"),'THE KHO'!$E$7=TH!F195),"x","")</f>
        <v/>
      </c>
      <c r="AG195" s="87" t="str">
        <f>IF(AND(N195="1521",MONTH(C195)='BK NL'!$M$11),"x","")</f>
        <v/>
      </c>
    </row>
    <row r="196" spans="1:33" ht="15.75" customHeight="1">
      <c r="A196" s="399" t="str">
        <f>IF(B196&lt;&gt;"",IF(AND(B196&gt;=_TM1,B196&lt;=_TM2,OR(TH!N196="1111",TH!O196="1111")),TH!D196,""),"")</f>
        <v>C27</v>
      </c>
      <c r="B196" s="63">
        <f>IF(C196&lt;&gt;"",MONTH(C196),"")</f>
        <v>1</v>
      </c>
      <c r="C196" s="64">
        <v>42387</v>
      </c>
      <c r="D196" s="64" t="s">
        <v>975</v>
      </c>
      <c r="E196" s="64">
        <v>42387</v>
      </c>
      <c r="F196" s="67" t="s">
        <v>871</v>
      </c>
      <c r="G196" s="362" t="s">
        <v>913</v>
      </c>
      <c r="H196" s="75" t="s">
        <v>888</v>
      </c>
      <c r="I196" s="518"/>
      <c r="J196" s="518"/>
      <c r="K196" s="509"/>
      <c r="L196" s="518"/>
      <c r="M196" s="65">
        <v>134614</v>
      </c>
      <c r="N196" s="66" t="s">
        <v>9</v>
      </c>
      <c r="O196" s="66" t="s">
        <v>63</v>
      </c>
      <c r="P196" s="87" t="str">
        <f>IF(AND('331-CT'!$E$7=TH!H196,OR(N196="331",O196="331")),"x","")</f>
        <v/>
      </c>
      <c r="Q196" s="87" t="str">
        <f>IF(AND(B196='111'!$L$11,OR($N196=$Q$7,$O196=$Q$7)),"x","")</f>
        <v>x</v>
      </c>
      <c r="R196" s="87" t="str">
        <f>IF(AND($N196=$Q$7,$B196&lt;'111'!$L$11),"x","")</f>
        <v/>
      </c>
      <c r="S196" s="87" t="str">
        <f>IF(AND($O196=$Q$7,$B196&lt;'111'!$L$11),"x","")</f>
        <v/>
      </c>
      <c r="T196" s="87" t="str">
        <f>IF(ISERROR(FIND('112'!$M$9,G196,1)),"",IF((AND(FIND('112'!$M$9,G196,1)&gt;=1,B196='112'!$K$9,OR($N196='112'!$I$6,$O196='112'!$I$6))),"x",""))</f>
        <v/>
      </c>
      <c r="U196" s="87" t="str">
        <f>IF(ISERROR(FIND('112'!$M$9,G196,1)),"",IF((AND(FIND('112'!$M$9,G196,1)&gt;=1,B196&lt;'112'!$K$9,$N196='112'!$I$6)),"x",""))</f>
        <v/>
      </c>
      <c r="V196" s="87" t="str">
        <f>IF(ISERROR(FIND('112'!$M$9,G196,1)),"",IF((AND(FIND('112'!$M$9,G196,1)&gt;=1,B196&lt;'112'!$K$9,$O196='112'!$I$6)),"x",""))</f>
        <v/>
      </c>
      <c r="W196" s="87" t="str">
        <f>IF(AND($B196&gt;='1331'!$I$9,$B196&lt;='1331'!$J$9,OR($N196=$W$7,$O196=$W$7)),"x","")</f>
        <v>x</v>
      </c>
      <c r="X196" s="87" t="str">
        <f>IF(AND($N196=$W$7,$B196&lt;'1331'!$I$9),"x","")</f>
        <v/>
      </c>
      <c r="Y196" s="87" t="str">
        <f>IF(AND($O196=$W$7,$B196&lt;'1331'!$I$9),"x","")</f>
        <v/>
      </c>
      <c r="Z196" s="87" t="str">
        <f>IF(AND('341-CT'!$H$9=H196,OR(LEFT(N196,3)=$Z$7,LEFT(O196,3)=$Z$7)),"x","")</f>
        <v/>
      </c>
      <c r="AA196" s="87" t="str">
        <f>IF(OR(TH!N196=TH!$AA$7,O196=TH!$AA$7),"x","")</f>
        <v/>
      </c>
      <c r="AB196" s="87" t="str">
        <f>IF(AND(OR(N196="131",O196="131"),H196='131-CT'!$H$9),"x","")</f>
        <v/>
      </c>
      <c r="AC196" s="87"/>
      <c r="AD196" s="87" t="str">
        <f>IF(AND(MONTH(E196)='IN-NX'!$J$5,'IN-NX'!$D$7=D196),"x","")</f>
        <v/>
      </c>
      <c r="AE196" s="87" t="str">
        <f>IF(AND(OR(LEFT(TH!N196,2)="15",LEFT(TH!O196,2)="15"),'152-CT'!$J$8=TH!F196),"x","")</f>
        <v/>
      </c>
      <c r="AF196" s="87" t="str">
        <f>IF(AND(OR(LEFT(TH!N196,2)="15",LEFT(TH!O196,2)="15"),'THE KHO'!$E$7=TH!F196),"x","")</f>
        <v/>
      </c>
      <c r="AG196" s="87" t="str">
        <f>IF(AND(N196="1521",MONTH(C196)='BK NL'!$M$11),"x","")</f>
        <v/>
      </c>
    </row>
    <row r="197" spans="1:33" ht="15.75" customHeight="1">
      <c r="A197" s="399" t="str">
        <f>IF(B197&lt;&gt;"",IF(AND(B197&gt;=_TM1,B197&lt;=_TM2,OR(TH!N197="1111",TH!O197="1111")),TH!D197,""),"")</f>
        <v>C28</v>
      </c>
      <c r="B197" s="63">
        <f>IF(C197&lt;&gt;"",MONTH(C197),"")</f>
        <v>1</v>
      </c>
      <c r="C197" s="64">
        <v>42387</v>
      </c>
      <c r="D197" s="64" t="s">
        <v>976</v>
      </c>
      <c r="E197" s="64">
        <v>42387</v>
      </c>
      <c r="F197" s="67" t="s">
        <v>859</v>
      </c>
      <c r="G197" s="362" t="s">
        <v>739</v>
      </c>
      <c r="H197" s="75" t="s">
        <v>743</v>
      </c>
      <c r="I197" s="518"/>
      <c r="J197" s="518"/>
      <c r="K197" s="509"/>
      <c r="L197" s="518"/>
      <c r="M197" s="65">
        <v>15250000</v>
      </c>
      <c r="N197" s="66" t="s">
        <v>8</v>
      </c>
      <c r="O197" s="66" t="s">
        <v>63</v>
      </c>
      <c r="P197" s="87" t="str">
        <f>IF(AND('331-CT'!$E$7=TH!H197,OR(N197="331",O197="331")),"x","")</f>
        <v/>
      </c>
      <c r="Q197" s="87" t="str">
        <f>IF(AND(B197='111'!$L$11,OR($N197=$Q$7,$O197=$Q$7)),"x","")</f>
        <v>x</v>
      </c>
      <c r="R197" s="87" t="str">
        <f>IF(AND($N197=$Q$7,$B197&lt;'111'!$L$11),"x","")</f>
        <v/>
      </c>
      <c r="S197" s="87" t="str">
        <f>IF(AND($O197=$Q$7,$B197&lt;'111'!$L$11),"x","")</f>
        <v/>
      </c>
      <c r="T197" s="87" t="str">
        <f>IF(ISERROR(FIND('112'!$M$9,G197,1)),"",IF((AND(FIND('112'!$M$9,G197,1)&gt;=1,B197='112'!$K$9,OR($N197='112'!$I$6,$O197='112'!$I$6))),"x",""))</f>
        <v/>
      </c>
      <c r="U197" s="87" t="str">
        <f>IF(ISERROR(FIND('112'!$M$9,G197,1)),"",IF((AND(FIND('112'!$M$9,G197,1)&gt;=1,B197&lt;'112'!$K$9,$N197='112'!$I$6)),"x",""))</f>
        <v/>
      </c>
      <c r="V197" s="87" t="str">
        <f>IF(ISERROR(FIND('112'!$M$9,G197,1)),"",IF((AND(FIND('112'!$M$9,G197,1)&gt;=1,B197&lt;'112'!$K$9,$O197='112'!$I$6)),"x",""))</f>
        <v/>
      </c>
      <c r="W197" s="87" t="str">
        <f>IF(AND($B197&gt;='1331'!$I$9,$B197&lt;='1331'!$J$9,OR($N197=$W$7,$O197=$W$7)),"x","")</f>
        <v/>
      </c>
      <c r="X197" s="87" t="str">
        <f>IF(AND($N197=$W$7,$B197&lt;'1331'!$I$9),"x","")</f>
        <v/>
      </c>
      <c r="Y197" s="87" t="str">
        <f>IF(AND($O197=$W$7,$B197&lt;'1331'!$I$9),"x","")</f>
        <v/>
      </c>
      <c r="Z197" s="87" t="str">
        <f>IF(AND('341-CT'!$H$9=H197,OR(LEFT(N197,3)=$Z$7,LEFT(O197,3)=$Z$7)),"x","")</f>
        <v/>
      </c>
      <c r="AA197" s="87" t="str">
        <f>IF(OR(TH!N197=TH!$AA$7,O197=TH!$AA$7),"x","")</f>
        <v/>
      </c>
      <c r="AB197" s="87" t="str">
        <f>IF(AND(OR(N197="131",O197="131"),H197='131-CT'!$H$9),"x","")</f>
        <v/>
      </c>
      <c r="AC197" s="87"/>
      <c r="AD197" s="87" t="str">
        <f>IF(AND(MONTH(E197)='IN-NX'!$J$5,'IN-NX'!$D$7=D197),"x","")</f>
        <v/>
      </c>
      <c r="AE197" s="87" t="str">
        <f>IF(AND(OR(LEFT(TH!N197,2)="15",LEFT(TH!O197,2)="15"),'152-CT'!$J$8=TH!F197),"x","")</f>
        <v/>
      </c>
      <c r="AF197" s="87" t="str">
        <f>IF(AND(OR(LEFT(TH!N197,2)="15",LEFT(TH!O197,2)="15"),'THE KHO'!$E$7=TH!F197),"x","")</f>
        <v/>
      </c>
      <c r="AG197" s="87" t="str">
        <f>IF(AND(N197="1521",MONTH(C197)='BK NL'!$M$11),"x","")</f>
        <v/>
      </c>
    </row>
    <row r="198" spans="1:33" ht="15.75" customHeight="1">
      <c r="A198" s="399" t="str">
        <f>IF(B198&lt;&gt;"",IF(AND(B198&gt;=_TM1,B198&lt;=_TM2,OR(TH!N198="1111",TH!O198="1111")),TH!D198,""),"")</f>
        <v>C29</v>
      </c>
      <c r="B198" s="63">
        <f>IF(C198&lt;&gt;"",MONTH(C198),"")</f>
        <v>1</v>
      </c>
      <c r="C198" s="64">
        <v>42388</v>
      </c>
      <c r="D198" s="64" t="s">
        <v>977</v>
      </c>
      <c r="E198" s="64">
        <v>42388</v>
      </c>
      <c r="F198" s="67" t="s">
        <v>855</v>
      </c>
      <c r="G198" s="362" t="s">
        <v>914</v>
      </c>
      <c r="H198" s="75" t="s">
        <v>894</v>
      </c>
      <c r="I198" s="518"/>
      <c r="J198" s="518"/>
      <c r="K198" s="509"/>
      <c r="L198" s="518"/>
      <c r="M198" s="65">
        <v>29145</v>
      </c>
      <c r="N198" s="66" t="s">
        <v>101</v>
      </c>
      <c r="O198" s="66" t="s">
        <v>63</v>
      </c>
      <c r="P198" s="87" t="str">
        <f>IF(AND('331-CT'!$E$7=TH!H198,OR(N198="331",O198="331")),"x","")</f>
        <v/>
      </c>
      <c r="Q198" s="87" t="str">
        <f>IF(AND(B198='111'!$L$11,OR($N198=$Q$7,$O198=$Q$7)),"x","")</f>
        <v>x</v>
      </c>
      <c r="R198" s="87" t="str">
        <f>IF(AND($N198=$Q$7,$B198&lt;'111'!$L$11),"x","")</f>
        <v/>
      </c>
      <c r="S198" s="87" t="str">
        <f>IF(AND($O198=$Q$7,$B198&lt;'111'!$L$11),"x","")</f>
        <v/>
      </c>
      <c r="T198" s="87" t="str">
        <f>IF(ISERROR(FIND('112'!$M$9,G198,1)),"",IF((AND(FIND('112'!$M$9,G198,1)&gt;=1,B198='112'!$K$9,OR($N198='112'!$I$6,$O198='112'!$I$6))),"x",""))</f>
        <v/>
      </c>
      <c r="U198" s="87" t="str">
        <f>IF(ISERROR(FIND('112'!$M$9,G198,1)),"",IF((AND(FIND('112'!$M$9,G198,1)&gt;=1,B198&lt;'112'!$K$9,$N198='112'!$I$6)),"x",""))</f>
        <v/>
      </c>
      <c r="V198" s="87" t="str">
        <f>IF(ISERROR(FIND('112'!$M$9,G198,1)),"",IF((AND(FIND('112'!$M$9,G198,1)&gt;=1,B198&lt;'112'!$K$9,$O198='112'!$I$6)),"x",""))</f>
        <v/>
      </c>
      <c r="W198" s="87" t="str">
        <f>IF(AND($B198&gt;='1331'!$I$9,$B198&lt;='1331'!$J$9,OR($N198=$W$7,$O198=$W$7)),"x","")</f>
        <v/>
      </c>
      <c r="X198" s="87" t="str">
        <f>IF(AND($N198=$W$7,$B198&lt;'1331'!$I$9),"x","")</f>
        <v/>
      </c>
      <c r="Y198" s="87" t="str">
        <f>IF(AND($O198=$W$7,$B198&lt;'1331'!$I$9),"x","")</f>
        <v/>
      </c>
      <c r="Z198" s="87" t="str">
        <f>IF(AND('341-CT'!$H$9=H198,OR(LEFT(N198,3)=$Z$7,LEFT(O198,3)=$Z$7)),"x","")</f>
        <v/>
      </c>
      <c r="AA198" s="87" t="str">
        <f>IF(OR(TH!N198=TH!$AA$7,O198=TH!$AA$7),"x","")</f>
        <v/>
      </c>
      <c r="AB198" s="87" t="str">
        <f>IF(AND(OR(N198="131",O198="131"),H198='131-CT'!$H$9),"x","")</f>
        <v/>
      </c>
      <c r="AC198" s="87"/>
      <c r="AD198" s="87" t="str">
        <f>IF(AND(MONTH(E198)='IN-NX'!$J$5,'IN-NX'!$D$7=D198),"x","")</f>
        <v/>
      </c>
      <c r="AE198" s="87" t="str">
        <f>IF(AND(OR(LEFT(TH!N198,2)="15",LEFT(TH!O198,2)="15"),'152-CT'!$J$8=TH!F198),"x","")</f>
        <v/>
      </c>
      <c r="AF198" s="87" t="str">
        <f>IF(AND(OR(LEFT(TH!N198,2)="15",LEFT(TH!O198,2)="15"),'THE KHO'!$E$7=TH!F198),"x","")</f>
        <v/>
      </c>
      <c r="AG198" s="87" t="str">
        <f>IF(AND(N198="1521",MONTH(C198)='BK NL'!$M$11),"x","")</f>
        <v/>
      </c>
    </row>
    <row r="199" spans="1:33" ht="15.75" customHeight="1">
      <c r="A199" s="399" t="str">
        <f>IF(B199&lt;&gt;"",IF(AND(B199&gt;=_TM1,B199&lt;=_TM2,OR(TH!N199="1111",TH!O199="1111")),TH!D199,""),"")</f>
        <v>C29</v>
      </c>
      <c r="B199" s="63">
        <f>IF(C199&lt;&gt;"",MONTH(C199),"")</f>
        <v>1</v>
      </c>
      <c r="C199" s="64">
        <v>42388</v>
      </c>
      <c r="D199" s="64" t="s">
        <v>977</v>
      </c>
      <c r="E199" s="64">
        <v>42388</v>
      </c>
      <c r="F199" s="67" t="s">
        <v>856</v>
      </c>
      <c r="G199" s="362" t="s">
        <v>914</v>
      </c>
      <c r="H199" s="409" t="s">
        <v>894</v>
      </c>
      <c r="I199" s="522"/>
      <c r="J199" s="522"/>
      <c r="K199" s="513"/>
      <c r="L199" s="522"/>
      <c r="M199" s="65">
        <v>2915</v>
      </c>
      <c r="N199" s="66" t="s">
        <v>9</v>
      </c>
      <c r="O199" s="66" t="s">
        <v>63</v>
      </c>
      <c r="P199" s="87" t="str">
        <f>IF(AND('331-CT'!$E$7=TH!H199,OR(N199="331",O199="331")),"x","")</f>
        <v/>
      </c>
      <c r="Q199" s="87" t="str">
        <f>IF(AND(B199='111'!$L$11,OR($N199=$Q$7,$O199=$Q$7)),"x","")</f>
        <v>x</v>
      </c>
      <c r="R199" s="87" t="str">
        <f>IF(AND($N199=$Q$7,$B199&lt;'111'!$L$11),"x","")</f>
        <v/>
      </c>
      <c r="S199" s="87" t="str">
        <f>IF(AND($O199=$Q$7,$B199&lt;'111'!$L$11),"x","")</f>
        <v/>
      </c>
      <c r="T199" s="87" t="str">
        <f>IF(ISERROR(FIND('112'!$M$9,G199,1)),"",IF((AND(FIND('112'!$M$9,G199,1)&gt;=1,B199='112'!$K$9,OR($N199='112'!$I$6,$O199='112'!$I$6))),"x",""))</f>
        <v/>
      </c>
      <c r="U199" s="87" t="str">
        <f>IF(ISERROR(FIND('112'!$M$9,G199,1)),"",IF((AND(FIND('112'!$M$9,G199,1)&gt;=1,B199&lt;'112'!$K$9,$N199='112'!$I$6)),"x",""))</f>
        <v/>
      </c>
      <c r="V199" s="87" t="str">
        <f>IF(ISERROR(FIND('112'!$M$9,G199,1)),"",IF((AND(FIND('112'!$M$9,G199,1)&gt;=1,B199&lt;'112'!$K$9,$O199='112'!$I$6)),"x",""))</f>
        <v/>
      </c>
      <c r="W199" s="87" t="str">
        <f>IF(AND($B199&gt;='1331'!$I$9,$B199&lt;='1331'!$J$9,OR($N199=$W$7,$O199=$W$7)),"x","")</f>
        <v>x</v>
      </c>
      <c r="X199" s="87" t="str">
        <f>IF(AND($N199=$W$7,$B199&lt;'1331'!$I$9),"x","")</f>
        <v/>
      </c>
      <c r="Y199" s="87" t="str">
        <f>IF(AND($O199=$W$7,$B199&lt;'1331'!$I$9),"x","")</f>
        <v/>
      </c>
      <c r="Z199" s="87" t="str">
        <f>IF(AND('341-CT'!$H$9=H199,OR(LEFT(N199,3)=$Z$7,LEFT(O199,3)=$Z$7)),"x","")</f>
        <v/>
      </c>
      <c r="AA199" s="87" t="str">
        <f>IF(OR(TH!N199=TH!$AA$7,O199=TH!$AA$7),"x","")</f>
        <v/>
      </c>
      <c r="AB199" s="87" t="str">
        <f>IF(AND(OR(N199="131",O199="131"),H199='131-CT'!$H$9),"x","")</f>
        <v/>
      </c>
      <c r="AC199" s="87"/>
      <c r="AD199" s="87" t="str">
        <f>IF(AND(MONTH(E199)='IN-NX'!$J$5,'IN-NX'!$D$7=D199),"x","")</f>
        <v/>
      </c>
      <c r="AE199" s="87" t="str">
        <f>IF(AND(OR(LEFT(TH!N199,2)="15",LEFT(TH!O199,2)="15"),'152-CT'!$J$8=TH!F199),"x","")</f>
        <v/>
      </c>
      <c r="AF199" s="87" t="str">
        <f>IF(AND(OR(LEFT(TH!N199,2)="15",LEFT(TH!O199,2)="15"),'THE KHO'!$E$7=TH!F199),"x","")</f>
        <v/>
      </c>
      <c r="AG199" s="87" t="str">
        <f>IF(AND(N199="1521",MONTH(C199)='BK NL'!$M$11),"x","")</f>
        <v/>
      </c>
    </row>
    <row r="200" spans="1:33" ht="15.75" customHeight="1">
      <c r="A200" s="399" t="str">
        <f>IF(B200&lt;&gt;"",IF(AND(B200&gt;=_TM1,B200&lt;=_TM2,OR(TH!N200="1111",TH!O200="1111")),TH!D200,""),"")</f>
        <v>C30</v>
      </c>
      <c r="B200" s="63">
        <f>IF(C200&lt;&gt;"",MONTH(C200),"")</f>
        <v>1</v>
      </c>
      <c r="C200" s="64">
        <v>42389</v>
      </c>
      <c r="D200" s="64" t="s">
        <v>978</v>
      </c>
      <c r="E200" s="64">
        <v>42389</v>
      </c>
      <c r="F200" s="67" t="s">
        <v>855</v>
      </c>
      <c r="G200" s="362" t="s">
        <v>915</v>
      </c>
      <c r="H200" s="75" t="s">
        <v>888</v>
      </c>
      <c r="I200" s="518"/>
      <c r="J200" s="518"/>
      <c r="K200" s="509"/>
      <c r="L200" s="518"/>
      <c r="M200" s="65">
        <v>689618</v>
      </c>
      <c r="N200" s="66" t="s">
        <v>101</v>
      </c>
      <c r="O200" s="66" t="s">
        <v>63</v>
      </c>
      <c r="P200" s="87" t="str">
        <f>IF(AND('331-CT'!$E$7=TH!H200,OR(N200="331",O200="331")),"x","")</f>
        <v/>
      </c>
      <c r="Q200" s="87" t="str">
        <f>IF(AND(B200='111'!$L$11,OR($N200=$Q$7,$O200=$Q$7)),"x","")</f>
        <v>x</v>
      </c>
      <c r="R200" s="87" t="str">
        <f>IF(AND($N200=$Q$7,$B200&lt;'111'!$L$11),"x","")</f>
        <v/>
      </c>
      <c r="S200" s="87" t="str">
        <f>IF(AND($O200=$Q$7,$B200&lt;'111'!$L$11),"x","")</f>
        <v/>
      </c>
      <c r="T200" s="87" t="str">
        <f>IF(ISERROR(FIND('112'!$M$9,G200,1)),"",IF((AND(FIND('112'!$M$9,G200,1)&gt;=1,B200='112'!$K$9,OR($N200='112'!$I$6,$O200='112'!$I$6))),"x",""))</f>
        <v/>
      </c>
      <c r="U200" s="87" t="str">
        <f>IF(ISERROR(FIND('112'!$M$9,G200,1)),"",IF((AND(FIND('112'!$M$9,G200,1)&gt;=1,B200&lt;'112'!$K$9,$N200='112'!$I$6)),"x",""))</f>
        <v/>
      </c>
      <c r="V200" s="87" t="str">
        <f>IF(ISERROR(FIND('112'!$M$9,G200,1)),"",IF((AND(FIND('112'!$M$9,G200,1)&gt;=1,B200&lt;'112'!$K$9,$O200='112'!$I$6)),"x",""))</f>
        <v/>
      </c>
      <c r="W200" s="87" t="str">
        <f>IF(AND($B200&gt;='1331'!$I$9,$B200&lt;='1331'!$J$9,OR($N200=$W$7,$O200=$W$7)),"x","")</f>
        <v/>
      </c>
      <c r="X200" s="87" t="str">
        <f>IF(AND($N200=$W$7,$B200&lt;'1331'!$I$9),"x","")</f>
        <v/>
      </c>
      <c r="Y200" s="87" t="str">
        <f>IF(AND($O200=$W$7,$B200&lt;'1331'!$I$9),"x","")</f>
        <v/>
      </c>
      <c r="Z200" s="87" t="str">
        <f>IF(AND('341-CT'!$H$9=H200,OR(LEFT(N200,3)=$Z$7,LEFT(O200,3)=$Z$7)),"x","")</f>
        <v/>
      </c>
      <c r="AA200" s="87" t="str">
        <f>IF(OR(TH!N200=TH!$AA$7,O200=TH!$AA$7),"x","")</f>
        <v/>
      </c>
      <c r="AB200" s="87" t="str">
        <f>IF(AND(OR(N200="131",O200="131"),H200='131-CT'!$H$9),"x","")</f>
        <v/>
      </c>
      <c r="AC200" s="87"/>
      <c r="AD200" s="87" t="str">
        <f>IF(AND(MONTH(E200)='IN-NX'!$J$5,'IN-NX'!$D$7=D200),"x","")</f>
        <v/>
      </c>
      <c r="AE200" s="87" t="str">
        <f>IF(AND(OR(LEFT(TH!N200,2)="15",LEFT(TH!O200,2)="15"),'152-CT'!$J$8=TH!F200),"x","")</f>
        <v/>
      </c>
      <c r="AF200" s="87" t="str">
        <f>IF(AND(OR(LEFT(TH!N200,2)="15",LEFT(TH!O200,2)="15"),'THE KHO'!$E$7=TH!F200),"x","")</f>
        <v/>
      </c>
      <c r="AG200" s="87" t="str">
        <f>IF(AND(N200="1521",MONTH(C200)='BK NL'!$M$11),"x","")</f>
        <v/>
      </c>
    </row>
    <row r="201" spans="1:33" ht="15.75" customHeight="1">
      <c r="A201" s="399" t="str">
        <f>IF(B201&lt;&gt;"",IF(AND(B201&gt;=_TM1,B201&lt;=_TM2,OR(TH!N201="1111",TH!O201="1111")),TH!D201,""),"")</f>
        <v>C30</v>
      </c>
      <c r="B201" s="63">
        <f>IF(C201&lt;&gt;"",MONTH(C201),"")</f>
        <v>1</v>
      </c>
      <c r="C201" s="64">
        <v>42389</v>
      </c>
      <c r="D201" s="64" t="s">
        <v>978</v>
      </c>
      <c r="E201" s="64">
        <v>42389</v>
      </c>
      <c r="F201" s="67" t="s">
        <v>856</v>
      </c>
      <c r="G201" s="362" t="s">
        <v>915</v>
      </c>
      <c r="H201" s="75" t="s">
        <v>888</v>
      </c>
      <c r="I201" s="518"/>
      <c r="J201" s="518"/>
      <c r="K201" s="509"/>
      <c r="L201" s="518"/>
      <c r="M201" s="65">
        <v>68962</v>
      </c>
      <c r="N201" s="66" t="s">
        <v>9</v>
      </c>
      <c r="O201" s="66" t="s">
        <v>63</v>
      </c>
      <c r="P201" s="87" t="str">
        <f>IF(AND('331-CT'!$E$7=TH!H201,OR(N201="331",O201="331")),"x","")</f>
        <v/>
      </c>
      <c r="Q201" s="87" t="str">
        <f>IF(AND(B201='111'!$L$11,OR($N201=$Q$7,$O201=$Q$7)),"x","")</f>
        <v>x</v>
      </c>
      <c r="R201" s="87" t="str">
        <f>IF(AND($N201=$Q$7,$B201&lt;'111'!$L$11),"x","")</f>
        <v/>
      </c>
      <c r="S201" s="87" t="str">
        <f>IF(AND($O201=$Q$7,$B201&lt;'111'!$L$11),"x","")</f>
        <v/>
      </c>
      <c r="T201" s="87" t="str">
        <f>IF(ISERROR(FIND('112'!$M$9,G201,1)),"",IF((AND(FIND('112'!$M$9,G201,1)&gt;=1,B201='112'!$K$9,OR($N201='112'!$I$6,$O201='112'!$I$6))),"x",""))</f>
        <v/>
      </c>
      <c r="U201" s="87" t="str">
        <f>IF(ISERROR(FIND('112'!$M$9,G201,1)),"",IF((AND(FIND('112'!$M$9,G201,1)&gt;=1,B201&lt;'112'!$K$9,$N201='112'!$I$6)),"x",""))</f>
        <v/>
      </c>
      <c r="V201" s="87" t="str">
        <f>IF(ISERROR(FIND('112'!$M$9,G201,1)),"",IF((AND(FIND('112'!$M$9,G201,1)&gt;=1,B201&lt;'112'!$K$9,$O201='112'!$I$6)),"x",""))</f>
        <v/>
      </c>
      <c r="W201" s="87" t="str">
        <f>IF(AND($B201&gt;='1331'!$I$9,$B201&lt;='1331'!$J$9,OR($N201=$W$7,$O201=$W$7)),"x","")</f>
        <v>x</v>
      </c>
      <c r="X201" s="87" t="str">
        <f>IF(AND($N201=$W$7,$B201&lt;'1331'!$I$9),"x","")</f>
        <v/>
      </c>
      <c r="Y201" s="87" t="str">
        <f>IF(AND($O201=$W$7,$B201&lt;'1331'!$I$9),"x","")</f>
        <v/>
      </c>
      <c r="Z201" s="87" t="str">
        <f>IF(AND('341-CT'!$H$9=H201,OR(LEFT(N201,3)=$Z$7,LEFT(O201,3)=$Z$7)),"x","")</f>
        <v/>
      </c>
      <c r="AA201" s="87" t="str">
        <f>IF(OR(TH!N201=TH!$AA$7,O201=TH!$AA$7),"x","")</f>
        <v/>
      </c>
      <c r="AB201" s="87" t="str">
        <f>IF(AND(OR(N201="131",O201="131"),H201='131-CT'!$H$9),"x","")</f>
        <v/>
      </c>
      <c r="AC201" s="87"/>
      <c r="AD201" s="87" t="str">
        <f>IF(AND(MONTH(E201)='IN-NX'!$J$5,'IN-NX'!$D$7=D201),"x","")</f>
        <v/>
      </c>
      <c r="AE201" s="87" t="str">
        <f>IF(AND(OR(LEFT(TH!N201,2)="15",LEFT(TH!O201,2)="15"),'152-CT'!$J$8=TH!F201),"x","")</f>
        <v/>
      </c>
      <c r="AF201" s="87" t="str">
        <f>IF(AND(OR(LEFT(TH!N201,2)="15",LEFT(TH!O201,2)="15"),'THE KHO'!$E$7=TH!F201),"x","")</f>
        <v/>
      </c>
      <c r="AG201" s="87" t="str">
        <f>IF(AND(N201="1521",MONTH(C201)='BK NL'!$M$11),"x","")</f>
        <v/>
      </c>
    </row>
    <row r="202" spans="1:33" ht="15.75" customHeight="1">
      <c r="A202" s="399" t="str">
        <f>IF(B202&lt;&gt;"",IF(AND(B202&gt;=_TM1,B202&lt;=_TM2,OR(TH!N202="1111",TH!O202="1111")),TH!D202,""),"")</f>
        <v>C31</v>
      </c>
      <c r="B202" s="63">
        <f>IF(C202&lt;&gt;"",MONTH(C202),"")</f>
        <v>1</v>
      </c>
      <c r="C202" s="64">
        <v>42390</v>
      </c>
      <c r="D202" s="64" t="s">
        <v>979</v>
      </c>
      <c r="E202" s="64">
        <v>42390</v>
      </c>
      <c r="F202" s="67" t="s">
        <v>850</v>
      </c>
      <c r="G202" s="362" t="s">
        <v>916</v>
      </c>
      <c r="H202" s="409" t="s">
        <v>888</v>
      </c>
      <c r="I202" s="522"/>
      <c r="J202" s="522"/>
      <c r="K202" s="513"/>
      <c r="L202" s="522"/>
      <c r="M202" s="65">
        <v>380182</v>
      </c>
      <c r="N202" s="66" t="s">
        <v>101</v>
      </c>
      <c r="O202" s="66" t="s">
        <v>63</v>
      </c>
      <c r="P202" s="87" t="str">
        <f>IF(AND('331-CT'!$E$7=TH!H202,OR(N202="331",O202="331")),"x","")</f>
        <v/>
      </c>
      <c r="Q202" s="87" t="str">
        <f>IF(AND(B202='111'!$L$11,OR($N202=$Q$7,$O202=$Q$7)),"x","")</f>
        <v>x</v>
      </c>
      <c r="R202" s="87" t="str">
        <f>IF(AND($N202=$Q$7,$B202&lt;'111'!$L$11),"x","")</f>
        <v/>
      </c>
      <c r="S202" s="87" t="str">
        <f>IF(AND($O202=$Q$7,$B202&lt;'111'!$L$11),"x","")</f>
        <v/>
      </c>
      <c r="T202" s="87" t="str">
        <f>IF(ISERROR(FIND('112'!$M$9,G202,1)),"",IF((AND(FIND('112'!$M$9,G202,1)&gt;=1,B202='112'!$K$9,OR($N202='112'!$I$6,$O202='112'!$I$6))),"x",""))</f>
        <v/>
      </c>
      <c r="U202" s="87" t="str">
        <f>IF(ISERROR(FIND('112'!$M$9,G202,1)),"",IF((AND(FIND('112'!$M$9,G202,1)&gt;=1,B202&lt;'112'!$K$9,$N202='112'!$I$6)),"x",""))</f>
        <v/>
      </c>
      <c r="V202" s="87" t="str">
        <f>IF(ISERROR(FIND('112'!$M$9,G202,1)),"",IF((AND(FIND('112'!$M$9,G202,1)&gt;=1,B202&lt;'112'!$K$9,$O202='112'!$I$6)),"x",""))</f>
        <v/>
      </c>
      <c r="W202" s="87" t="str">
        <f>IF(AND($B202&gt;='1331'!$I$9,$B202&lt;='1331'!$J$9,OR($N202=$W$7,$O202=$W$7)),"x","")</f>
        <v/>
      </c>
      <c r="X202" s="87" t="str">
        <f>IF(AND($N202=$W$7,$B202&lt;'1331'!$I$9),"x","")</f>
        <v/>
      </c>
      <c r="Y202" s="87" t="str">
        <f>IF(AND($O202=$W$7,$B202&lt;'1331'!$I$9),"x","")</f>
        <v/>
      </c>
      <c r="Z202" s="87" t="str">
        <f>IF(AND('341-CT'!$H$9=H202,OR(LEFT(N202,3)=$Z$7,LEFT(O202,3)=$Z$7)),"x","")</f>
        <v/>
      </c>
      <c r="AA202" s="87" t="str">
        <f>IF(OR(TH!N202=TH!$AA$7,O202=TH!$AA$7),"x","")</f>
        <v/>
      </c>
      <c r="AB202" s="87" t="str">
        <f>IF(AND(OR(N202="131",O202="131"),H202='131-CT'!$H$9),"x","")</f>
        <v/>
      </c>
      <c r="AC202" s="87"/>
      <c r="AD202" s="87" t="str">
        <f>IF(AND(MONTH(E202)='IN-NX'!$J$5,'IN-NX'!$D$7=D202),"x","")</f>
        <v/>
      </c>
      <c r="AE202" s="87" t="str">
        <f>IF(AND(OR(LEFT(TH!N202,2)="15",LEFT(TH!O202,2)="15"),'152-CT'!$J$8=TH!F202),"x","")</f>
        <v/>
      </c>
      <c r="AF202" s="87" t="str">
        <f>IF(AND(OR(LEFT(TH!N202,2)="15",LEFT(TH!O202,2)="15"),'THE KHO'!$E$7=TH!F202),"x","")</f>
        <v/>
      </c>
      <c r="AG202" s="87" t="str">
        <f>IF(AND(N202="1521",MONTH(C202)='BK NL'!$M$11),"x","")</f>
        <v/>
      </c>
    </row>
    <row r="203" spans="1:33" ht="15.75" customHeight="1">
      <c r="A203" s="399" t="str">
        <f>IF(B203&lt;&gt;"",IF(AND(B203&gt;=_TM1,B203&lt;=_TM2,OR(TH!N203="1111",TH!O203="1111")),TH!D203,""),"")</f>
        <v>C31</v>
      </c>
      <c r="B203" s="63">
        <f>IF(C203&lt;&gt;"",MONTH(C203),"")</f>
        <v>1</v>
      </c>
      <c r="C203" s="64">
        <v>42390</v>
      </c>
      <c r="D203" s="64" t="s">
        <v>979</v>
      </c>
      <c r="E203" s="64">
        <v>42390</v>
      </c>
      <c r="F203" s="67" t="s">
        <v>851</v>
      </c>
      <c r="G203" s="362" t="s">
        <v>916</v>
      </c>
      <c r="H203" s="75" t="s">
        <v>888</v>
      </c>
      <c r="I203" s="518"/>
      <c r="J203" s="518"/>
      <c r="K203" s="509"/>
      <c r="L203" s="518"/>
      <c r="M203" s="65">
        <v>38018</v>
      </c>
      <c r="N203" s="66" t="s">
        <v>9</v>
      </c>
      <c r="O203" s="66" t="s">
        <v>63</v>
      </c>
      <c r="P203" s="87" t="str">
        <f>IF(AND('331-CT'!$E$7=TH!H203,OR(N203="331",O203="331")),"x","")</f>
        <v/>
      </c>
      <c r="Q203" s="87" t="str">
        <f>IF(AND(B203='111'!$L$11,OR($N203=$Q$7,$O203=$Q$7)),"x","")</f>
        <v>x</v>
      </c>
      <c r="R203" s="87" t="str">
        <f>IF(AND($N203=$Q$7,$B203&lt;'111'!$L$11),"x","")</f>
        <v/>
      </c>
      <c r="S203" s="87" t="str">
        <f>IF(AND($O203=$Q$7,$B203&lt;'111'!$L$11),"x","")</f>
        <v/>
      </c>
      <c r="T203" s="87" t="str">
        <f>IF(ISERROR(FIND('112'!$M$9,G203,1)),"",IF((AND(FIND('112'!$M$9,G203,1)&gt;=1,B203='112'!$K$9,OR($N203='112'!$I$6,$O203='112'!$I$6))),"x",""))</f>
        <v/>
      </c>
      <c r="U203" s="87" t="str">
        <f>IF(ISERROR(FIND('112'!$M$9,G203,1)),"",IF((AND(FIND('112'!$M$9,G203,1)&gt;=1,B203&lt;'112'!$K$9,$N203='112'!$I$6)),"x",""))</f>
        <v/>
      </c>
      <c r="V203" s="87" t="str">
        <f>IF(ISERROR(FIND('112'!$M$9,G203,1)),"",IF((AND(FIND('112'!$M$9,G203,1)&gt;=1,B203&lt;'112'!$K$9,$O203='112'!$I$6)),"x",""))</f>
        <v/>
      </c>
      <c r="W203" s="87" t="str">
        <f>IF(AND($B203&gt;='1331'!$I$9,$B203&lt;='1331'!$J$9,OR($N203=$W$7,$O203=$W$7)),"x","")</f>
        <v>x</v>
      </c>
      <c r="X203" s="87" t="str">
        <f>IF(AND($N203=$W$7,$B203&lt;'1331'!$I$9),"x","")</f>
        <v/>
      </c>
      <c r="Y203" s="87" t="str">
        <f>IF(AND($O203=$W$7,$B203&lt;'1331'!$I$9),"x","")</f>
        <v/>
      </c>
      <c r="Z203" s="87" t="str">
        <f>IF(AND('341-CT'!$H$9=H203,OR(LEFT(N203,3)=$Z$7,LEFT(O203,3)=$Z$7)),"x","")</f>
        <v/>
      </c>
      <c r="AA203" s="87" t="str">
        <f>IF(OR(TH!N203=TH!$AA$7,O203=TH!$AA$7),"x","")</f>
        <v/>
      </c>
      <c r="AB203" s="87" t="str">
        <f>IF(AND(OR(N203="131",O203="131"),H203='131-CT'!$H$9),"x","")</f>
        <v/>
      </c>
      <c r="AC203" s="87"/>
      <c r="AD203" s="87" t="str">
        <f>IF(AND(MONTH(E203)='IN-NX'!$J$5,'IN-NX'!$D$7=D203),"x","")</f>
        <v/>
      </c>
      <c r="AE203" s="87" t="str">
        <f>IF(AND(OR(LEFT(TH!N203,2)="15",LEFT(TH!O203,2)="15"),'152-CT'!$J$8=TH!F203),"x","")</f>
        <v/>
      </c>
      <c r="AF203" s="87" t="str">
        <f>IF(AND(OR(LEFT(TH!N203,2)="15",LEFT(TH!O203,2)="15"),'THE KHO'!$E$7=TH!F203),"x","")</f>
        <v/>
      </c>
      <c r="AG203" s="87" t="str">
        <f>IF(AND(N203="1521",MONTH(C203)='BK NL'!$M$11),"x","")</f>
        <v/>
      </c>
    </row>
    <row r="204" spans="1:33" ht="15.75" customHeight="1">
      <c r="A204" s="399" t="str">
        <f>IF(B204&lt;&gt;"",IF(AND(B204&gt;=_TM1,B204&lt;=_TM2,OR(TH!N204="1111",TH!O204="1111")),TH!D204,""),"")</f>
        <v>C32</v>
      </c>
      <c r="B204" s="63">
        <f>IF(C204&lt;&gt;"",MONTH(C204),"")</f>
        <v>1</v>
      </c>
      <c r="C204" s="64">
        <v>42391</v>
      </c>
      <c r="D204" s="64" t="s">
        <v>980</v>
      </c>
      <c r="E204" s="64">
        <v>42391</v>
      </c>
      <c r="F204" s="67" t="s">
        <v>812</v>
      </c>
      <c r="G204" s="362" t="s">
        <v>998</v>
      </c>
      <c r="H204" s="96" t="s">
        <v>842</v>
      </c>
      <c r="I204" s="520"/>
      <c r="J204" s="520"/>
      <c r="K204" s="511"/>
      <c r="L204" s="520"/>
      <c r="M204" s="65">
        <v>20000000</v>
      </c>
      <c r="N204" s="66" t="s">
        <v>26</v>
      </c>
      <c r="O204" s="66" t="s">
        <v>63</v>
      </c>
      <c r="P204" s="87" t="str">
        <f>IF(AND('331-CT'!$E$7=TH!H204,OR(N204="331",O204="331")),"x","")</f>
        <v/>
      </c>
      <c r="Q204" s="87" t="str">
        <f>IF(AND(B204='111'!$L$11,OR($N204=$Q$7,$O204=$Q$7)),"x","")</f>
        <v>x</v>
      </c>
      <c r="R204" s="87" t="str">
        <f>IF(AND($N204=$Q$7,$B204&lt;'111'!$L$11),"x","")</f>
        <v/>
      </c>
      <c r="S204" s="87" t="str">
        <f>IF(AND($O204=$Q$7,$B204&lt;'111'!$L$11),"x","")</f>
        <v/>
      </c>
      <c r="T204" s="87" t="str">
        <f>IF(ISERROR(FIND('112'!$M$9,G204,1)),"",IF((AND(FIND('112'!$M$9,G204,1)&gt;=1,B204='112'!$K$9,OR($N204='112'!$I$6,$O204='112'!$I$6))),"x",""))</f>
        <v/>
      </c>
      <c r="U204" s="87" t="str">
        <f>IF(ISERROR(FIND('112'!$M$9,G204,1)),"",IF((AND(FIND('112'!$M$9,G204,1)&gt;=1,B204&lt;'112'!$K$9,$N204='112'!$I$6)),"x",""))</f>
        <v/>
      </c>
      <c r="V204" s="87" t="str">
        <f>IF(ISERROR(FIND('112'!$M$9,G204,1)),"",IF((AND(FIND('112'!$M$9,G204,1)&gt;=1,B204&lt;'112'!$K$9,$O204='112'!$I$6)),"x",""))</f>
        <v/>
      </c>
      <c r="W204" s="87" t="str">
        <f>IF(AND($B204&gt;='1331'!$I$9,$B204&lt;='1331'!$J$9,OR($N204=$W$7,$O204=$W$7)),"x","")</f>
        <v/>
      </c>
      <c r="X204" s="87" t="str">
        <f>IF(AND($N204=$W$7,$B204&lt;'1331'!$I$9),"x","")</f>
        <v/>
      </c>
      <c r="Y204" s="87" t="str">
        <f>IF(AND($O204=$W$7,$B204&lt;'1331'!$I$9),"x","")</f>
        <v/>
      </c>
      <c r="Z204" s="87" t="str">
        <f>IF(AND('341-CT'!$H$9=H204,OR(LEFT(N204,3)=$Z$7,LEFT(O204,3)=$Z$7)),"x","")</f>
        <v/>
      </c>
      <c r="AA204" s="87" t="str">
        <f>IF(OR(TH!N204=TH!$AA$7,O204=TH!$AA$7),"x","")</f>
        <v/>
      </c>
      <c r="AB204" s="87" t="str">
        <f>IF(AND(OR(N204="131",O204="131"),H204='131-CT'!$H$9),"x","")</f>
        <v/>
      </c>
      <c r="AC204" s="87"/>
      <c r="AD204" s="87" t="str">
        <f>IF(AND(MONTH(E204)='IN-NX'!$J$5,'IN-NX'!$D$7=D204),"x","")</f>
        <v/>
      </c>
      <c r="AE204" s="87" t="str">
        <f>IF(AND(OR(LEFT(TH!N204,2)="15",LEFT(TH!O204,2)="15"),'152-CT'!$J$8=TH!F204),"x","")</f>
        <v/>
      </c>
      <c r="AF204" s="87" t="str">
        <f>IF(AND(OR(LEFT(TH!N204,2)="15",LEFT(TH!O204,2)="15"),'THE KHO'!$E$7=TH!F204),"x","")</f>
        <v/>
      </c>
      <c r="AG204" s="87" t="str">
        <f>IF(AND(N204="1521",MONTH(C204)='BK NL'!$M$11),"x","")</f>
        <v/>
      </c>
    </row>
    <row r="205" spans="1:33" ht="15.75" customHeight="1">
      <c r="A205" s="399" t="str">
        <f>IF(B205&lt;&gt;"",IF(AND(B205&gt;=_TM1,B205&lt;=_TM2,OR(TH!N205="1111",TH!O205="1111")),TH!D205,""),"")</f>
        <v/>
      </c>
      <c r="B205" s="63">
        <f>IF(C205&lt;&gt;"",MONTH(C205),"")</f>
        <v>1</v>
      </c>
      <c r="C205" s="64">
        <v>42391</v>
      </c>
      <c r="D205" s="64" t="s">
        <v>773</v>
      </c>
      <c r="E205" s="64">
        <v>42391</v>
      </c>
      <c r="F205" s="67" t="s">
        <v>835</v>
      </c>
      <c r="G205" s="362" t="s">
        <v>998</v>
      </c>
      <c r="H205" s="75"/>
      <c r="I205" s="518"/>
      <c r="J205" s="518"/>
      <c r="K205" s="509"/>
      <c r="L205" s="518"/>
      <c r="M205" s="65">
        <v>4045251</v>
      </c>
      <c r="N205" s="66" t="s">
        <v>99</v>
      </c>
      <c r="O205" s="66" t="s">
        <v>26</v>
      </c>
      <c r="P205" s="87" t="str">
        <f>IF(AND('331-CT'!$E$7=TH!H205,OR(N205="331",O205="331")),"x","")</f>
        <v/>
      </c>
      <c r="Q205" s="87" t="str">
        <f>IF(AND(B205='111'!$L$11,OR($N205=$Q$7,$O205=$Q$7)),"x","")</f>
        <v/>
      </c>
      <c r="R205" s="87" t="str">
        <f>IF(AND($N205=$Q$7,$B205&lt;'111'!$L$11),"x","")</f>
        <v/>
      </c>
      <c r="S205" s="87" t="str">
        <f>IF(AND($O205=$Q$7,$B205&lt;'111'!$L$11),"x","")</f>
        <v/>
      </c>
      <c r="T205" s="87" t="str">
        <f>IF(ISERROR(FIND('112'!$M$9,G205,1)),"",IF((AND(FIND('112'!$M$9,G205,1)&gt;=1,B205='112'!$K$9,OR($N205='112'!$I$6,$O205='112'!$I$6))),"x",""))</f>
        <v/>
      </c>
      <c r="U205" s="87" t="str">
        <f>IF(ISERROR(FIND('112'!$M$9,G205,1)),"",IF((AND(FIND('112'!$M$9,G205,1)&gt;=1,B205&lt;'112'!$K$9,$N205='112'!$I$6)),"x",""))</f>
        <v/>
      </c>
      <c r="V205" s="87" t="str">
        <f>IF(ISERROR(FIND('112'!$M$9,G205,1)),"",IF((AND(FIND('112'!$M$9,G205,1)&gt;=1,B205&lt;'112'!$K$9,$O205='112'!$I$6)),"x",""))</f>
        <v/>
      </c>
      <c r="W205" s="87" t="str">
        <f>IF(AND($B205&gt;='1331'!$I$9,$B205&lt;='1331'!$J$9,OR($N205=$W$7,$O205=$W$7)),"x","")</f>
        <v/>
      </c>
      <c r="X205" s="87" t="str">
        <f>IF(AND($N205=$W$7,$B205&lt;'1331'!$I$9),"x","")</f>
        <v/>
      </c>
      <c r="Y205" s="87" t="str">
        <f>IF(AND($O205=$W$7,$B205&lt;'1331'!$I$9),"x","")</f>
        <v/>
      </c>
      <c r="Z205" s="87" t="str">
        <f>IF(AND('341-CT'!$H$9=H205,OR(LEFT(N205,3)=$Z$7,LEFT(O205,3)=$Z$7)),"x","")</f>
        <v/>
      </c>
      <c r="AA205" s="87" t="str">
        <f>IF(OR(TH!N205=TH!$AA$7,O205=TH!$AA$7),"x","")</f>
        <v/>
      </c>
      <c r="AB205" s="87" t="str">
        <f>IF(AND(OR(N205="131",O205="131"),H205='131-CT'!$H$9),"x","")</f>
        <v/>
      </c>
      <c r="AC205" s="87"/>
      <c r="AD205" s="87" t="str">
        <f>IF(AND(MONTH(E205)='IN-NX'!$J$5,'IN-NX'!$D$7=D205),"x","")</f>
        <v/>
      </c>
      <c r="AE205" s="87" t="str">
        <f>IF(AND(OR(LEFT(TH!N205,2)="15",LEFT(TH!O205,2)="15"),'152-CT'!$J$8=TH!F205),"x","")</f>
        <v/>
      </c>
      <c r="AF205" s="87" t="str">
        <f>IF(AND(OR(LEFT(TH!N205,2)="15",LEFT(TH!O205,2)="15"),'THE KHO'!$E$7=TH!F205),"x","")</f>
        <v/>
      </c>
      <c r="AG205" s="87" t="str">
        <f>IF(AND(N205="1521",MONTH(C205)='BK NL'!$M$11),"x","")</f>
        <v/>
      </c>
    </row>
    <row r="206" spans="1:33" ht="15.75" customHeight="1">
      <c r="A206" s="399" t="str">
        <f>IF(B206&lt;&gt;"",IF(AND(B206&gt;=_TM1,B206&lt;=_TM2,OR(TH!N206="1111",TH!O206="1111")),TH!D206,""),"")</f>
        <v/>
      </c>
      <c r="B206" s="63">
        <f>IF(C206&lt;&gt;"",MONTH(C206),"")</f>
        <v>1</v>
      </c>
      <c r="C206" s="64">
        <v>42391</v>
      </c>
      <c r="D206" s="64" t="s">
        <v>773</v>
      </c>
      <c r="E206" s="64">
        <v>42391</v>
      </c>
      <c r="F206" s="67" t="s">
        <v>836</v>
      </c>
      <c r="G206" s="362" t="s">
        <v>998</v>
      </c>
      <c r="H206" s="75"/>
      <c r="I206" s="518"/>
      <c r="J206" s="518"/>
      <c r="K206" s="509"/>
      <c r="L206" s="518"/>
      <c r="M206" s="65">
        <v>7783659</v>
      </c>
      <c r="N206" s="66" t="s">
        <v>99</v>
      </c>
      <c r="O206" s="66" t="s">
        <v>26</v>
      </c>
      <c r="P206" s="87" t="str">
        <f>IF(AND('331-CT'!$E$7=TH!H206,OR(N206="331",O206="331")),"x","")</f>
        <v/>
      </c>
      <c r="Q206" s="87" t="str">
        <f>IF(AND(B206='111'!$L$11,OR($N206=$Q$7,$O206=$Q$7)),"x","")</f>
        <v/>
      </c>
      <c r="R206" s="87" t="str">
        <f>IF(AND($N206=$Q$7,$B206&lt;'111'!$L$11),"x","")</f>
        <v/>
      </c>
      <c r="S206" s="87" t="str">
        <f>IF(AND($O206=$Q$7,$B206&lt;'111'!$L$11),"x","")</f>
        <v/>
      </c>
      <c r="T206" s="87" t="str">
        <f>IF(ISERROR(FIND('112'!$M$9,G206,1)),"",IF((AND(FIND('112'!$M$9,G206,1)&gt;=1,B206='112'!$K$9,OR($N206='112'!$I$6,$O206='112'!$I$6))),"x",""))</f>
        <v/>
      </c>
      <c r="U206" s="87" t="str">
        <f>IF(ISERROR(FIND('112'!$M$9,G206,1)),"",IF((AND(FIND('112'!$M$9,G206,1)&gt;=1,B206&lt;'112'!$K$9,$N206='112'!$I$6)),"x",""))</f>
        <v/>
      </c>
      <c r="V206" s="87" t="str">
        <f>IF(ISERROR(FIND('112'!$M$9,G206,1)),"",IF((AND(FIND('112'!$M$9,G206,1)&gt;=1,B206&lt;'112'!$K$9,$O206='112'!$I$6)),"x",""))</f>
        <v/>
      </c>
      <c r="W206" s="87" t="str">
        <f>IF(AND($B206&gt;='1331'!$I$9,$B206&lt;='1331'!$J$9,OR($N206=$W$7,$O206=$W$7)),"x","")</f>
        <v/>
      </c>
      <c r="X206" s="87" t="str">
        <f>IF(AND($N206=$W$7,$B206&lt;'1331'!$I$9),"x","")</f>
        <v/>
      </c>
      <c r="Y206" s="87" t="str">
        <f>IF(AND($O206=$W$7,$B206&lt;'1331'!$I$9),"x","")</f>
        <v/>
      </c>
      <c r="Z206" s="87" t="str">
        <f>IF(AND('341-CT'!$H$9=H206,OR(LEFT(N206,3)=$Z$7,LEFT(O206,3)=$Z$7)),"x","")</f>
        <v/>
      </c>
      <c r="AA206" s="87" t="str">
        <f>IF(OR(TH!N206=TH!$AA$7,O206=TH!$AA$7),"x","")</f>
        <v/>
      </c>
      <c r="AB206" s="87" t="str">
        <f>IF(AND(OR(N206="131",O206="131"),H206='131-CT'!$H$9),"x","")</f>
        <v/>
      </c>
      <c r="AC206" s="87"/>
      <c r="AD206" s="87" t="str">
        <f>IF(AND(MONTH(E206)='IN-NX'!$J$5,'IN-NX'!$D$7=D206),"x","")</f>
        <v/>
      </c>
      <c r="AE206" s="87" t="str">
        <f>IF(AND(OR(LEFT(TH!N206,2)="15",LEFT(TH!O206,2)="15"),'152-CT'!$J$8=TH!F206),"x","")</f>
        <v/>
      </c>
      <c r="AF206" s="87" t="str">
        <f>IF(AND(OR(LEFT(TH!N206,2)="15",LEFT(TH!O206,2)="15"),'THE KHO'!$E$7=TH!F206),"x","")</f>
        <v/>
      </c>
      <c r="AG206" s="87" t="str">
        <f>IF(AND(N206="1521",MONTH(C206)='BK NL'!$M$11),"x","")</f>
        <v/>
      </c>
    </row>
    <row r="207" spans="1:33" ht="15.75" customHeight="1">
      <c r="A207" s="399" t="str">
        <f>IF(B207&lt;&gt;"",IF(AND(B207&gt;=_TM1,B207&lt;=_TM2,OR(TH!N207="1111",TH!O207="1111")),TH!D207,""),"")</f>
        <v/>
      </c>
      <c r="B207" s="63">
        <f>IF(C207&lt;&gt;"",MONTH(C207),"")</f>
        <v>1</v>
      </c>
      <c r="C207" s="64">
        <v>42391</v>
      </c>
      <c r="D207" s="64" t="s">
        <v>773</v>
      </c>
      <c r="E207" s="64">
        <v>42391</v>
      </c>
      <c r="F207" s="67" t="s">
        <v>837</v>
      </c>
      <c r="G207" s="362" t="s">
        <v>998</v>
      </c>
      <c r="H207" s="75"/>
      <c r="I207" s="518"/>
      <c r="J207" s="518"/>
      <c r="K207" s="509"/>
      <c r="L207" s="518"/>
      <c r="M207" s="65">
        <v>5878679</v>
      </c>
      <c r="N207" s="66" t="s">
        <v>99</v>
      </c>
      <c r="O207" s="66" t="s">
        <v>26</v>
      </c>
      <c r="P207" s="87" t="str">
        <f>IF(AND('331-CT'!$E$7=TH!H207,OR(N207="331",O207="331")),"x","")</f>
        <v/>
      </c>
      <c r="Q207" s="87" t="str">
        <f>IF(AND(B207='111'!$L$11,OR($N207=$Q$7,$O207=$Q$7)),"x","")</f>
        <v/>
      </c>
      <c r="R207" s="87" t="str">
        <f>IF(AND($N207=$Q$7,$B207&lt;'111'!$L$11),"x","")</f>
        <v/>
      </c>
      <c r="S207" s="87" t="str">
        <f>IF(AND($O207=$Q$7,$B207&lt;'111'!$L$11),"x","")</f>
        <v/>
      </c>
      <c r="T207" s="87" t="str">
        <f>IF(ISERROR(FIND('112'!$M$9,G207,1)),"",IF((AND(FIND('112'!$M$9,G207,1)&gt;=1,B207='112'!$K$9,OR($N207='112'!$I$6,$O207='112'!$I$6))),"x",""))</f>
        <v/>
      </c>
      <c r="U207" s="87" t="str">
        <f>IF(ISERROR(FIND('112'!$M$9,G207,1)),"",IF((AND(FIND('112'!$M$9,G207,1)&gt;=1,B207&lt;'112'!$K$9,$N207='112'!$I$6)),"x",""))</f>
        <v/>
      </c>
      <c r="V207" s="87" t="str">
        <f>IF(ISERROR(FIND('112'!$M$9,G207,1)),"",IF((AND(FIND('112'!$M$9,G207,1)&gt;=1,B207&lt;'112'!$K$9,$O207='112'!$I$6)),"x",""))</f>
        <v/>
      </c>
      <c r="W207" s="87" t="str">
        <f>IF(AND($B207&gt;='1331'!$I$9,$B207&lt;='1331'!$J$9,OR($N207=$W$7,$O207=$W$7)),"x","")</f>
        <v/>
      </c>
      <c r="X207" s="87" t="str">
        <f>IF(AND($N207=$W$7,$B207&lt;'1331'!$I$9),"x","")</f>
        <v/>
      </c>
      <c r="Y207" s="87" t="str">
        <f>IF(AND($O207=$W$7,$B207&lt;'1331'!$I$9),"x","")</f>
        <v/>
      </c>
      <c r="Z207" s="87" t="str">
        <f>IF(AND('341-CT'!$H$9=H207,OR(LEFT(N207,3)=$Z$7,LEFT(O207,3)=$Z$7)),"x","")</f>
        <v/>
      </c>
      <c r="AA207" s="87" t="str">
        <f>IF(OR(TH!N207=TH!$AA$7,O207=TH!$AA$7),"x","")</f>
        <v/>
      </c>
      <c r="AB207" s="87" t="str">
        <f>IF(AND(OR(N207="131",O207="131"),H207='131-CT'!$H$9),"x","")</f>
        <v/>
      </c>
      <c r="AC207" s="87"/>
      <c r="AD207" s="87" t="str">
        <f>IF(AND(MONTH(E207)='IN-NX'!$J$5,'IN-NX'!$D$7=D207),"x","")</f>
        <v/>
      </c>
      <c r="AE207" s="87" t="str">
        <f>IF(AND(OR(LEFT(TH!N207,2)="15",LEFT(TH!O207,2)="15"),'152-CT'!$J$8=TH!F207),"x","")</f>
        <v/>
      </c>
      <c r="AF207" s="87" t="str">
        <f>IF(AND(OR(LEFT(TH!N207,2)="15",LEFT(TH!O207,2)="15"),'THE KHO'!$E$7=TH!F207),"x","")</f>
        <v/>
      </c>
      <c r="AG207" s="87" t="str">
        <f>IF(AND(N207="1521",MONTH(C207)='BK NL'!$M$11),"x","")</f>
        <v/>
      </c>
    </row>
    <row r="208" spans="1:33" ht="15.75" customHeight="1">
      <c r="A208" s="399" t="str">
        <f>IF(B208&lt;&gt;"",IF(AND(B208&gt;=_TM1,B208&lt;=_TM2,OR(TH!N208="1111",TH!O208="1111")),TH!D208,""),"")</f>
        <v/>
      </c>
      <c r="B208" s="63">
        <f>IF(C208&lt;&gt;"",MONTH(C208),"")</f>
        <v>1</v>
      </c>
      <c r="C208" s="64">
        <v>42391</v>
      </c>
      <c r="D208" s="64" t="s">
        <v>773</v>
      </c>
      <c r="E208" s="64">
        <v>42391</v>
      </c>
      <c r="F208" s="67" t="s">
        <v>838</v>
      </c>
      <c r="G208" s="362" t="s">
        <v>998</v>
      </c>
      <c r="H208" s="75"/>
      <c r="I208" s="518"/>
      <c r="J208" s="518"/>
      <c r="K208" s="509"/>
      <c r="L208" s="518"/>
      <c r="M208" s="65">
        <v>2964125</v>
      </c>
      <c r="N208" s="66" t="s">
        <v>99</v>
      </c>
      <c r="O208" s="66" t="s">
        <v>26</v>
      </c>
      <c r="P208" s="87" t="str">
        <f>IF(AND('331-CT'!$E$7=TH!H208,OR(N208="331",O208="331")),"x","")</f>
        <v/>
      </c>
      <c r="Q208" s="87" t="str">
        <f>IF(AND(B208='111'!$L$11,OR($N208=$Q$7,$O208=$Q$7)),"x","")</f>
        <v/>
      </c>
      <c r="R208" s="87" t="str">
        <f>IF(AND($N208=$Q$7,$B208&lt;'111'!$L$11),"x","")</f>
        <v/>
      </c>
      <c r="S208" s="87" t="str">
        <f>IF(AND($O208=$Q$7,$B208&lt;'111'!$L$11),"x","")</f>
        <v/>
      </c>
      <c r="T208" s="87" t="str">
        <f>IF(ISERROR(FIND('112'!$M$9,G208,1)),"",IF((AND(FIND('112'!$M$9,G208,1)&gt;=1,B208='112'!$K$9,OR($N208='112'!$I$6,$O208='112'!$I$6))),"x",""))</f>
        <v/>
      </c>
      <c r="U208" s="87" t="str">
        <f>IF(ISERROR(FIND('112'!$M$9,G208,1)),"",IF((AND(FIND('112'!$M$9,G208,1)&gt;=1,B208&lt;'112'!$K$9,$N208='112'!$I$6)),"x",""))</f>
        <v/>
      </c>
      <c r="V208" s="87" t="str">
        <f>IF(ISERROR(FIND('112'!$M$9,G208,1)),"",IF((AND(FIND('112'!$M$9,G208,1)&gt;=1,B208&lt;'112'!$K$9,$O208='112'!$I$6)),"x",""))</f>
        <v/>
      </c>
      <c r="W208" s="87" t="str">
        <f>IF(AND($B208&gt;='1331'!$I$9,$B208&lt;='1331'!$J$9,OR($N208=$W$7,$O208=$W$7)),"x","")</f>
        <v/>
      </c>
      <c r="X208" s="87" t="str">
        <f>IF(AND($N208=$W$7,$B208&lt;'1331'!$I$9),"x","")</f>
        <v/>
      </c>
      <c r="Y208" s="87" t="str">
        <f>IF(AND($O208=$W$7,$B208&lt;'1331'!$I$9),"x","")</f>
        <v/>
      </c>
      <c r="Z208" s="87" t="str">
        <f>IF(AND('341-CT'!$H$9=H208,OR(LEFT(N208,3)=$Z$7,LEFT(O208,3)=$Z$7)),"x","")</f>
        <v/>
      </c>
      <c r="AA208" s="87" t="str">
        <f>IF(OR(TH!N208=TH!$AA$7,O208=TH!$AA$7),"x","")</f>
        <v/>
      </c>
      <c r="AB208" s="87" t="str">
        <f>IF(AND(OR(N208="131",O208="131"),H208='131-CT'!$H$9),"x","")</f>
        <v/>
      </c>
      <c r="AC208" s="87"/>
      <c r="AD208" s="87" t="str">
        <f>IF(AND(MONTH(E208)='IN-NX'!$J$5,'IN-NX'!$D$7=D208),"x","")</f>
        <v/>
      </c>
      <c r="AE208" s="87" t="str">
        <f>IF(AND(OR(LEFT(TH!N208,2)="15",LEFT(TH!O208,2)="15"),'152-CT'!$J$8=TH!F208),"x","")</f>
        <v/>
      </c>
      <c r="AF208" s="87" t="str">
        <f>IF(AND(OR(LEFT(TH!N208,2)="15",LEFT(TH!O208,2)="15"),'THE KHO'!$E$7=TH!F208),"x","")</f>
        <v/>
      </c>
      <c r="AG208" s="87" t="str">
        <f>IF(AND(N208="1521",MONTH(C208)='BK NL'!$M$11),"x","")</f>
        <v/>
      </c>
    </row>
    <row r="209" spans="1:33" ht="15.75" customHeight="1">
      <c r="A209" s="399" t="str">
        <f>IF(B209&lt;&gt;"",IF(AND(B209&gt;=_TM1,B209&lt;=_TM2,OR(TH!N209="1111",TH!O209="1111")),TH!D209,""),"")</f>
        <v/>
      </c>
      <c r="B209" s="63">
        <f>IF(C209&lt;&gt;"",MONTH(C209),"")</f>
        <v>1</v>
      </c>
      <c r="C209" s="64">
        <v>42392</v>
      </c>
      <c r="D209" s="64" t="s">
        <v>770</v>
      </c>
      <c r="E209" s="64">
        <v>42392</v>
      </c>
      <c r="F209" s="67" t="s">
        <v>811</v>
      </c>
      <c r="G209" s="362" t="s">
        <v>999</v>
      </c>
      <c r="H209" s="75"/>
      <c r="I209" s="518"/>
      <c r="J209" s="518"/>
      <c r="K209" s="509"/>
      <c r="L209" s="518"/>
      <c r="M209" s="65">
        <v>4172</v>
      </c>
      <c r="N209" s="66" t="s">
        <v>26</v>
      </c>
      <c r="O209" s="66" t="s">
        <v>43</v>
      </c>
      <c r="P209" s="87" t="str">
        <f>IF(AND('331-CT'!$E$7=TH!H209,OR(N209="331",O209="331")),"x","")</f>
        <v/>
      </c>
      <c r="Q209" s="87" t="str">
        <f>IF(AND(B209='111'!$L$11,OR($N209=$Q$7,$O209=$Q$7)),"x","")</f>
        <v/>
      </c>
      <c r="R209" s="87" t="str">
        <f>IF(AND($N209=$Q$7,$B209&lt;'111'!$L$11),"x","")</f>
        <v/>
      </c>
      <c r="S209" s="87" t="str">
        <f>IF(AND($O209=$Q$7,$B209&lt;'111'!$L$11),"x","")</f>
        <v/>
      </c>
      <c r="T209" s="87" t="str">
        <f>IF(ISERROR(FIND('112'!$M$9,G209,1)),"",IF((AND(FIND('112'!$M$9,G209,1)&gt;=1,B209='112'!$K$9,OR($N209='112'!$I$6,$O209='112'!$I$6))),"x",""))</f>
        <v>x</v>
      </c>
      <c r="U209" s="87" t="str">
        <f>IF(ISERROR(FIND('112'!$M$9,G209,1)),"",IF((AND(FIND('112'!$M$9,G209,1)&gt;=1,B209&lt;'112'!$K$9,$N209='112'!$I$6)),"x",""))</f>
        <v/>
      </c>
      <c r="V209" s="87" t="str">
        <f>IF(ISERROR(FIND('112'!$M$9,G209,1)),"",IF((AND(FIND('112'!$M$9,G209,1)&gt;=1,B209&lt;'112'!$K$9,$O209='112'!$I$6)),"x",""))</f>
        <v/>
      </c>
      <c r="W209" s="87" t="str">
        <f>IF(AND($B209&gt;='1331'!$I$9,$B209&lt;='1331'!$J$9,OR($N209=$W$7,$O209=$W$7)),"x","")</f>
        <v/>
      </c>
      <c r="X209" s="87" t="str">
        <f>IF(AND($N209=$W$7,$B209&lt;'1331'!$I$9),"x","")</f>
        <v/>
      </c>
      <c r="Y209" s="87" t="str">
        <f>IF(AND($O209=$W$7,$B209&lt;'1331'!$I$9),"x","")</f>
        <v/>
      </c>
      <c r="Z209" s="87" t="str">
        <f>IF(AND('341-CT'!$H$9=H209,OR(LEFT(N209,3)=$Z$7,LEFT(O209,3)=$Z$7)),"x","")</f>
        <v/>
      </c>
      <c r="AA209" s="87" t="str">
        <f>IF(OR(TH!N209=TH!$AA$7,O209=TH!$AA$7),"x","")</f>
        <v>x</v>
      </c>
      <c r="AB209" s="87" t="str">
        <f>IF(AND(OR(N209="131",O209="131"),H209='131-CT'!$H$9),"x","")</f>
        <v/>
      </c>
      <c r="AC209" s="87"/>
      <c r="AD209" s="87" t="str">
        <f>IF(AND(MONTH(E209)='IN-NX'!$J$5,'IN-NX'!$D$7=D209),"x","")</f>
        <v/>
      </c>
      <c r="AE209" s="87" t="str">
        <f>IF(AND(OR(LEFT(TH!N209,2)="15",LEFT(TH!O209,2)="15"),'152-CT'!$J$8=TH!F209),"x","")</f>
        <v/>
      </c>
      <c r="AF209" s="87" t="str">
        <f>IF(AND(OR(LEFT(TH!N209,2)="15",LEFT(TH!O209,2)="15"),'THE KHO'!$E$7=TH!F209),"x","")</f>
        <v/>
      </c>
      <c r="AG209" s="87" t="str">
        <f>IF(AND(N209="1521",MONTH(C209)='BK NL'!$M$11),"x","")</f>
        <v/>
      </c>
    </row>
    <row r="210" spans="1:33" ht="15.75" customHeight="1">
      <c r="A210" s="399" t="str">
        <f>IF(B210&lt;&gt;"",IF(AND(B210&gt;=_TM1,B210&lt;=_TM2,OR(TH!N210="1111",TH!O210="1111")),TH!D210,""),"")</f>
        <v/>
      </c>
      <c r="B210" s="63">
        <f>IF(C210&lt;&gt;"",MONTH(C210),"")</f>
        <v>1</v>
      </c>
      <c r="C210" s="64">
        <v>42392</v>
      </c>
      <c r="D210" s="64" t="s">
        <v>770</v>
      </c>
      <c r="E210" s="64">
        <v>42392</v>
      </c>
      <c r="F210" s="67" t="s">
        <v>813</v>
      </c>
      <c r="G210" s="362" t="s">
        <v>998</v>
      </c>
      <c r="H210" s="96"/>
      <c r="I210" s="518"/>
      <c r="J210" s="518"/>
      <c r="K210" s="509"/>
      <c r="L210" s="518"/>
      <c r="M210" s="65">
        <v>1541</v>
      </c>
      <c r="N210" s="66" t="s">
        <v>26</v>
      </c>
      <c r="O210" s="66" t="s">
        <v>43</v>
      </c>
      <c r="P210" s="87" t="str">
        <f>IF(AND('331-CT'!$E$7=TH!H210,OR(N210="331",O210="331")),"x","")</f>
        <v/>
      </c>
      <c r="Q210" s="87" t="str">
        <f>IF(AND(B210='111'!$L$11,OR($N210=$Q$7,$O210=$Q$7)),"x","")</f>
        <v/>
      </c>
      <c r="R210" s="87" t="str">
        <f>IF(AND($N210=$Q$7,$B210&lt;'111'!$L$11),"x","")</f>
        <v/>
      </c>
      <c r="S210" s="87" t="str">
        <f>IF(AND($O210=$Q$7,$B210&lt;'111'!$L$11),"x","")</f>
        <v/>
      </c>
      <c r="T210" s="87" t="str">
        <f>IF(ISERROR(FIND('112'!$M$9,G210,1)),"",IF((AND(FIND('112'!$M$9,G210,1)&gt;=1,B210='112'!$K$9,OR($N210='112'!$I$6,$O210='112'!$I$6))),"x",""))</f>
        <v/>
      </c>
      <c r="U210" s="87" t="str">
        <f>IF(ISERROR(FIND('112'!$M$9,G210,1)),"",IF((AND(FIND('112'!$M$9,G210,1)&gt;=1,B210&lt;'112'!$K$9,$N210='112'!$I$6)),"x",""))</f>
        <v/>
      </c>
      <c r="V210" s="87" t="str">
        <f>IF(ISERROR(FIND('112'!$M$9,G210,1)),"",IF((AND(FIND('112'!$M$9,G210,1)&gt;=1,B210&lt;'112'!$K$9,$O210='112'!$I$6)),"x",""))</f>
        <v/>
      </c>
      <c r="W210" s="87" t="str">
        <f>IF(AND($B210&gt;='1331'!$I$9,$B210&lt;='1331'!$J$9,OR($N210=$W$7,$O210=$W$7)),"x","")</f>
        <v/>
      </c>
      <c r="X210" s="87" t="str">
        <f>IF(AND($N210=$W$7,$B210&lt;'1331'!$I$9),"x","")</f>
        <v/>
      </c>
      <c r="Y210" s="87" t="str">
        <f>IF(AND($O210=$W$7,$B210&lt;'1331'!$I$9),"x","")</f>
        <v/>
      </c>
      <c r="Z210" s="87" t="str">
        <f>IF(AND('341-CT'!$H$9=H210,OR(LEFT(N210,3)=$Z$7,LEFT(O210,3)=$Z$7)),"x","")</f>
        <v/>
      </c>
      <c r="AA210" s="87" t="str">
        <f>IF(OR(TH!N210=TH!$AA$7,O210=TH!$AA$7),"x","")</f>
        <v>x</v>
      </c>
      <c r="AB210" s="87" t="str">
        <f>IF(AND(OR(N210="131",O210="131"),H210='131-CT'!$H$9),"x","")</f>
        <v/>
      </c>
      <c r="AC210" s="87"/>
      <c r="AD210" s="87" t="str">
        <f>IF(AND(MONTH(E210)='IN-NX'!$J$5,'IN-NX'!$D$7=D210),"x","")</f>
        <v/>
      </c>
      <c r="AE210" s="87" t="str">
        <f>IF(AND(OR(LEFT(TH!N210,2)="15",LEFT(TH!O210,2)="15"),'152-CT'!$J$8=TH!F210),"x","")</f>
        <v/>
      </c>
      <c r="AF210" s="87" t="str">
        <f>IF(AND(OR(LEFT(TH!N210,2)="15",LEFT(TH!O210,2)="15"),'THE KHO'!$E$7=TH!F210),"x","")</f>
        <v/>
      </c>
      <c r="AG210" s="87" t="str">
        <f>IF(AND(N210="1521",MONTH(C210)='BK NL'!$M$11),"x","")</f>
        <v/>
      </c>
    </row>
    <row r="211" spans="1:33" ht="15.75" customHeight="1">
      <c r="A211" s="399" t="str">
        <f>IF(B211&lt;&gt;"",IF(AND(B211&gt;=_TM1,B211&lt;=_TM2,OR(TH!N211="1111",TH!O211="1111")),TH!D211,""),"")</f>
        <v>C33</v>
      </c>
      <c r="B211" s="63">
        <f>IF(C211&lt;&gt;"",MONTH(C211),"")</f>
        <v>1</v>
      </c>
      <c r="C211" s="64">
        <v>42393</v>
      </c>
      <c r="D211" s="64" t="s">
        <v>981</v>
      </c>
      <c r="E211" s="64">
        <v>42393</v>
      </c>
      <c r="F211" s="67" t="s">
        <v>870</v>
      </c>
      <c r="G211" s="362" t="s">
        <v>917</v>
      </c>
      <c r="H211" s="75" t="s">
        <v>888</v>
      </c>
      <c r="I211" s="518"/>
      <c r="J211" s="518"/>
      <c r="K211" s="509"/>
      <c r="L211" s="518"/>
      <c r="M211" s="65">
        <v>1137764</v>
      </c>
      <c r="N211" s="66" t="s">
        <v>101</v>
      </c>
      <c r="O211" s="66" t="s">
        <v>63</v>
      </c>
      <c r="P211" s="87" t="str">
        <f>IF(AND('331-CT'!$E$7=TH!H211,OR(N211="331",O211="331")),"x","")</f>
        <v/>
      </c>
      <c r="Q211" s="87" t="str">
        <f>IF(AND(B211='111'!$L$11,OR($N211=$Q$7,$O211=$Q$7)),"x","")</f>
        <v>x</v>
      </c>
      <c r="R211" s="87" t="str">
        <f>IF(AND($N211=$Q$7,$B211&lt;'111'!$L$11),"x","")</f>
        <v/>
      </c>
      <c r="S211" s="87" t="str">
        <f>IF(AND($O211=$Q$7,$B211&lt;'111'!$L$11),"x","")</f>
        <v/>
      </c>
      <c r="T211" s="87" t="str">
        <f>IF(ISERROR(FIND('112'!$M$9,G211,1)),"",IF((AND(FIND('112'!$M$9,G211,1)&gt;=1,B211='112'!$K$9,OR($N211='112'!$I$6,$O211='112'!$I$6))),"x",""))</f>
        <v/>
      </c>
      <c r="U211" s="87" t="str">
        <f>IF(ISERROR(FIND('112'!$M$9,G211,1)),"",IF((AND(FIND('112'!$M$9,G211,1)&gt;=1,B211&lt;'112'!$K$9,$N211='112'!$I$6)),"x",""))</f>
        <v/>
      </c>
      <c r="V211" s="87" t="str">
        <f>IF(ISERROR(FIND('112'!$M$9,G211,1)),"",IF((AND(FIND('112'!$M$9,G211,1)&gt;=1,B211&lt;'112'!$K$9,$O211='112'!$I$6)),"x",""))</f>
        <v/>
      </c>
      <c r="W211" s="87" t="str">
        <f>IF(AND($B211&gt;='1331'!$I$9,$B211&lt;='1331'!$J$9,OR($N211=$W$7,$O211=$W$7)),"x","")</f>
        <v/>
      </c>
      <c r="X211" s="87" t="str">
        <f>IF(AND($N211=$W$7,$B211&lt;'1331'!$I$9),"x","")</f>
        <v/>
      </c>
      <c r="Y211" s="87" t="str">
        <f>IF(AND($O211=$W$7,$B211&lt;'1331'!$I$9),"x","")</f>
        <v/>
      </c>
      <c r="Z211" s="87" t="str">
        <f>IF(AND('341-CT'!$H$9=H211,OR(LEFT(N211,3)=$Z$7,LEFT(O211,3)=$Z$7)),"x","")</f>
        <v/>
      </c>
      <c r="AA211" s="87" t="str">
        <f>IF(OR(TH!N211=TH!$AA$7,O211=TH!$AA$7),"x","")</f>
        <v/>
      </c>
      <c r="AB211" s="87" t="str">
        <f>IF(AND(OR(N211="131",O211="131"),H211='131-CT'!$H$9),"x","")</f>
        <v/>
      </c>
      <c r="AC211" s="87"/>
      <c r="AD211" s="87" t="str">
        <f>IF(AND(MONTH(E211)='IN-NX'!$J$5,'IN-NX'!$D$7=D211),"x","")</f>
        <v/>
      </c>
      <c r="AE211" s="87" t="str">
        <f>IF(AND(OR(LEFT(TH!N211,2)="15",LEFT(TH!O211,2)="15"),'152-CT'!$J$8=TH!F211),"x","")</f>
        <v/>
      </c>
      <c r="AF211" s="87" t="str">
        <f>IF(AND(OR(LEFT(TH!N211,2)="15",LEFT(TH!O211,2)="15"),'THE KHO'!$E$7=TH!F211),"x","")</f>
        <v/>
      </c>
      <c r="AG211" s="87" t="str">
        <f>IF(AND(N211="1521",MONTH(C211)='BK NL'!$M$11),"x","")</f>
        <v/>
      </c>
    </row>
    <row r="212" spans="1:33" ht="15.75" customHeight="1">
      <c r="A212" s="399" t="str">
        <f>IF(B212&lt;&gt;"",IF(AND(B212&gt;=_TM1,B212&lt;=_TM2,OR(TH!N212="1111",TH!O212="1111")),TH!D212,""),"")</f>
        <v>C33</v>
      </c>
      <c r="B212" s="63">
        <f>IF(C212&lt;&gt;"",MONTH(C212),"")</f>
        <v>1</v>
      </c>
      <c r="C212" s="64">
        <v>42393</v>
      </c>
      <c r="D212" s="64" t="s">
        <v>981</v>
      </c>
      <c r="E212" s="64">
        <v>42393</v>
      </c>
      <c r="F212" s="67" t="s">
        <v>871</v>
      </c>
      <c r="G212" s="362" t="s">
        <v>917</v>
      </c>
      <c r="H212" s="409" t="s">
        <v>888</v>
      </c>
      <c r="I212" s="522"/>
      <c r="J212" s="522"/>
      <c r="K212" s="513"/>
      <c r="L212" s="522"/>
      <c r="M212" s="65">
        <v>113776</v>
      </c>
      <c r="N212" s="66" t="s">
        <v>9</v>
      </c>
      <c r="O212" s="66" t="s">
        <v>63</v>
      </c>
      <c r="P212" s="87" t="str">
        <f>IF(AND('331-CT'!$E$7=TH!H212,OR(N212="331",O212="331")),"x","")</f>
        <v/>
      </c>
      <c r="Q212" s="87" t="str">
        <f>IF(AND(B212='111'!$L$11,OR($N212=$Q$7,$O212=$Q$7)),"x","")</f>
        <v>x</v>
      </c>
      <c r="R212" s="87" t="str">
        <f>IF(AND($N212=$Q$7,$B212&lt;'111'!$L$11),"x","")</f>
        <v/>
      </c>
      <c r="S212" s="87" t="str">
        <f>IF(AND($O212=$Q$7,$B212&lt;'111'!$L$11),"x","")</f>
        <v/>
      </c>
      <c r="T212" s="87" t="str">
        <f>IF(ISERROR(FIND('112'!$M$9,G212,1)),"",IF((AND(FIND('112'!$M$9,G212,1)&gt;=1,B212='112'!$K$9,OR($N212='112'!$I$6,$O212='112'!$I$6))),"x",""))</f>
        <v/>
      </c>
      <c r="U212" s="87" t="str">
        <f>IF(ISERROR(FIND('112'!$M$9,G212,1)),"",IF((AND(FIND('112'!$M$9,G212,1)&gt;=1,B212&lt;'112'!$K$9,$N212='112'!$I$6)),"x",""))</f>
        <v/>
      </c>
      <c r="V212" s="87" t="str">
        <f>IF(ISERROR(FIND('112'!$M$9,G212,1)),"",IF((AND(FIND('112'!$M$9,G212,1)&gt;=1,B212&lt;'112'!$K$9,$O212='112'!$I$6)),"x",""))</f>
        <v/>
      </c>
      <c r="W212" s="87" t="str">
        <f>IF(AND($B212&gt;='1331'!$I$9,$B212&lt;='1331'!$J$9,OR($N212=$W$7,$O212=$W$7)),"x","")</f>
        <v>x</v>
      </c>
      <c r="X212" s="87" t="str">
        <f>IF(AND($N212=$W$7,$B212&lt;'1331'!$I$9),"x","")</f>
        <v/>
      </c>
      <c r="Y212" s="87" t="str">
        <f>IF(AND($O212=$W$7,$B212&lt;'1331'!$I$9),"x","")</f>
        <v/>
      </c>
      <c r="Z212" s="87" t="str">
        <f>IF(AND('341-CT'!$H$9=H212,OR(LEFT(N212,3)=$Z$7,LEFT(O212,3)=$Z$7)),"x","")</f>
        <v/>
      </c>
      <c r="AA212" s="87" t="str">
        <f>IF(OR(TH!N212=TH!$AA$7,O212=TH!$AA$7),"x","")</f>
        <v/>
      </c>
      <c r="AB212" s="87" t="str">
        <f>IF(AND(OR(N212="131",O212="131"),H212='131-CT'!$H$9),"x","")</f>
        <v/>
      </c>
      <c r="AC212" s="87"/>
      <c r="AD212" s="87" t="str">
        <f>IF(AND(MONTH(E212)='IN-NX'!$J$5,'IN-NX'!$D$7=D212),"x","")</f>
        <v/>
      </c>
      <c r="AE212" s="87" t="str">
        <f>IF(AND(OR(LEFT(TH!N212,2)="15",LEFT(TH!O212,2)="15"),'152-CT'!$J$8=TH!F212),"x","")</f>
        <v/>
      </c>
      <c r="AF212" s="87" t="str">
        <f>IF(AND(OR(LEFT(TH!N212,2)="15",LEFT(TH!O212,2)="15"),'THE KHO'!$E$7=TH!F212),"x","")</f>
        <v/>
      </c>
      <c r="AG212" s="87" t="str">
        <f>IF(AND(N212="1521",MONTH(C212)='BK NL'!$M$11),"x","")</f>
        <v/>
      </c>
    </row>
    <row r="213" spans="1:33" s="410" customFormat="1" ht="15.75" customHeight="1">
      <c r="A213" s="399" t="str">
        <f>IF(B213&lt;&gt;"",IF(AND(B213&gt;=_TM1,B213&lt;=_TM2,OR(TH!N213="1111",TH!O213="1111")),TH!D213,""),"")</f>
        <v/>
      </c>
      <c r="B213" s="63">
        <f>IF(C213&lt;&gt;"",MONTH(C213),"")</f>
        <v>1</v>
      </c>
      <c r="C213" s="64">
        <v>42394</v>
      </c>
      <c r="D213" s="64" t="s">
        <v>770</v>
      </c>
      <c r="E213" s="64">
        <v>42394</v>
      </c>
      <c r="F213" s="67" t="s">
        <v>772</v>
      </c>
      <c r="G213" s="362" t="s">
        <v>999</v>
      </c>
      <c r="H213" s="75"/>
      <c r="I213" s="518"/>
      <c r="J213" s="518"/>
      <c r="K213" s="509">
        <v>97000</v>
      </c>
      <c r="L213" s="518">
        <v>22360</v>
      </c>
      <c r="M213" s="86">
        <f>ROUND(K213*L213,0)</f>
        <v>2168920000</v>
      </c>
      <c r="N213" s="66" t="s">
        <v>282</v>
      </c>
      <c r="O213" s="66" t="s">
        <v>26</v>
      </c>
      <c r="P213" s="87" t="str">
        <f>IF(AND('331-CT'!$E$7=TH!H213,OR(N213="331",O213="331")),"x","")</f>
        <v/>
      </c>
      <c r="Q213" s="87" t="str">
        <f>IF(AND(B213='111'!$L$11,OR($N213=$Q$7,$O213=$Q$7)),"x","")</f>
        <v/>
      </c>
      <c r="R213" s="87" t="str">
        <f>IF(AND($N213=$Q$7,$B213&lt;'111'!$L$11),"x","")</f>
        <v/>
      </c>
      <c r="S213" s="87" t="str">
        <f>IF(AND($O213=$Q$7,$B213&lt;'111'!$L$11),"x","")</f>
        <v/>
      </c>
      <c r="T213" s="87" t="str">
        <f>IF(ISERROR(FIND('112'!$M$9,G213,1)),"",IF((AND(FIND('112'!$M$9,G213,1)&gt;=1,B213='112'!$K$9,OR($N213='112'!$I$6,$O213='112'!$I$6))),"x",""))</f>
        <v>x</v>
      </c>
      <c r="U213" s="87" t="str">
        <f>IF(ISERROR(FIND('112'!$M$9,G213,1)),"",IF((AND(FIND('112'!$M$9,G213,1)&gt;=1,B213&lt;'112'!$K$9,$N213='112'!$I$6)),"x",""))</f>
        <v/>
      </c>
      <c r="V213" s="87" t="str">
        <f>IF(ISERROR(FIND('112'!$M$9,G213,1)),"",IF((AND(FIND('112'!$M$9,G213,1)&gt;=1,B213&lt;'112'!$K$9,$O213='112'!$I$6)),"x",""))</f>
        <v/>
      </c>
      <c r="W213" s="87" t="str">
        <f>IF(AND($B213&gt;='1331'!$I$9,$B213&lt;='1331'!$J$9,OR($N213=$W$7,$O213=$W$7)),"x","")</f>
        <v/>
      </c>
      <c r="X213" s="87" t="str">
        <f>IF(AND($N213=$W$7,$B213&lt;'1331'!$I$9),"x","")</f>
        <v/>
      </c>
      <c r="Y213" s="87" t="str">
        <f>IF(AND($O213=$W$7,$B213&lt;'1331'!$I$9),"x","")</f>
        <v/>
      </c>
      <c r="Z213" s="87" t="str">
        <f>IF(AND('341-CT'!$H$9=H213,OR(LEFT(N213,3)=$Z$7,LEFT(O213,3)=$Z$7)),"x","")</f>
        <v/>
      </c>
      <c r="AA213" s="87" t="str">
        <f>IF(OR(TH!N213=TH!$AA$7,O213=TH!$AA$7),"x","")</f>
        <v/>
      </c>
      <c r="AB213" s="87" t="str">
        <f>IF(AND(OR(N213="131",O213="131"),H213='131-CT'!$H$9),"x","")</f>
        <v/>
      </c>
      <c r="AC213" s="87"/>
      <c r="AD213" s="87" t="str">
        <f>IF(AND(MONTH(E213)='IN-NX'!$J$5,'IN-NX'!$D$7=D213),"x","")</f>
        <v/>
      </c>
      <c r="AE213" s="87" t="str">
        <f>IF(AND(OR(LEFT(TH!N213,2)="15",LEFT(TH!O213,2)="15"),'152-CT'!$J$8=TH!F213),"x","")</f>
        <v/>
      </c>
      <c r="AF213" s="87" t="str">
        <f>IF(AND(OR(LEFT(TH!N213,2)="15",LEFT(TH!O213,2)="15"),'THE KHO'!$E$7=TH!F213),"x","")</f>
        <v/>
      </c>
      <c r="AG213" s="87" t="str">
        <f>IF(AND(N213="1521",MONTH(C213)='BK NL'!$M$11),"x","")</f>
        <v/>
      </c>
    </row>
    <row r="214" spans="1:33" ht="15.75" customHeight="1">
      <c r="A214" s="399" t="str">
        <f>IF(B214&lt;&gt;"",IF(AND(B214&gt;=_TM1,B214&lt;=_TM2,OR(TH!N214="1111",TH!O214="1111")),TH!D214,""),"")</f>
        <v/>
      </c>
      <c r="B214" s="63">
        <f>IF(C214&lt;&gt;"",MONTH(C214),"")</f>
        <v>1</v>
      </c>
      <c r="C214" s="405">
        <v>42394</v>
      </c>
      <c r="D214" s="64" t="s">
        <v>773</v>
      </c>
      <c r="E214" s="64">
        <v>42394</v>
      </c>
      <c r="F214" s="67" t="s">
        <v>774</v>
      </c>
      <c r="G214" s="362" t="s">
        <v>999</v>
      </c>
      <c r="H214" s="75" t="s">
        <v>809</v>
      </c>
      <c r="I214" s="518"/>
      <c r="J214" s="518"/>
      <c r="K214" s="509">
        <v>97000</v>
      </c>
      <c r="L214" s="518">
        <v>22360</v>
      </c>
      <c r="M214" s="86">
        <f>ROUND(K214*L214,0)</f>
        <v>2168920000</v>
      </c>
      <c r="N214" s="66" t="s">
        <v>282</v>
      </c>
      <c r="O214" s="66" t="s">
        <v>276</v>
      </c>
      <c r="P214" s="87" t="str">
        <f>IF(AND('331-CT'!$E$7=TH!H214,OR(N214="331",O214="331")),"x","")</f>
        <v/>
      </c>
      <c r="Q214" s="87" t="str">
        <f>IF(AND(B214='111'!$L$11,OR($N214=$Q$7,$O214=$Q$7)),"x","")</f>
        <v/>
      </c>
      <c r="R214" s="87" t="str">
        <f>IF(AND($N214=$Q$7,$B214&lt;'111'!$L$11),"x","")</f>
        <v/>
      </c>
      <c r="S214" s="87" t="str">
        <f>IF(AND($O214=$Q$7,$B214&lt;'111'!$L$11),"x","")</f>
        <v/>
      </c>
      <c r="T214" s="87" t="str">
        <f>IF(ISERROR(FIND('112'!$M$9,G214,1)),"",IF((AND(FIND('112'!$M$9,G214,1)&gt;=1,B214='112'!$K$9,OR($N214='112'!$I$6,$O214='112'!$I$6))),"x",""))</f>
        <v/>
      </c>
      <c r="U214" s="87" t="str">
        <f>IF(ISERROR(FIND('112'!$M$9,G214,1)),"",IF((AND(FIND('112'!$M$9,G214,1)&gt;=1,B214&lt;'112'!$K$9,$N214='112'!$I$6)),"x",""))</f>
        <v/>
      </c>
      <c r="V214" s="87" t="str">
        <f>IF(ISERROR(FIND('112'!$M$9,G214,1)),"",IF((AND(FIND('112'!$M$9,G214,1)&gt;=1,B214&lt;'112'!$K$9,$O214='112'!$I$6)),"x",""))</f>
        <v/>
      </c>
      <c r="W214" s="87" t="str">
        <f>IF(AND($B214&gt;='1331'!$I$9,$B214&lt;='1331'!$J$9,OR($N214=$W$7,$O214=$W$7)),"x","")</f>
        <v/>
      </c>
      <c r="X214" s="87" t="str">
        <f>IF(AND($N214=$W$7,$B214&lt;'1331'!$I$9),"x","")</f>
        <v/>
      </c>
      <c r="Y214" s="87" t="str">
        <f>IF(AND($O214=$W$7,$B214&lt;'1331'!$I$9),"x","")</f>
        <v/>
      </c>
      <c r="Z214" s="87" t="str">
        <f>IF(AND('341-CT'!$H$9=H214,OR(LEFT(N214,3)=$Z$7,LEFT(O214,3)=$Z$7)),"x","")</f>
        <v/>
      </c>
      <c r="AA214" s="87" t="str">
        <f>IF(OR(TH!N214=TH!$AA$7,O214=TH!$AA$7),"x","")</f>
        <v/>
      </c>
      <c r="AB214" s="87" t="str">
        <f>IF(AND(OR(N214="131",O214="131"),H214='131-CT'!$H$9),"x","")</f>
        <v/>
      </c>
      <c r="AC214" s="87"/>
      <c r="AD214" s="87" t="str">
        <f>IF(AND(MONTH(E214)='IN-NX'!$J$5,'IN-NX'!$D$7=D214),"x","")</f>
        <v/>
      </c>
      <c r="AE214" s="87" t="str">
        <f>IF(AND(OR(LEFT(TH!N214,2)="15",LEFT(TH!O214,2)="15"),'152-CT'!$J$8=TH!F214),"x","")</f>
        <v/>
      </c>
      <c r="AF214" s="87" t="str">
        <f>IF(AND(OR(LEFT(TH!N214,2)="15",LEFT(TH!O214,2)="15"),'THE KHO'!$E$7=TH!F214),"x","")</f>
        <v/>
      </c>
      <c r="AG214" s="87" t="str">
        <f>IF(AND(N214="1521",MONTH(C214)='BK NL'!$M$11),"x","")</f>
        <v/>
      </c>
    </row>
    <row r="215" spans="1:33" ht="15.75" customHeight="1">
      <c r="A215" s="399" t="str">
        <f>IF(B215&lt;&gt;"",IF(AND(B215&gt;=_TM1,B215&lt;=_TM2,OR(TH!N215="1111",TH!O215="1111")),TH!D215,""),"")</f>
        <v/>
      </c>
      <c r="B215" s="63">
        <f>IF(C215&lt;&gt;"",MONTH(C215),"")</f>
        <v>1</v>
      </c>
      <c r="C215" s="64">
        <v>42394</v>
      </c>
      <c r="D215" s="64" t="s">
        <v>773</v>
      </c>
      <c r="E215" s="64">
        <v>42394</v>
      </c>
      <c r="F215" s="67" t="s">
        <v>778</v>
      </c>
      <c r="G215" s="362" t="s">
        <v>999</v>
      </c>
      <c r="H215" s="75"/>
      <c r="I215" s="518"/>
      <c r="J215" s="518"/>
      <c r="K215" s="509">
        <v>15</v>
      </c>
      <c r="L215" s="518">
        <v>22370</v>
      </c>
      <c r="M215" s="86">
        <f>ROUND(K215*L215,0)</f>
        <v>335550</v>
      </c>
      <c r="N215" s="66" t="s">
        <v>101</v>
      </c>
      <c r="O215" s="66" t="s">
        <v>282</v>
      </c>
      <c r="P215" s="87" t="str">
        <f>IF(AND('331-CT'!$E$7=TH!H215,OR(N215="331",O215="331")),"x","")</f>
        <v/>
      </c>
      <c r="Q215" s="87" t="str">
        <f>IF(AND(B215='111'!$L$11,OR($N215=$Q$7,$O215=$Q$7)),"x","")</f>
        <v/>
      </c>
      <c r="R215" s="87" t="str">
        <f>IF(AND($N215=$Q$7,$B215&lt;'111'!$L$11),"x","")</f>
        <v/>
      </c>
      <c r="S215" s="87" t="str">
        <f>IF(AND($O215=$Q$7,$B215&lt;'111'!$L$11),"x","")</f>
        <v/>
      </c>
      <c r="T215" s="87" t="str">
        <f>IF(ISERROR(FIND('112'!$M$9,G215,1)),"",IF((AND(FIND('112'!$M$9,G215,1)&gt;=1,B215='112'!$K$9,OR($N215='112'!$I$6,$O215='112'!$I$6))),"x",""))</f>
        <v/>
      </c>
      <c r="U215" s="87" t="str">
        <f>IF(ISERROR(FIND('112'!$M$9,G215,1)),"",IF((AND(FIND('112'!$M$9,G215,1)&gt;=1,B215&lt;'112'!$K$9,$N215='112'!$I$6)),"x",""))</f>
        <v/>
      </c>
      <c r="V215" s="87" t="str">
        <f>IF(ISERROR(FIND('112'!$M$9,G215,1)),"",IF((AND(FIND('112'!$M$9,G215,1)&gt;=1,B215&lt;'112'!$K$9,$O215='112'!$I$6)),"x",""))</f>
        <v/>
      </c>
      <c r="W215" s="87" t="str">
        <f>IF(AND($B215&gt;='1331'!$I$9,$B215&lt;='1331'!$J$9,OR($N215=$W$7,$O215=$W$7)),"x","")</f>
        <v/>
      </c>
      <c r="X215" s="87" t="str">
        <f>IF(AND($N215=$W$7,$B215&lt;'1331'!$I$9),"x","")</f>
        <v/>
      </c>
      <c r="Y215" s="87" t="str">
        <f>IF(AND($O215=$W$7,$B215&lt;'1331'!$I$9),"x","")</f>
        <v/>
      </c>
      <c r="Z215" s="87" t="str">
        <f>IF(AND('341-CT'!$H$9=H215,OR(LEFT(N215,3)=$Z$7,LEFT(O215,3)=$Z$7)),"x","")</f>
        <v/>
      </c>
      <c r="AA215" s="87" t="str">
        <f>IF(OR(TH!N215=TH!$AA$7,O215=TH!$AA$7),"x","")</f>
        <v/>
      </c>
      <c r="AB215" s="87" t="str">
        <f>IF(AND(OR(N215="131",O215="131"),H215='131-CT'!$H$9),"x","")</f>
        <v/>
      </c>
      <c r="AC215" s="87"/>
      <c r="AD215" s="87" t="str">
        <f>IF(AND(MONTH(E215)='IN-NX'!$J$5,'IN-NX'!$D$7=D215),"x","")</f>
        <v/>
      </c>
      <c r="AE215" s="87" t="str">
        <f>IF(AND(OR(LEFT(TH!N215,2)="15",LEFT(TH!O215,2)="15"),'152-CT'!$J$8=TH!F215),"x","")</f>
        <v/>
      </c>
      <c r="AF215" s="87" t="str">
        <f>IF(AND(OR(LEFT(TH!N215,2)="15",LEFT(TH!O215,2)="15"),'THE KHO'!$E$7=TH!F215),"x","")</f>
        <v/>
      </c>
      <c r="AG215" s="87" t="str">
        <f>IF(AND(N215="1521",MONTH(C215)='BK NL'!$M$11),"x","")</f>
        <v/>
      </c>
    </row>
    <row r="216" spans="1:33" ht="15.75" customHeight="1">
      <c r="A216" s="399" t="str">
        <f>IF(B216&lt;&gt;"",IF(AND(B216&gt;=_TM1,B216&lt;=_TM2,OR(TH!N216="1111",TH!O216="1111")),TH!D216,""),"")</f>
        <v/>
      </c>
      <c r="B216" s="63">
        <f>IF(C216&lt;&gt;"",MONTH(C216),"")</f>
        <v>1</v>
      </c>
      <c r="C216" s="64">
        <v>42394</v>
      </c>
      <c r="D216" s="64" t="s">
        <v>773</v>
      </c>
      <c r="E216" s="64">
        <v>42394</v>
      </c>
      <c r="F216" s="67" t="s">
        <v>779</v>
      </c>
      <c r="G216" s="362" t="s">
        <v>999</v>
      </c>
      <c r="H216" s="75"/>
      <c r="I216" s="518"/>
      <c r="J216" s="518"/>
      <c r="K216" s="509">
        <v>1.5</v>
      </c>
      <c r="L216" s="518">
        <v>22370</v>
      </c>
      <c r="M216" s="86">
        <f>ROUND(K216*L216,0)</f>
        <v>33555</v>
      </c>
      <c r="N216" s="66" t="s">
        <v>9</v>
      </c>
      <c r="O216" s="66" t="s">
        <v>282</v>
      </c>
      <c r="P216" s="87" t="str">
        <f>IF(AND('331-CT'!$E$7=TH!H216,OR(N216="331",O216="331")),"x","")</f>
        <v/>
      </c>
      <c r="Q216" s="87" t="str">
        <f>IF(AND(B216='111'!$L$11,OR($N216=$Q$7,$O216=$Q$7)),"x","")</f>
        <v/>
      </c>
      <c r="R216" s="87" t="str">
        <f>IF(AND($N216=$Q$7,$B216&lt;'111'!$L$11),"x","")</f>
        <v/>
      </c>
      <c r="S216" s="87" t="str">
        <f>IF(AND($O216=$Q$7,$B216&lt;'111'!$L$11),"x","")</f>
        <v/>
      </c>
      <c r="T216" s="87" t="str">
        <f>IF(ISERROR(FIND('112'!$M$9,G216,1)),"",IF((AND(FIND('112'!$M$9,G216,1)&gt;=1,B216='112'!$K$9,OR($N216='112'!$I$6,$O216='112'!$I$6))),"x",""))</f>
        <v/>
      </c>
      <c r="U216" s="87" t="str">
        <f>IF(ISERROR(FIND('112'!$M$9,G216,1)),"",IF((AND(FIND('112'!$M$9,G216,1)&gt;=1,B216&lt;'112'!$K$9,$N216='112'!$I$6)),"x",""))</f>
        <v/>
      </c>
      <c r="V216" s="87" t="str">
        <f>IF(ISERROR(FIND('112'!$M$9,G216,1)),"",IF((AND(FIND('112'!$M$9,G216,1)&gt;=1,B216&lt;'112'!$K$9,$O216='112'!$I$6)),"x",""))</f>
        <v/>
      </c>
      <c r="W216" s="87" t="str">
        <f>IF(AND($B216&gt;='1331'!$I$9,$B216&lt;='1331'!$J$9,OR($N216=$W$7,$O216=$W$7)),"x","")</f>
        <v>x</v>
      </c>
      <c r="X216" s="87" t="str">
        <f>IF(AND($N216=$W$7,$B216&lt;'1331'!$I$9),"x","")</f>
        <v/>
      </c>
      <c r="Y216" s="87" t="str">
        <f>IF(AND($O216=$W$7,$B216&lt;'1331'!$I$9),"x","")</f>
        <v/>
      </c>
      <c r="Z216" s="87" t="str">
        <f>IF(AND('341-CT'!$H$9=H216,OR(LEFT(N216,3)=$Z$7,LEFT(O216,3)=$Z$7)),"x","")</f>
        <v/>
      </c>
      <c r="AA216" s="87" t="str">
        <f>IF(OR(TH!N216=TH!$AA$7,O216=TH!$AA$7),"x","")</f>
        <v/>
      </c>
      <c r="AB216" s="87" t="str">
        <f>IF(AND(OR(N216="131",O216="131"),H216='131-CT'!$H$9),"x","")</f>
        <v/>
      </c>
      <c r="AC216" s="87"/>
      <c r="AD216" s="87" t="str">
        <f>IF(AND(MONTH(E216)='IN-NX'!$J$5,'IN-NX'!$D$7=D216),"x","")</f>
        <v/>
      </c>
      <c r="AE216" s="87" t="str">
        <f>IF(AND(OR(LEFT(TH!N216,2)="15",LEFT(TH!O216,2)="15"),'152-CT'!$J$8=TH!F216),"x","")</f>
        <v/>
      </c>
      <c r="AF216" s="87" t="str">
        <f>IF(AND(OR(LEFT(TH!N216,2)="15",LEFT(TH!O216,2)="15"),'THE KHO'!$E$7=TH!F216),"x","")</f>
        <v/>
      </c>
      <c r="AG216" s="87" t="str">
        <f>IF(AND(N216="1521",MONTH(C216)='BK NL'!$M$11),"x","")</f>
        <v/>
      </c>
    </row>
    <row r="217" spans="1:33" ht="15.75" customHeight="1">
      <c r="A217" s="399" t="str">
        <f>IF(B217&lt;&gt;"",IF(AND(B217&gt;=_TM1,B217&lt;=_TM2,OR(TH!N217="1111",TH!O217="1111")),TH!D217,""),"")</f>
        <v>C34</v>
      </c>
      <c r="B217" s="63">
        <f>IF(C217&lt;&gt;"",MONTH(C217),"")</f>
        <v>1</v>
      </c>
      <c r="C217" s="64">
        <v>42394</v>
      </c>
      <c r="D217" s="64" t="s">
        <v>982</v>
      </c>
      <c r="E217" s="64">
        <v>42394</v>
      </c>
      <c r="F217" s="67" t="s">
        <v>810</v>
      </c>
      <c r="G217" s="362" t="s">
        <v>999</v>
      </c>
      <c r="H217" s="75" t="s">
        <v>244</v>
      </c>
      <c r="I217" s="518"/>
      <c r="J217" s="518"/>
      <c r="K217" s="509"/>
      <c r="L217" s="518"/>
      <c r="M217" s="65">
        <v>2168920000</v>
      </c>
      <c r="N217" s="66" t="s">
        <v>26</v>
      </c>
      <c r="O217" s="66" t="s">
        <v>63</v>
      </c>
      <c r="P217" s="87" t="str">
        <f>IF(AND('331-CT'!$E$7=TH!H217,OR(N217="331",O217="331")),"x","")</f>
        <v/>
      </c>
      <c r="Q217" s="87" t="str">
        <f>IF(AND(B217='111'!$L$11,OR($N217=$Q$7,$O217=$Q$7)),"x","")</f>
        <v>x</v>
      </c>
      <c r="R217" s="87" t="str">
        <f>IF(AND($N217=$Q$7,$B217&lt;'111'!$L$11),"x","")</f>
        <v/>
      </c>
      <c r="S217" s="87" t="str">
        <f>IF(AND($O217=$Q$7,$B217&lt;'111'!$L$11),"x","")</f>
        <v/>
      </c>
      <c r="T217" s="87" t="str">
        <f>IF(ISERROR(FIND('112'!$M$9,G217,1)),"",IF((AND(FIND('112'!$M$9,G217,1)&gt;=1,B217='112'!$K$9,OR($N217='112'!$I$6,$O217='112'!$I$6))),"x",""))</f>
        <v>x</v>
      </c>
      <c r="U217" s="87" t="str">
        <f>IF(ISERROR(FIND('112'!$M$9,G217,1)),"",IF((AND(FIND('112'!$M$9,G217,1)&gt;=1,B217&lt;'112'!$K$9,$N217='112'!$I$6)),"x",""))</f>
        <v/>
      </c>
      <c r="V217" s="87" t="str">
        <f>IF(ISERROR(FIND('112'!$M$9,G217,1)),"",IF((AND(FIND('112'!$M$9,G217,1)&gt;=1,B217&lt;'112'!$K$9,$O217='112'!$I$6)),"x",""))</f>
        <v/>
      </c>
      <c r="W217" s="87" t="str">
        <f>IF(AND($B217&gt;='1331'!$I$9,$B217&lt;='1331'!$J$9,OR($N217=$W$7,$O217=$W$7)),"x","")</f>
        <v/>
      </c>
      <c r="X217" s="87" t="str">
        <f>IF(AND($N217=$W$7,$B217&lt;'1331'!$I$9),"x","")</f>
        <v/>
      </c>
      <c r="Y217" s="87" t="str">
        <f>IF(AND($O217=$W$7,$B217&lt;'1331'!$I$9),"x","")</f>
        <v/>
      </c>
      <c r="Z217" s="87" t="str">
        <f>IF(AND('341-CT'!$H$9=H217,OR(LEFT(N217,3)=$Z$7,LEFT(O217,3)=$Z$7)),"x","")</f>
        <v/>
      </c>
      <c r="AA217" s="87" t="str">
        <f>IF(OR(TH!N217=TH!$AA$7,O217=TH!$AA$7),"x","")</f>
        <v/>
      </c>
      <c r="AB217" s="87" t="str">
        <f>IF(AND(OR(N217="131",O217="131"),H217='131-CT'!$H$9),"x","")</f>
        <v/>
      </c>
      <c r="AC217" s="87"/>
      <c r="AD217" s="87" t="str">
        <f>IF(AND(MONTH(E217)='IN-NX'!$J$5,'IN-NX'!$D$7=D217),"x","")</f>
        <v/>
      </c>
      <c r="AE217" s="87" t="str">
        <f>IF(AND(OR(LEFT(TH!N217,2)="15",LEFT(TH!O217,2)="15"),'152-CT'!$J$8=TH!F217),"x","")</f>
        <v/>
      </c>
      <c r="AF217" s="87" t="str">
        <f>IF(AND(OR(LEFT(TH!N217,2)="15",LEFT(TH!O217,2)="15"),'THE KHO'!$E$7=TH!F217),"x","")</f>
        <v/>
      </c>
      <c r="AG217" s="87" t="str">
        <f>IF(AND(N217="1521",MONTH(C217)='BK NL'!$M$11),"x","")</f>
        <v/>
      </c>
    </row>
    <row r="218" spans="1:33" ht="15.75" customHeight="1">
      <c r="A218" s="399" t="str">
        <f>IF(B218&lt;&gt;"",IF(AND(B218&gt;=_TM1,B218&lt;=_TM2,OR(TH!N218="1111",TH!O218="1111")),TH!D218,""),"")</f>
        <v/>
      </c>
      <c r="B218" s="63">
        <f>IF(C218&lt;&gt;"",MONTH(C218),"")</f>
        <v>1</v>
      </c>
      <c r="C218" s="64">
        <v>42394</v>
      </c>
      <c r="D218" s="64" t="s">
        <v>773</v>
      </c>
      <c r="E218" s="64">
        <v>42394</v>
      </c>
      <c r="F218" s="67" t="s">
        <v>825</v>
      </c>
      <c r="G218" s="362" t="s">
        <v>999</v>
      </c>
      <c r="H218" s="96"/>
      <c r="I218" s="518"/>
      <c r="J218" s="518"/>
      <c r="K218" s="509"/>
      <c r="L218" s="518"/>
      <c r="M218" s="65">
        <v>2171830</v>
      </c>
      <c r="N218" s="66" t="s">
        <v>99</v>
      </c>
      <c r="O218" s="66" t="s">
        <v>26</v>
      </c>
      <c r="P218" s="87" t="str">
        <f>IF(AND('331-CT'!$E$7=TH!H218,OR(N218="331",O218="331")),"x","")</f>
        <v/>
      </c>
      <c r="Q218" s="87" t="str">
        <f>IF(AND(B218='111'!$L$11,OR($N218=$Q$7,$O218=$Q$7)),"x","")</f>
        <v/>
      </c>
      <c r="R218" s="87" t="str">
        <f>IF(AND($N218=$Q$7,$B218&lt;'111'!$L$11),"x","")</f>
        <v/>
      </c>
      <c r="S218" s="87" t="str">
        <f>IF(AND($O218=$Q$7,$B218&lt;'111'!$L$11),"x","")</f>
        <v/>
      </c>
      <c r="T218" s="87" t="str">
        <f>IF(ISERROR(FIND('112'!$M$9,G218,1)),"",IF((AND(FIND('112'!$M$9,G218,1)&gt;=1,B218='112'!$K$9,OR($N218='112'!$I$6,$O218='112'!$I$6))),"x",""))</f>
        <v>x</v>
      </c>
      <c r="U218" s="87" t="str">
        <f>IF(ISERROR(FIND('112'!$M$9,G218,1)),"",IF((AND(FIND('112'!$M$9,G218,1)&gt;=1,B218&lt;'112'!$K$9,$N218='112'!$I$6)),"x",""))</f>
        <v/>
      </c>
      <c r="V218" s="87" t="str">
        <f>IF(ISERROR(FIND('112'!$M$9,G218,1)),"",IF((AND(FIND('112'!$M$9,G218,1)&gt;=1,B218&lt;'112'!$K$9,$O218='112'!$I$6)),"x",""))</f>
        <v/>
      </c>
      <c r="W218" s="87" t="str">
        <f>IF(AND($B218&gt;='1331'!$I$9,$B218&lt;='1331'!$J$9,OR($N218=$W$7,$O218=$W$7)),"x","")</f>
        <v/>
      </c>
      <c r="X218" s="87" t="str">
        <f>IF(AND($N218=$W$7,$B218&lt;'1331'!$I$9),"x","")</f>
        <v/>
      </c>
      <c r="Y218" s="87" t="str">
        <f>IF(AND($O218=$W$7,$B218&lt;'1331'!$I$9),"x","")</f>
        <v/>
      </c>
      <c r="Z218" s="87" t="str">
        <f>IF(AND('341-CT'!$H$9=H218,OR(LEFT(N218,3)=$Z$7,LEFT(O218,3)=$Z$7)),"x","")</f>
        <v/>
      </c>
      <c r="AA218" s="87" t="str">
        <f>IF(OR(TH!N218=TH!$AA$7,O218=TH!$AA$7),"x","")</f>
        <v/>
      </c>
      <c r="AB218" s="87" t="str">
        <f>IF(AND(OR(N218="131",O218="131"),H218='131-CT'!$H$9),"x","")</f>
        <v/>
      </c>
      <c r="AC218" s="87"/>
      <c r="AD218" s="87" t="str">
        <f>IF(AND(MONTH(E218)='IN-NX'!$J$5,'IN-NX'!$D$7=D218),"x","")</f>
        <v/>
      </c>
      <c r="AE218" s="87" t="str">
        <f>IF(AND(OR(LEFT(TH!N218,2)="15",LEFT(TH!O218,2)="15"),'152-CT'!$J$8=TH!F218),"x","")</f>
        <v/>
      </c>
      <c r="AF218" s="87" t="str">
        <f>IF(AND(OR(LEFT(TH!N218,2)="15",LEFT(TH!O218,2)="15"),'THE KHO'!$E$7=TH!F218),"x","")</f>
        <v/>
      </c>
      <c r="AG218" s="87" t="str">
        <f>IF(AND(N218="1521",MONTH(C218)='BK NL'!$M$11),"x","")</f>
        <v/>
      </c>
    </row>
    <row r="219" spans="1:33" ht="15.75" customHeight="1">
      <c r="A219" s="399" t="str">
        <f>IF(B219&lt;&gt;"",IF(AND(B219&gt;=_TM1,B219&lt;=_TM2,OR(TH!N219="1111",TH!O219="1111")),TH!D219,""),"")</f>
        <v/>
      </c>
      <c r="B219" s="63">
        <f>IF(C219&lt;&gt;"",MONTH(C219),"")</f>
        <v>1</v>
      </c>
      <c r="C219" s="64">
        <v>42394</v>
      </c>
      <c r="D219" s="64" t="s">
        <v>773</v>
      </c>
      <c r="E219" s="64">
        <v>42394</v>
      </c>
      <c r="F219" s="408" t="s">
        <v>788</v>
      </c>
      <c r="G219" s="362" t="s">
        <v>999</v>
      </c>
      <c r="H219" s="409" t="s">
        <v>789</v>
      </c>
      <c r="I219" s="522"/>
      <c r="J219" s="522"/>
      <c r="K219" s="513">
        <v>97000</v>
      </c>
      <c r="L219" s="522">
        <v>22360</v>
      </c>
      <c r="M219" s="86">
        <f>ROUND(K219*L219,0)</f>
        <v>2168920000</v>
      </c>
      <c r="N219" s="66" t="s">
        <v>276</v>
      </c>
      <c r="O219" s="66" t="s">
        <v>282</v>
      </c>
      <c r="P219" s="87" t="str">
        <f>IF(AND('331-CT'!$E$7=TH!H219,OR(N219="331",O219="331")),"x","")</f>
        <v/>
      </c>
      <c r="Q219" s="87" t="str">
        <f>IF(AND(B219='111'!$L$11,OR($N219=$Q$7,$O219=$Q$7)),"x","")</f>
        <v/>
      </c>
      <c r="R219" s="87" t="str">
        <f>IF(AND($N219=$Q$7,$B219&lt;'111'!$L$11),"x","")</f>
        <v/>
      </c>
      <c r="S219" s="87" t="str">
        <f>IF(AND($O219=$Q$7,$B219&lt;'111'!$L$11),"x","")</f>
        <v/>
      </c>
      <c r="T219" s="87" t="str">
        <f>IF(ISERROR(FIND('112'!$M$9,G219,1)),"",IF((AND(FIND('112'!$M$9,G219,1)&gt;=1,B219='112'!$K$9,OR($N219='112'!$I$6,$O219='112'!$I$6))),"x",""))</f>
        <v/>
      </c>
      <c r="U219" s="87" t="str">
        <f>IF(ISERROR(FIND('112'!$M$9,G219,1)),"",IF((AND(FIND('112'!$M$9,G219,1)&gt;=1,B219&lt;'112'!$K$9,$N219='112'!$I$6)),"x",""))</f>
        <v/>
      </c>
      <c r="V219" s="87" t="str">
        <f>IF(ISERROR(FIND('112'!$M$9,G219,1)),"",IF((AND(FIND('112'!$M$9,G219,1)&gt;=1,B219&lt;'112'!$K$9,$O219='112'!$I$6)),"x",""))</f>
        <v/>
      </c>
      <c r="W219" s="87" t="str">
        <f>IF(AND($B219&gt;='1331'!$I$9,$B219&lt;='1331'!$J$9,OR($N219=$W$7,$O219=$W$7)),"x","")</f>
        <v/>
      </c>
      <c r="X219" s="87" t="str">
        <f>IF(AND($N219=$W$7,$B219&lt;'1331'!$I$9),"x","")</f>
        <v/>
      </c>
      <c r="Y219" s="87" t="str">
        <f>IF(AND($O219=$W$7,$B219&lt;'1331'!$I$9),"x","")</f>
        <v/>
      </c>
      <c r="Z219" s="87" t="str">
        <f>IF(AND('341-CT'!$H$9=H219,OR(LEFT(N219,3)=$Z$7,LEFT(O219,3)=$Z$7)),"x","")</f>
        <v>x</v>
      </c>
      <c r="AA219" s="87" t="str">
        <f>IF(OR(TH!N219=TH!$AA$7,O219=TH!$AA$7),"x","")</f>
        <v/>
      </c>
      <c r="AB219" s="87" t="str">
        <f>IF(AND(OR(N219="131",O219="131"),H219='131-CT'!$H$9),"x","")</f>
        <v/>
      </c>
      <c r="AC219" s="87"/>
      <c r="AD219" s="87" t="str">
        <f>IF(AND(MONTH(E219)='IN-NX'!$J$5,'IN-NX'!$D$7=D219),"x","")</f>
        <v/>
      </c>
      <c r="AE219" s="87" t="str">
        <f>IF(AND(OR(LEFT(TH!N219,2)="15",LEFT(TH!O219,2)="15"),'152-CT'!$J$8=TH!F219),"x","")</f>
        <v/>
      </c>
      <c r="AF219" s="87" t="str">
        <f>IF(AND(OR(LEFT(TH!N219,2)="15",LEFT(TH!O219,2)="15"),'THE KHO'!$E$7=TH!F219),"x","")</f>
        <v/>
      </c>
      <c r="AG219" s="87" t="str">
        <f>IF(AND(N219="1521",MONTH(C219)='BK NL'!$M$11),"x","")</f>
        <v/>
      </c>
    </row>
    <row r="220" spans="1:33" ht="15.75" customHeight="1">
      <c r="A220" s="399" t="str">
        <f>IF(B220&lt;&gt;"",IF(AND(B220&gt;=_TM1,B220&lt;=_TM2,OR(TH!N220="1111",TH!O220="1111")),TH!D220,""),"")</f>
        <v/>
      </c>
      <c r="B220" s="63">
        <f>IF(C220&lt;&gt;"",MONTH(C220),"")</f>
        <v>1</v>
      </c>
      <c r="C220" s="64">
        <v>42394</v>
      </c>
      <c r="D220" s="64" t="s">
        <v>600</v>
      </c>
      <c r="E220" s="64">
        <v>42394</v>
      </c>
      <c r="F220" s="408" t="s">
        <v>807</v>
      </c>
      <c r="G220" s="362" t="s">
        <v>999</v>
      </c>
      <c r="H220" s="409" t="s">
        <v>789</v>
      </c>
      <c r="I220" s="518"/>
      <c r="J220" s="518"/>
      <c r="K220" s="509"/>
      <c r="L220" s="518"/>
      <c r="M220" s="65">
        <v>51895000</v>
      </c>
      <c r="N220" s="66" t="s">
        <v>99</v>
      </c>
      <c r="O220" s="66" t="s">
        <v>276</v>
      </c>
      <c r="P220" s="87" t="str">
        <f>IF(AND('331-CT'!$E$7=TH!H220,OR(N220="331",O220="331")),"x","")</f>
        <v/>
      </c>
      <c r="Q220" s="87" t="str">
        <f>IF(AND(B220='111'!$L$11,OR($N220=$Q$7,$O220=$Q$7)),"x","")</f>
        <v/>
      </c>
      <c r="R220" s="87" t="str">
        <f>IF(AND($N220=$Q$7,$B220&lt;'111'!$L$11),"x","")</f>
        <v/>
      </c>
      <c r="S220" s="87" t="str">
        <f>IF(AND($O220=$Q$7,$B220&lt;'111'!$L$11),"x","")</f>
        <v/>
      </c>
      <c r="T220" s="87" t="str">
        <f>IF(ISERROR(FIND('112'!$M$9,G220,1)),"",IF((AND(FIND('112'!$M$9,G220,1)&gt;=1,B220='112'!$K$9,OR($N220='112'!$I$6,$O220='112'!$I$6))),"x",""))</f>
        <v/>
      </c>
      <c r="U220" s="87" t="str">
        <f>IF(ISERROR(FIND('112'!$M$9,G220,1)),"",IF((AND(FIND('112'!$M$9,G220,1)&gt;=1,B220&lt;'112'!$K$9,$N220='112'!$I$6)),"x",""))</f>
        <v/>
      </c>
      <c r="V220" s="87" t="str">
        <f>IF(ISERROR(FIND('112'!$M$9,G220,1)),"",IF((AND(FIND('112'!$M$9,G220,1)&gt;=1,B220&lt;'112'!$K$9,$O220='112'!$I$6)),"x",""))</f>
        <v/>
      </c>
      <c r="W220" s="87" t="str">
        <f>IF(AND($B220&gt;='1331'!$I$9,$B220&lt;='1331'!$J$9,OR($N220=$W$7,$O220=$W$7)),"x","")</f>
        <v/>
      </c>
      <c r="X220" s="87" t="str">
        <f>IF(AND($N220=$W$7,$B220&lt;'1331'!$I$9),"x","")</f>
        <v/>
      </c>
      <c r="Y220" s="87" t="str">
        <f>IF(AND($O220=$W$7,$B220&lt;'1331'!$I$9),"x","")</f>
        <v/>
      </c>
      <c r="Z220" s="87" t="str">
        <f>IF(AND('341-CT'!$H$9=H220,OR(LEFT(N220,3)=$Z$7,LEFT(O220,3)=$Z$7)),"x","")</f>
        <v>x</v>
      </c>
      <c r="AA220" s="87" t="str">
        <f>IF(OR(TH!N220=TH!$AA$7,O220=TH!$AA$7),"x","")</f>
        <v/>
      </c>
      <c r="AB220" s="87" t="str">
        <f>IF(AND(OR(N220="131",O220="131"),H220='131-CT'!$H$9),"x","")</f>
        <v/>
      </c>
      <c r="AC220" s="87"/>
      <c r="AD220" s="87" t="str">
        <f>IF(AND(MONTH(E220)='IN-NX'!$J$5,'IN-NX'!$D$7=D220),"x","")</f>
        <v/>
      </c>
      <c r="AE220" s="87" t="str">
        <f>IF(AND(OR(LEFT(TH!N220,2)="15",LEFT(TH!O220,2)="15"),'152-CT'!$J$8=TH!F220),"x","")</f>
        <v/>
      </c>
      <c r="AF220" s="87" t="str">
        <f>IF(AND(OR(LEFT(TH!N220,2)="15",LEFT(TH!O220,2)="15"),'THE KHO'!$E$7=TH!F220),"x","")</f>
        <v/>
      </c>
      <c r="AG220" s="87" t="str">
        <f>IF(AND(N220="1521",MONTH(C220)='BK NL'!$M$11),"x","")</f>
        <v/>
      </c>
    </row>
    <row r="221" spans="1:33" ht="15.75" customHeight="1">
      <c r="A221" s="399" t="str">
        <f>IF(B221&lt;&gt;"",IF(AND(B221&gt;=_TM1,B221&lt;=_TM2,OR(TH!N221="1111",TH!O221="1111")),TH!D221,""),"")</f>
        <v/>
      </c>
      <c r="B221" s="63">
        <f>IF(C221&lt;&gt;"",MONTH(C221),"")</f>
        <v>1</v>
      </c>
      <c r="C221" s="64">
        <v>42394</v>
      </c>
      <c r="D221" s="64" t="s">
        <v>770</v>
      </c>
      <c r="E221" s="64">
        <v>42394</v>
      </c>
      <c r="F221" s="67" t="s">
        <v>780</v>
      </c>
      <c r="G221" s="362" t="s">
        <v>999</v>
      </c>
      <c r="H221" s="75"/>
      <c r="I221" s="518"/>
      <c r="J221" s="518"/>
      <c r="K221" s="509">
        <v>97000</v>
      </c>
      <c r="L221" s="518">
        <v>22360</v>
      </c>
      <c r="M221" s="86">
        <f>ROUND(K221*L221,0)</f>
        <v>2168920000</v>
      </c>
      <c r="N221" s="66" t="s">
        <v>26</v>
      </c>
      <c r="O221" s="66" t="s">
        <v>282</v>
      </c>
      <c r="P221" s="87" t="str">
        <f>IF(AND('331-CT'!$E$7=TH!H221,OR(N221="331",O221="331")),"x","")</f>
        <v/>
      </c>
      <c r="Q221" s="87" t="str">
        <f>IF(AND(B221='111'!$L$11,OR($N221=$Q$7,$O221=$Q$7)),"x","")</f>
        <v/>
      </c>
      <c r="R221" s="87" t="str">
        <f>IF(AND($N221=$Q$7,$B221&lt;'111'!$L$11),"x","")</f>
        <v/>
      </c>
      <c r="S221" s="87" t="str">
        <f>IF(AND($O221=$Q$7,$B221&lt;'111'!$L$11),"x","")</f>
        <v/>
      </c>
      <c r="T221" s="87" t="str">
        <f>IF(ISERROR(FIND('112'!$M$9,G221,1)),"",IF((AND(FIND('112'!$M$9,G221,1)&gt;=1,B221='112'!$K$9,OR($N221='112'!$I$6,$O221='112'!$I$6))),"x",""))</f>
        <v>x</v>
      </c>
      <c r="U221" s="87" t="str">
        <f>IF(ISERROR(FIND('112'!$M$9,G221,1)),"",IF((AND(FIND('112'!$M$9,G221,1)&gt;=1,B221&lt;'112'!$K$9,$N221='112'!$I$6)),"x",""))</f>
        <v/>
      </c>
      <c r="V221" s="87" t="str">
        <f>IF(ISERROR(FIND('112'!$M$9,G221,1)),"",IF((AND(FIND('112'!$M$9,G221,1)&gt;=1,B221&lt;'112'!$K$9,$O221='112'!$I$6)),"x",""))</f>
        <v/>
      </c>
      <c r="W221" s="87" t="str">
        <f>IF(AND($B221&gt;='1331'!$I$9,$B221&lt;='1331'!$J$9,OR($N221=$W$7,$O221=$W$7)),"x","")</f>
        <v/>
      </c>
      <c r="X221" s="87" t="str">
        <f>IF(AND($N221=$W$7,$B221&lt;'1331'!$I$9),"x","")</f>
        <v/>
      </c>
      <c r="Y221" s="87" t="str">
        <f>IF(AND($O221=$W$7,$B221&lt;'1331'!$I$9),"x","")</f>
        <v/>
      </c>
      <c r="Z221" s="87" t="str">
        <f>IF(AND('341-CT'!$H$9=H221,OR(LEFT(N221,3)=$Z$7,LEFT(O221,3)=$Z$7)),"x","")</f>
        <v/>
      </c>
      <c r="AA221" s="87" t="str">
        <f>IF(OR(TH!N221=TH!$AA$7,O221=TH!$AA$7),"x","")</f>
        <v/>
      </c>
      <c r="AB221" s="87" t="str">
        <f>IF(AND(OR(N221="131",O221="131"),H221='131-CT'!$H$9),"x","")</f>
        <v/>
      </c>
      <c r="AC221" s="87"/>
      <c r="AD221" s="87" t="str">
        <f>IF(AND(MONTH(E221)='IN-NX'!$J$5,'IN-NX'!$D$7=D221),"x","")</f>
        <v/>
      </c>
      <c r="AE221" s="87" t="str">
        <f>IF(AND(OR(LEFT(TH!N221,2)="15",LEFT(TH!O221,2)="15"),'152-CT'!$J$8=TH!F221),"x","")</f>
        <v/>
      </c>
      <c r="AF221" s="87" t="str">
        <f>IF(AND(OR(LEFT(TH!N221,2)="15",LEFT(TH!O221,2)="15"),'THE KHO'!$E$7=TH!F221),"x","")</f>
        <v/>
      </c>
      <c r="AG221" s="87" t="str">
        <f>IF(AND(N221="1521",MONTH(C221)='BK NL'!$M$11),"x","")</f>
        <v/>
      </c>
    </row>
    <row r="222" spans="1:33" ht="15.75" customHeight="1">
      <c r="A222" s="399" t="str">
        <f>IF(B222&lt;&gt;"",IF(AND(B222&gt;=_TM1,B222&lt;=_TM2,OR(TH!N222="1111",TH!O222="1111")),TH!D222,""),"")</f>
        <v>T03</v>
      </c>
      <c r="B222" s="63">
        <f>IF(C222&lt;&gt;"",MONTH(C222),"")</f>
        <v>1</v>
      </c>
      <c r="C222" s="64">
        <v>42394</v>
      </c>
      <c r="D222" s="64" t="s">
        <v>986</v>
      </c>
      <c r="E222" s="64">
        <v>42394</v>
      </c>
      <c r="F222" s="67" t="s">
        <v>821</v>
      </c>
      <c r="G222" s="362" t="s">
        <v>999</v>
      </c>
      <c r="H222" s="76" t="s">
        <v>842</v>
      </c>
      <c r="I222" s="522"/>
      <c r="J222" s="522"/>
      <c r="K222" s="513"/>
      <c r="L222" s="522"/>
      <c r="M222" s="65">
        <v>2168920000</v>
      </c>
      <c r="N222" s="66" t="s">
        <v>63</v>
      </c>
      <c r="O222" s="66" t="s">
        <v>26</v>
      </c>
      <c r="P222" s="87" t="str">
        <f>IF(AND('331-CT'!$E$7=TH!H222,OR(N222="331",O222="331")),"x","")</f>
        <v/>
      </c>
      <c r="Q222" s="87" t="str">
        <f>IF(AND(B222='111'!$L$11,OR($N222=$Q$7,$O222=$Q$7)),"x","")</f>
        <v>x</v>
      </c>
      <c r="R222" s="87" t="str">
        <f>IF(AND($N222=$Q$7,$B222&lt;'111'!$L$11),"x","")</f>
        <v/>
      </c>
      <c r="S222" s="87" t="str">
        <f>IF(AND($O222=$Q$7,$B222&lt;'111'!$L$11),"x","")</f>
        <v/>
      </c>
      <c r="T222" s="87" t="str">
        <f>IF(ISERROR(FIND('112'!$M$9,G222,1)),"",IF((AND(FIND('112'!$M$9,G222,1)&gt;=1,B222='112'!$K$9,OR($N222='112'!$I$6,$O222='112'!$I$6))),"x",""))</f>
        <v>x</v>
      </c>
      <c r="U222" s="87" t="str">
        <f>IF(ISERROR(FIND('112'!$M$9,G222,1)),"",IF((AND(FIND('112'!$M$9,G222,1)&gt;=1,B222&lt;'112'!$K$9,$N222='112'!$I$6)),"x",""))</f>
        <v/>
      </c>
      <c r="V222" s="87" t="str">
        <f>IF(ISERROR(FIND('112'!$M$9,G222,1)),"",IF((AND(FIND('112'!$M$9,G222,1)&gt;=1,B222&lt;'112'!$K$9,$O222='112'!$I$6)),"x",""))</f>
        <v/>
      </c>
      <c r="W222" s="87" t="str">
        <f>IF(AND($B222&gt;='1331'!$I$9,$B222&lt;='1331'!$J$9,OR($N222=$W$7,$O222=$W$7)),"x","")</f>
        <v/>
      </c>
      <c r="X222" s="87" t="str">
        <f>IF(AND($N222=$W$7,$B222&lt;'1331'!$I$9),"x","")</f>
        <v/>
      </c>
      <c r="Y222" s="87" t="str">
        <f>IF(AND($O222=$W$7,$B222&lt;'1331'!$I$9),"x","")</f>
        <v/>
      </c>
      <c r="Z222" s="87" t="str">
        <f>IF(AND('341-CT'!$H$9=H222,OR(LEFT(N222,3)=$Z$7,LEFT(O222,3)=$Z$7)),"x","")</f>
        <v/>
      </c>
      <c r="AA222" s="87" t="str">
        <f>IF(OR(TH!N222=TH!$AA$7,O222=TH!$AA$7),"x","")</f>
        <v/>
      </c>
      <c r="AB222" s="87" t="str">
        <f>IF(AND(OR(N222="131",O222="131"),H222='131-CT'!$H$9),"x","")</f>
        <v/>
      </c>
      <c r="AC222" s="87"/>
      <c r="AD222" s="87" t="str">
        <f>IF(AND(MONTH(E222)='IN-NX'!$J$5,'IN-NX'!$D$7=D222),"x","")</f>
        <v/>
      </c>
      <c r="AE222" s="87" t="str">
        <f>IF(AND(OR(LEFT(TH!N222,2)="15",LEFT(TH!O222,2)="15"),'152-CT'!$J$8=TH!F222),"x","")</f>
        <v/>
      </c>
      <c r="AF222" s="87" t="str">
        <f>IF(AND(OR(LEFT(TH!N222,2)="15",LEFT(TH!O222,2)="15"),'THE KHO'!$E$7=TH!F222),"x","")</f>
        <v/>
      </c>
      <c r="AG222" s="87" t="str">
        <f>IF(AND(N222="1521",MONTH(C222)='BK NL'!$M$11),"x","")</f>
        <v/>
      </c>
    </row>
    <row r="223" spans="1:33" ht="15.75" customHeight="1">
      <c r="A223" s="399" t="str">
        <f>IF(B223&lt;&gt;"",IF(AND(B223&gt;=_TM1,B223&lt;=_TM2,OR(TH!N223="1111",TH!O223="1111")),TH!D223,""),"")</f>
        <v>C35</v>
      </c>
      <c r="B223" s="63">
        <f>IF(C223&lt;&gt;"",MONTH(C223),"")</f>
        <v>1</v>
      </c>
      <c r="C223" s="64">
        <v>42394</v>
      </c>
      <c r="D223" s="64" t="s">
        <v>984</v>
      </c>
      <c r="E223" s="64">
        <v>42394</v>
      </c>
      <c r="F223" s="67" t="s">
        <v>872</v>
      </c>
      <c r="G223" s="362" t="s">
        <v>918</v>
      </c>
      <c r="H223" s="75" t="s">
        <v>919</v>
      </c>
      <c r="I223" s="518"/>
      <c r="J223" s="518"/>
      <c r="K223" s="509"/>
      <c r="L223" s="518"/>
      <c r="M223" s="65">
        <v>15000000</v>
      </c>
      <c r="N223" s="66" t="s">
        <v>101</v>
      </c>
      <c r="O223" s="66" t="s">
        <v>63</v>
      </c>
      <c r="P223" s="87" t="str">
        <f>IF(AND('331-CT'!$E$7=TH!H223,OR(N223="331",O223="331")),"x","")</f>
        <v/>
      </c>
      <c r="Q223" s="87" t="str">
        <f>IF(AND(B223='111'!$L$11,OR($N223=$Q$7,$O223=$Q$7)),"x","")</f>
        <v>x</v>
      </c>
      <c r="R223" s="87" t="str">
        <f>IF(AND($N223=$Q$7,$B223&lt;'111'!$L$11),"x","")</f>
        <v/>
      </c>
      <c r="S223" s="87" t="str">
        <f>IF(AND($O223=$Q$7,$B223&lt;'111'!$L$11),"x","")</f>
        <v/>
      </c>
      <c r="T223" s="87" t="str">
        <f>IF(ISERROR(FIND('112'!$M$9,G223,1)),"",IF((AND(FIND('112'!$M$9,G223,1)&gt;=1,B223='112'!$K$9,OR($N223='112'!$I$6,$O223='112'!$I$6))),"x",""))</f>
        <v/>
      </c>
      <c r="U223" s="87" t="str">
        <f>IF(ISERROR(FIND('112'!$M$9,G223,1)),"",IF((AND(FIND('112'!$M$9,G223,1)&gt;=1,B223&lt;'112'!$K$9,$N223='112'!$I$6)),"x",""))</f>
        <v/>
      </c>
      <c r="V223" s="87" t="str">
        <f>IF(ISERROR(FIND('112'!$M$9,G223,1)),"",IF((AND(FIND('112'!$M$9,G223,1)&gt;=1,B223&lt;'112'!$K$9,$O223='112'!$I$6)),"x",""))</f>
        <v/>
      </c>
      <c r="W223" s="87" t="str">
        <f>IF(AND($B223&gt;='1331'!$I$9,$B223&lt;='1331'!$J$9,OR($N223=$W$7,$O223=$W$7)),"x","")</f>
        <v/>
      </c>
      <c r="X223" s="87" t="str">
        <f>IF(AND($N223=$W$7,$B223&lt;'1331'!$I$9),"x","")</f>
        <v/>
      </c>
      <c r="Y223" s="87" t="str">
        <f>IF(AND($O223=$W$7,$B223&lt;'1331'!$I$9),"x","")</f>
        <v/>
      </c>
      <c r="Z223" s="87" t="str">
        <f>IF(AND('341-CT'!$H$9=H223,OR(LEFT(N223,3)=$Z$7,LEFT(O223,3)=$Z$7)),"x","")</f>
        <v/>
      </c>
      <c r="AA223" s="87" t="str">
        <f>IF(OR(TH!N223=TH!$AA$7,O223=TH!$AA$7),"x","")</f>
        <v/>
      </c>
      <c r="AB223" s="87" t="str">
        <f>IF(AND(OR(N223="131",O223="131"),H223='131-CT'!$H$9),"x","")</f>
        <v/>
      </c>
      <c r="AC223" s="87"/>
      <c r="AD223" s="87" t="str">
        <f>IF(AND(MONTH(E223)='IN-NX'!$J$5,'IN-NX'!$D$7=D223),"x","")</f>
        <v/>
      </c>
      <c r="AE223" s="87" t="str">
        <f>IF(AND(OR(LEFT(TH!N223,2)="15",LEFT(TH!O223,2)="15"),'152-CT'!$J$8=TH!F223),"x","")</f>
        <v/>
      </c>
      <c r="AF223" s="87" t="str">
        <f>IF(AND(OR(LEFT(TH!N223,2)="15",LEFT(TH!O223,2)="15"),'THE KHO'!$E$7=TH!F223),"x","")</f>
        <v/>
      </c>
      <c r="AG223" s="87" t="str">
        <f>IF(AND(N223="1521",MONTH(C223)='BK NL'!$M$11),"x","")</f>
        <v/>
      </c>
    </row>
    <row r="224" spans="1:33" ht="15.75" customHeight="1">
      <c r="A224" s="399" t="str">
        <f>IF(B224&lt;&gt;"",IF(AND(B224&gt;=_TM1,B224&lt;=_TM2,OR(TH!N224="1111",TH!O224="1111")),TH!D224,""),"")</f>
        <v>C35</v>
      </c>
      <c r="B224" s="63">
        <f>IF(C224&lt;&gt;"",MONTH(C224),"")</f>
        <v>1</v>
      </c>
      <c r="C224" s="64">
        <v>42394</v>
      </c>
      <c r="D224" s="64" t="s">
        <v>984</v>
      </c>
      <c r="E224" s="64">
        <v>42394</v>
      </c>
      <c r="F224" s="67" t="s">
        <v>873</v>
      </c>
      <c r="G224" s="362" t="s">
        <v>918</v>
      </c>
      <c r="H224" s="75" t="s">
        <v>919</v>
      </c>
      <c r="I224" s="518"/>
      <c r="J224" s="518"/>
      <c r="K224" s="509"/>
      <c r="L224" s="518"/>
      <c r="M224" s="65">
        <v>1500000</v>
      </c>
      <c r="N224" s="66" t="s">
        <v>9</v>
      </c>
      <c r="O224" s="66" t="s">
        <v>63</v>
      </c>
      <c r="P224" s="87" t="str">
        <f>IF(AND('331-CT'!$E$7=TH!H224,OR(N224="331",O224="331")),"x","")</f>
        <v/>
      </c>
      <c r="Q224" s="87" t="str">
        <f>IF(AND(B224='111'!$L$11,OR($N224=$Q$7,$O224=$Q$7)),"x","")</f>
        <v>x</v>
      </c>
      <c r="R224" s="87" t="str">
        <f>IF(AND($N224=$Q$7,$B224&lt;'111'!$L$11),"x","")</f>
        <v/>
      </c>
      <c r="S224" s="87" t="str">
        <f>IF(AND($O224=$Q$7,$B224&lt;'111'!$L$11),"x","")</f>
        <v/>
      </c>
      <c r="T224" s="87" t="str">
        <f>IF(ISERROR(FIND('112'!$M$9,G224,1)),"",IF((AND(FIND('112'!$M$9,G224,1)&gt;=1,B224='112'!$K$9,OR($N224='112'!$I$6,$O224='112'!$I$6))),"x",""))</f>
        <v/>
      </c>
      <c r="U224" s="87" t="str">
        <f>IF(ISERROR(FIND('112'!$M$9,G224,1)),"",IF((AND(FIND('112'!$M$9,G224,1)&gt;=1,B224&lt;'112'!$K$9,$N224='112'!$I$6)),"x",""))</f>
        <v/>
      </c>
      <c r="V224" s="87" t="str">
        <f>IF(ISERROR(FIND('112'!$M$9,G224,1)),"",IF((AND(FIND('112'!$M$9,G224,1)&gt;=1,B224&lt;'112'!$K$9,$O224='112'!$I$6)),"x",""))</f>
        <v/>
      </c>
      <c r="W224" s="87" t="str">
        <f>IF(AND($B224&gt;='1331'!$I$9,$B224&lt;='1331'!$J$9,OR($N224=$W$7,$O224=$W$7)),"x","")</f>
        <v>x</v>
      </c>
      <c r="X224" s="87" t="str">
        <f>IF(AND($N224=$W$7,$B224&lt;'1331'!$I$9),"x","")</f>
        <v/>
      </c>
      <c r="Y224" s="87" t="str">
        <f>IF(AND($O224=$W$7,$B224&lt;'1331'!$I$9),"x","")</f>
        <v/>
      </c>
      <c r="Z224" s="87" t="str">
        <f>IF(AND('341-CT'!$H$9=H224,OR(LEFT(N224,3)=$Z$7,LEFT(O224,3)=$Z$7)),"x","")</f>
        <v/>
      </c>
      <c r="AA224" s="87" t="str">
        <f>IF(OR(TH!N224=TH!$AA$7,O224=TH!$AA$7),"x","")</f>
        <v/>
      </c>
      <c r="AB224" s="87" t="str">
        <f>IF(AND(OR(N224="131",O224="131"),H224='131-CT'!$H$9),"x","")</f>
        <v/>
      </c>
      <c r="AC224" s="87"/>
      <c r="AD224" s="87" t="str">
        <f>IF(AND(MONTH(E224)='IN-NX'!$J$5,'IN-NX'!$D$7=D224),"x","")</f>
        <v/>
      </c>
      <c r="AE224" s="87" t="str">
        <f>IF(AND(OR(LEFT(TH!N224,2)="15",LEFT(TH!O224,2)="15"),'152-CT'!$J$8=TH!F224),"x","")</f>
        <v/>
      </c>
      <c r="AF224" s="87" t="str">
        <f>IF(AND(OR(LEFT(TH!N224,2)="15",LEFT(TH!O224,2)="15"),'THE KHO'!$E$7=TH!F224),"x","")</f>
        <v/>
      </c>
      <c r="AG224" s="87" t="str">
        <f>IF(AND(N224="1521",MONTH(C224)='BK NL'!$M$11),"x","")</f>
        <v/>
      </c>
    </row>
    <row r="225" spans="1:33" ht="15.75" customHeight="1">
      <c r="A225" s="399" t="str">
        <f>IF(B225&lt;&gt;"",IF(AND(B225&gt;=_TM1,B225&lt;=_TM2,OR(TH!N225="1111",TH!O225="1111")),TH!D225,""),"")</f>
        <v>C36</v>
      </c>
      <c r="B225" s="63">
        <f>IF(C225&lt;&gt;"",MONTH(C225),"")</f>
        <v>1</v>
      </c>
      <c r="C225" s="64">
        <v>42395</v>
      </c>
      <c r="D225" s="64" t="s">
        <v>985</v>
      </c>
      <c r="E225" s="64">
        <v>42395</v>
      </c>
      <c r="F225" s="67" t="s">
        <v>810</v>
      </c>
      <c r="G225" s="362" t="s">
        <v>999</v>
      </c>
      <c r="H225" s="75" t="s">
        <v>843</v>
      </c>
      <c r="I225" s="8"/>
      <c r="J225" s="8"/>
      <c r="K225" s="509"/>
      <c r="L225" s="518"/>
      <c r="M225" s="65">
        <v>45000000</v>
      </c>
      <c r="N225" s="66" t="s">
        <v>26</v>
      </c>
      <c r="O225" s="66" t="s">
        <v>63</v>
      </c>
      <c r="P225" s="87" t="str">
        <f>IF(AND('331-CT'!$E$7=TH!H225,OR(N225="331",O225="331")),"x","")</f>
        <v/>
      </c>
      <c r="Q225" s="87" t="str">
        <f>IF(AND(B225='111'!$L$11,OR($N225=$Q$7,$O225=$Q$7)),"x","")</f>
        <v>x</v>
      </c>
      <c r="R225" s="87" t="str">
        <f>IF(AND($N225=$Q$7,$B225&lt;'111'!$L$11),"x","")</f>
        <v/>
      </c>
      <c r="S225" s="87" t="str">
        <f>IF(AND($O225=$Q$7,$B225&lt;'111'!$L$11),"x","")</f>
        <v/>
      </c>
      <c r="T225" s="87" t="str">
        <f>IF(ISERROR(FIND('112'!$M$9,G225,1)),"",IF((AND(FIND('112'!$M$9,G225,1)&gt;=1,B225='112'!$K$9,OR($N225='112'!$I$6,$O225='112'!$I$6))),"x",""))</f>
        <v>x</v>
      </c>
      <c r="U225" s="87" t="str">
        <f>IF(ISERROR(FIND('112'!$M$9,G225,1)),"",IF((AND(FIND('112'!$M$9,G225,1)&gt;=1,B225&lt;'112'!$K$9,$N225='112'!$I$6)),"x",""))</f>
        <v/>
      </c>
      <c r="V225" s="87" t="str">
        <f>IF(ISERROR(FIND('112'!$M$9,G225,1)),"",IF((AND(FIND('112'!$M$9,G225,1)&gt;=1,B225&lt;'112'!$K$9,$O225='112'!$I$6)),"x",""))</f>
        <v/>
      </c>
      <c r="W225" s="87" t="str">
        <f>IF(AND($B225&gt;='1331'!$I$9,$B225&lt;='1331'!$J$9,OR($N225=$W$7,$O225=$W$7)),"x","")</f>
        <v/>
      </c>
      <c r="X225" s="87" t="str">
        <f>IF(AND($N225=$W$7,$B225&lt;'1331'!$I$9),"x","")</f>
        <v/>
      </c>
      <c r="Y225" s="87" t="str">
        <f>IF(AND($O225=$W$7,$B225&lt;'1331'!$I$9),"x","")</f>
        <v/>
      </c>
      <c r="Z225" s="87" t="str">
        <f>IF(AND('341-CT'!$H$9=H225,OR(LEFT(N225,3)=$Z$7,LEFT(O225,3)=$Z$7)),"x","")</f>
        <v/>
      </c>
      <c r="AA225" s="87" t="str">
        <f>IF(OR(TH!N225=TH!$AA$7,O225=TH!$AA$7),"x","")</f>
        <v/>
      </c>
      <c r="AB225" s="87" t="str">
        <f>IF(AND(OR(N225="131",O225="131"),H225='131-CT'!$H$9),"x","")</f>
        <v/>
      </c>
      <c r="AC225" s="87"/>
      <c r="AD225" s="87" t="str">
        <f>IF(AND(MONTH(E225)='IN-NX'!$J$5,'IN-NX'!$D$7=D225),"x","")</f>
        <v/>
      </c>
      <c r="AE225" s="87" t="str">
        <f>IF(AND(OR(LEFT(TH!N225,2)="15",LEFT(TH!O225,2)="15"),'152-CT'!$J$8=TH!F225),"x","")</f>
        <v/>
      </c>
      <c r="AF225" s="87" t="str">
        <f>IF(AND(OR(LEFT(TH!N225,2)="15",LEFT(TH!O225,2)="15"),'THE KHO'!$E$7=TH!F225),"x","")</f>
        <v/>
      </c>
      <c r="AG225" s="87" t="str">
        <f>IF(AND(N225="1521",MONTH(C225)='BK NL'!$M$11),"x","")</f>
        <v/>
      </c>
    </row>
    <row r="226" spans="1:33" ht="15.75" customHeight="1">
      <c r="A226" s="399" t="str">
        <f>IF(B226&lt;&gt;"",IF(AND(B226&gt;=_TM1,B226&lt;=_TM2,OR(TH!N226="1111",TH!O226="1111")),TH!D226,""),"")</f>
        <v/>
      </c>
      <c r="B226" s="63">
        <f>IF(C226&lt;&gt;"",MONTH(C226),"")</f>
        <v>1</v>
      </c>
      <c r="C226" s="64">
        <v>42395</v>
      </c>
      <c r="D226" s="64" t="s">
        <v>773</v>
      </c>
      <c r="E226" s="64">
        <v>42395</v>
      </c>
      <c r="F226" s="67" t="s">
        <v>826</v>
      </c>
      <c r="G226" s="362" t="s">
        <v>999</v>
      </c>
      <c r="H226" s="96"/>
      <c r="I226" s="518"/>
      <c r="J226" s="518"/>
      <c r="K226" s="509"/>
      <c r="L226" s="518"/>
      <c r="M226" s="65">
        <v>6323855</v>
      </c>
      <c r="N226" s="66" t="s">
        <v>99</v>
      </c>
      <c r="O226" s="66" t="s">
        <v>26</v>
      </c>
      <c r="P226" s="87" t="str">
        <f>IF(AND('331-CT'!$E$7=TH!H226,OR(N226="331",O226="331")),"x","")</f>
        <v/>
      </c>
      <c r="Q226" s="87" t="str">
        <f>IF(AND(B226='111'!$L$11,OR($N226=$Q$7,$O226=$Q$7)),"x","")</f>
        <v/>
      </c>
      <c r="R226" s="87" t="str">
        <f>IF(AND($N226=$Q$7,$B226&lt;'111'!$L$11),"x","")</f>
        <v/>
      </c>
      <c r="S226" s="87" t="str">
        <f>IF(AND($O226=$Q$7,$B226&lt;'111'!$L$11),"x","")</f>
        <v/>
      </c>
      <c r="T226" s="87" t="str">
        <f>IF(ISERROR(FIND('112'!$M$9,G226,1)),"",IF((AND(FIND('112'!$M$9,G226,1)&gt;=1,B226='112'!$K$9,OR($N226='112'!$I$6,$O226='112'!$I$6))),"x",""))</f>
        <v>x</v>
      </c>
      <c r="U226" s="87" t="str">
        <f>IF(ISERROR(FIND('112'!$M$9,G226,1)),"",IF((AND(FIND('112'!$M$9,G226,1)&gt;=1,B226&lt;'112'!$K$9,$N226='112'!$I$6)),"x",""))</f>
        <v/>
      </c>
      <c r="V226" s="87" t="str">
        <f>IF(ISERROR(FIND('112'!$M$9,G226,1)),"",IF((AND(FIND('112'!$M$9,G226,1)&gt;=1,B226&lt;'112'!$K$9,$O226='112'!$I$6)),"x",""))</f>
        <v/>
      </c>
      <c r="W226" s="87" t="str">
        <f>IF(AND($B226&gt;='1331'!$I$9,$B226&lt;='1331'!$J$9,OR($N226=$W$7,$O226=$W$7)),"x","")</f>
        <v/>
      </c>
      <c r="X226" s="87" t="str">
        <f>IF(AND($N226=$W$7,$B226&lt;'1331'!$I$9),"x","")</f>
        <v/>
      </c>
      <c r="Y226" s="87" t="str">
        <f>IF(AND($O226=$W$7,$B226&lt;'1331'!$I$9),"x","")</f>
        <v/>
      </c>
      <c r="Z226" s="87" t="str">
        <f>IF(AND('341-CT'!$H$9=H226,OR(LEFT(N226,3)=$Z$7,LEFT(O226,3)=$Z$7)),"x","")</f>
        <v/>
      </c>
      <c r="AA226" s="87" t="str">
        <f>IF(OR(TH!N226=TH!$AA$7,O226=TH!$AA$7),"x","")</f>
        <v/>
      </c>
      <c r="AB226" s="87" t="str">
        <f>IF(AND(OR(N226="131",O226="131"),H226='131-CT'!$H$9),"x","")</f>
        <v/>
      </c>
      <c r="AC226" s="87"/>
      <c r="AD226" s="87" t="str">
        <f>IF(AND(MONTH(E226)='IN-NX'!$J$5,'IN-NX'!$D$7=D226),"x","")</f>
        <v/>
      </c>
      <c r="AE226" s="87" t="str">
        <f>IF(AND(OR(LEFT(TH!N226,2)="15",LEFT(TH!O226,2)="15"),'152-CT'!$J$8=TH!F226),"x","")</f>
        <v/>
      </c>
      <c r="AF226" s="87" t="str">
        <f>IF(AND(OR(LEFT(TH!N226,2)="15",LEFT(TH!O226,2)="15"),'THE KHO'!$E$7=TH!F226),"x","")</f>
        <v/>
      </c>
      <c r="AG226" s="87" t="str">
        <f>IF(AND(N226="1521",MONTH(C226)='BK NL'!$M$11),"x","")</f>
        <v/>
      </c>
    </row>
    <row r="227" spans="1:33" ht="15.75" customHeight="1">
      <c r="A227" s="399" t="str">
        <f>IF(B227&lt;&gt;"",IF(AND(B227&gt;=_TM1,B227&lt;=_TM2,OR(TH!N227="1111",TH!O227="1111")),TH!D227,""),"")</f>
        <v/>
      </c>
      <c r="B227" s="63">
        <f>IF(C227&lt;&gt;"",MONTH(C227),"")</f>
        <v>1</v>
      </c>
      <c r="C227" s="64">
        <v>42395</v>
      </c>
      <c r="D227" s="64" t="s">
        <v>773</v>
      </c>
      <c r="E227" s="64">
        <v>42395</v>
      </c>
      <c r="F227" s="591" t="s">
        <v>827</v>
      </c>
      <c r="G227" s="362" t="s">
        <v>999</v>
      </c>
      <c r="H227" s="591"/>
      <c r="I227" s="518"/>
      <c r="J227" s="518"/>
      <c r="K227" s="509"/>
      <c r="L227" s="518"/>
      <c r="M227" s="65">
        <v>6902308</v>
      </c>
      <c r="N227" s="66" t="s">
        <v>99</v>
      </c>
      <c r="O227" s="66" t="s">
        <v>26</v>
      </c>
      <c r="P227" s="87" t="str">
        <f>IF(AND('331-CT'!$E$7=TH!H227,OR(N227="331",O227="331")),"x","")</f>
        <v/>
      </c>
      <c r="Q227" s="87" t="str">
        <f>IF(AND(B227='111'!$L$11,OR($N227=$Q$7,$O227=$Q$7)),"x","")</f>
        <v/>
      </c>
      <c r="R227" s="87" t="str">
        <f>IF(AND($N227=$Q$7,$B227&lt;'111'!$L$11),"x","")</f>
        <v/>
      </c>
      <c r="S227" s="87" t="str">
        <f>IF(AND($O227=$Q$7,$B227&lt;'111'!$L$11),"x","")</f>
        <v/>
      </c>
      <c r="T227" s="87" t="str">
        <f>IF(ISERROR(FIND('112'!$M$9,G227,1)),"",IF((AND(FIND('112'!$M$9,G227,1)&gt;=1,B227='112'!$K$9,OR($N227='112'!$I$6,$O227='112'!$I$6))),"x",""))</f>
        <v>x</v>
      </c>
      <c r="U227" s="87" t="str">
        <f>IF(ISERROR(FIND('112'!$M$9,G227,1)),"",IF((AND(FIND('112'!$M$9,G227,1)&gt;=1,B227&lt;'112'!$K$9,$N227='112'!$I$6)),"x",""))</f>
        <v/>
      </c>
      <c r="V227" s="87" t="str">
        <f>IF(ISERROR(FIND('112'!$M$9,G227,1)),"",IF((AND(FIND('112'!$M$9,G227,1)&gt;=1,B227&lt;'112'!$K$9,$O227='112'!$I$6)),"x",""))</f>
        <v/>
      </c>
      <c r="W227" s="87" t="str">
        <f>IF(AND($B227&gt;='1331'!$I$9,$B227&lt;='1331'!$J$9,OR($N227=$W$7,$O227=$W$7)),"x","")</f>
        <v/>
      </c>
      <c r="X227" s="87" t="str">
        <f>IF(AND($N227=$W$7,$B227&lt;'1331'!$I$9),"x","")</f>
        <v/>
      </c>
      <c r="Y227" s="87" t="str">
        <f>IF(AND($O227=$W$7,$B227&lt;'1331'!$I$9),"x","")</f>
        <v/>
      </c>
      <c r="Z227" s="87" t="str">
        <f>IF(AND('341-CT'!$H$9=H227,OR(LEFT(N227,3)=$Z$7,LEFT(O227,3)=$Z$7)),"x","")</f>
        <v/>
      </c>
      <c r="AA227" s="87" t="str">
        <f>IF(OR(TH!N227=TH!$AA$7,O227=TH!$AA$7),"x","")</f>
        <v/>
      </c>
      <c r="AB227" s="87" t="str">
        <f>IF(AND(OR(N227="131",O227="131"),H227='131-CT'!$H$9),"x","")</f>
        <v/>
      </c>
      <c r="AC227" s="87"/>
      <c r="AD227" s="87" t="str">
        <f>IF(AND(MONTH(E227)='IN-NX'!$J$5,'IN-NX'!$D$7=D227),"x","")</f>
        <v/>
      </c>
      <c r="AE227" s="87" t="str">
        <f>IF(AND(OR(LEFT(TH!N227,2)="15",LEFT(TH!O227,2)="15"),'152-CT'!$J$8=TH!F227),"x","")</f>
        <v/>
      </c>
      <c r="AF227" s="87" t="str">
        <f>IF(AND(OR(LEFT(TH!N227,2)="15",LEFT(TH!O227,2)="15"),'THE KHO'!$E$7=TH!F227),"x","")</f>
        <v/>
      </c>
      <c r="AG227" s="87" t="str">
        <f>IF(AND(N227="1521",MONTH(C227)='BK NL'!$M$11),"x","")</f>
        <v/>
      </c>
    </row>
    <row r="228" spans="1:33" ht="15.75" customHeight="1">
      <c r="A228" s="399" t="str">
        <f>IF(B228&lt;&gt;"",IF(AND(B228&gt;=_TM1,B228&lt;=_TM2,OR(TH!N228="1111",TH!O228="1111")),TH!D228,""),"")</f>
        <v/>
      </c>
      <c r="B228" s="63">
        <f>IF(C228&lt;&gt;"",MONTH(C228),"")</f>
        <v>1</v>
      </c>
      <c r="C228" s="64">
        <v>42395</v>
      </c>
      <c r="D228" s="64" t="s">
        <v>773</v>
      </c>
      <c r="E228" s="64">
        <v>42395</v>
      </c>
      <c r="F228" s="591" t="s">
        <v>828</v>
      </c>
      <c r="G228" s="362" t="s">
        <v>999</v>
      </c>
      <c r="H228" s="591"/>
      <c r="I228" s="522"/>
      <c r="J228" s="518"/>
      <c r="K228" s="513"/>
      <c r="L228" s="522"/>
      <c r="M228" s="65">
        <v>6863849</v>
      </c>
      <c r="N228" s="66" t="s">
        <v>99</v>
      </c>
      <c r="O228" s="66" t="s">
        <v>26</v>
      </c>
      <c r="P228" s="87" t="str">
        <f>IF(AND('331-CT'!$E$7=TH!H228,OR(N228="331",O228="331")),"x","")</f>
        <v/>
      </c>
      <c r="Q228" s="87" t="str">
        <f>IF(AND(B228='111'!$L$11,OR($N228=$Q$7,$O228=$Q$7)),"x","")</f>
        <v/>
      </c>
      <c r="R228" s="87" t="str">
        <f>IF(AND($N228=$Q$7,$B228&lt;'111'!$L$11),"x","")</f>
        <v/>
      </c>
      <c r="S228" s="87" t="str">
        <f>IF(AND($O228=$Q$7,$B228&lt;'111'!$L$11),"x","")</f>
        <v/>
      </c>
      <c r="T228" s="87" t="str">
        <f>IF(ISERROR(FIND('112'!$M$9,G228,1)),"",IF((AND(FIND('112'!$M$9,G228,1)&gt;=1,B228='112'!$K$9,OR($N228='112'!$I$6,$O228='112'!$I$6))),"x",""))</f>
        <v>x</v>
      </c>
      <c r="U228" s="87" t="str">
        <f>IF(ISERROR(FIND('112'!$M$9,G228,1)),"",IF((AND(FIND('112'!$M$9,G228,1)&gt;=1,B228&lt;'112'!$K$9,$N228='112'!$I$6)),"x",""))</f>
        <v/>
      </c>
      <c r="V228" s="87" t="str">
        <f>IF(ISERROR(FIND('112'!$M$9,G228,1)),"",IF((AND(FIND('112'!$M$9,G228,1)&gt;=1,B228&lt;'112'!$K$9,$O228='112'!$I$6)),"x",""))</f>
        <v/>
      </c>
      <c r="W228" s="87" t="str">
        <f>IF(AND($B228&gt;='1331'!$I$9,$B228&lt;='1331'!$J$9,OR($N228=$W$7,$O228=$W$7)),"x","")</f>
        <v/>
      </c>
      <c r="X228" s="87" t="str">
        <f>IF(AND($N228=$W$7,$B228&lt;'1331'!$I$9),"x","")</f>
        <v/>
      </c>
      <c r="Y228" s="87" t="str">
        <f>IF(AND($O228=$W$7,$B228&lt;'1331'!$I$9),"x","")</f>
        <v/>
      </c>
      <c r="Z228" s="87" t="str">
        <f>IF(AND('341-CT'!$H$9=H228,OR(LEFT(N228,3)=$Z$7,LEFT(O228,3)=$Z$7)),"x","")</f>
        <v/>
      </c>
      <c r="AA228" s="87" t="str">
        <f>IF(OR(TH!N228=TH!$AA$7,O228=TH!$AA$7),"x","")</f>
        <v/>
      </c>
      <c r="AB228" s="87" t="str">
        <f>IF(AND(OR(N228="131",O228="131"),H228='131-CT'!$H$9),"x","")</f>
        <v/>
      </c>
      <c r="AC228" s="87"/>
      <c r="AD228" s="87" t="str">
        <f>IF(AND(MONTH(E228)='IN-NX'!$J$5,'IN-NX'!$D$7=D228),"x","")</f>
        <v/>
      </c>
      <c r="AE228" s="87" t="str">
        <f>IF(AND(OR(LEFT(TH!N228,2)="15",LEFT(TH!O228,2)="15"),'152-CT'!$J$8=TH!F228),"x","")</f>
        <v/>
      </c>
      <c r="AF228" s="87" t="str">
        <f>IF(AND(OR(LEFT(TH!N228,2)="15",LEFT(TH!O228,2)="15"),'THE KHO'!$E$7=TH!F228),"x","")</f>
        <v/>
      </c>
      <c r="AG228" s="87" t="str">
        <f>IF(AND(N228="1521",MONTH(C228)='BK NL'!$M$11),"x","")</f>
        <v/>
      </c>
    </row>
    <row r="229" spans="1:33" ht="15.75" customHeight="1">
      <c r="A229" s="399" t="str">
        <f>IF(B229&lt;&gt;"",IF(AND(B229&gt;=_TM1,B229&lt;=_TM2,OR(TH!N229="1111",TH!O229="1111")),TH!D229,""),"")</f>
        <v/>
      </c>
      <c r="B229" s="63">
        <f>IF(C229&lt;&gt;"",MONTH(C229),"")</f>
        <v>1</v>
      </c>
      <c r="C229" s="64">
        <v>42395</v>
      </c>
      <c r="D229" s="64" t="s">
        <v>773</v>
      </c>
      <c r="E229" s="64">
        <v>42395</v>
      </c>
      <c r="F229" s="591" t="s">
        <v>829</v>
      </c>
      <c r="G229" s="362" t="s">
        <v>999</v>
      </c>
      <c r="H229" s="591"/>
      <c r="I229" s="518"/>
      <c r="J229" s="518"/>
      <c r="K229" s="509"/>
      <c r="L229" s="518"/>
      <c r="M229" s="65">
        <v>8954733</v>
      </c>
      <c r="N229" s="66" t="s">
        <v>99</v>
      </c>
      <c r="O229" s="66" t="s">
        <v>26</v>
      </c>
      <c r="P229" s="87" t="str">
        <f>IF(AND('331-CT'!$E$7=TH!H229,OR(N229="331",O229="331")),"x","")</f>
        <v/>
      </c>
      <c r="Q229" s="87" t="str">
        <f>IF(AND(B229='111'!$L$11,OR($N229=$Q$7,$O229=$Q$7)),"x","")</f>
        <v/>
      </c>
      <c r="R229" s="87" t="str">
        <f>IF(AND($N229=$Q$7,$B229&lt;'111'!$L$11),"x","")</f>
        <v/>
      </c>
      <c r="S229" s="87" t="str">
        <f>IF(AND($O229=$Q$7,$B229&lt;'111'!$L$11),"x","")</f>
        <v/>
      </c>
      <c r="T229" s="87" t="str">
        <f>IF(ISERROR(FIND('112'!$M$9,G229,1)),"",IF((AND(FIND('112'!$M$9,G229,1)&gt;=1,B229='112'!$K$9,OR($N229='112'!$I$6,$O229='112'!$I$6))),"x",""))</f>
        <v>x</v>
      </c>
      <c r="U229" s="87" t="str">
        <f>IF(ISERROR(FIND('112'!$M$9,G229,1)),"",IF((AND(FIND('112'!$M$9,G229,1)&gt;=1,B229&lt;'112'!$K$9,$N229='112'!$I$6)),"x",""))</f>
        <v/>
      </c>
      <c r="V229" s="87" t="str">
        <f>IF(ISERROR(FIND('112'!$M$9,G229,1)),"",IF((AND(FIND('112'!$M$9,G229,1)&gt;=1,B229&lt;'112'!$K$9,$O229='112'!$I$6)),"x",""))</f>
        <v/>
      </c>
      <c r="W229" s="87" t="str">
        <f>IF(AND($B229&gt;='1331'!$I$9,$B229&lt;='1331'!$J$9,OR($N229=$W$7,$O229=$W$7)),"x","")</f>
        <v/>
      </c>
      <c r="X229" s="87" t="str">
        <f>IF(AND($N229=$W$7,$B229&lt;'1331'!$I$9),"x","")</f>
        <v/>
      </c>
      <c r="Y229" s="87" t="str">
        <f>IF(AND($O229=$W$7,$B229&lt;'1331'!$I$9),"x","")</f>
        <v/>
      </c>
      <c r="Z229" s="87" t="str">
        <f>IF(AND('341-CT'!$H$9=H229,OR(LEFT(N229,3)=$Z$7,LEFT(O229,3)=$Z$7)),"x","")</f>
        <v/>
      </c>
      <c r="AA229" s="87" t="str">
        <f>IF(OR(TH!N229=TH!$AA$7,O229=TH!$AA$7),"x","")</f>
        <v/>
      </c>
      <c r="AB229" s="87" t="str">
        <f>IF(AND(OR(N229="131",O229="131"),H229='131-CT'!$H$9),"x","")</f>
        <v/>
      </c>
      <c r="AC229" s="87"/>
      <c r="AD229" s="87" t="str">
        <f>IF(AND(MONTH(E229)='IN-NX'!$J$5,'IN-NX'!$D$7=D229),"x","")</f>
        <v/>
      </c>
      <c r="AE229" s="87" t="str">
        <f>IF(AND(OR(LEFT(TH!N229,2)="15",LEFT(TH!O229,2)="15"),'152-CT'!$J$8=TH!F229),"x","")</f>
        <v/>
      </c>
      <c r="AF229" s="87" t="str">
        <f>IF(AND(OR(LEFT(TH!N229,2)="15",LEFT(TH!O229,2)="15"),'THE KHO'!$E$7=TH!F229),"x","")</f>
        <v/>
      </c>
      <c r="AG229" s="87" t="str">
        <f>IF(AND(N229="1521",MONTH(C229)='BK NL'!$M$11),"x","")</f>
        <v/>
      </c>
    </row>
    <row r="230" spans="1:33" ht="15.75" customHeight="1">
      <c r="A230" s="399" t="str">
        <f>IF(B230&lt;&gt;"",IF(AND(B230&gt;=_TM1,B230&lt;=_TM2,OR(TH!N230="1111",TH!O230="1111")),TH!D230,""),"")</f>
        <v/>
      </c>
      <c r="B230" s="63">
        <f>IF(C230&lt;&gt;"",MONTH(C230),"")</f>
        <v>1</v>
      </c>
      <c r="C230" s="64">
        <v>42395</v>
      </c>
      <c r="D230" s="64" t="s">
        <v>773</v>
      </c>
      <c r="E230" s="64">
        <v>42395</v>
      </c>
      <c r="F230" s="591" t="s">
        <v>830</v>
      </c>
      <c r="G230" s="362" t="s">
        <v>999</v>
      </c>
      <c r="H230" s="591"/>
      <c r="I230" s="518"/>
      <c r="J230" s="518"/>
      <c r="K230" s="509"/>
      <c r="L230" s="518"/>
      <c r="M230" s="65">
        <v>10627708</v>
      </c>
      <c r="N230" s="66" t="s">
        <v>99</v>
      </c>
      <c r="O230" s="66" t="s">
        <v>26</v>
      </c>
      <c r="P230" s="87" t="str">
        <f>IF(AND('331-CT'!$E$7=TH!H230,OR(N230="331",O230="331")),"x","")</f>
        <v/>
      </c>
      <c r="Q230" s="87" t="str">
        <f>IF(AND(B230='111'!$L$11,OR($N230=$Q$7,$O230=$Q$7)),"x","")</f>
        <v/>
      </c>
      <c r="R230" s="87" t="str">
        <f>IF(AND($N230=$Q$7,$B230&lt;'111'!$L$11),"x","")</f>
        <v/>
      </c>
      <c r="S230" s="87" t="str">
        <f>IF(AND($O230=$Q$7,$B230&lt;'111'!$L$11),"x","")</f>
        <v/>
      </c>
      <c r="T230" s="87" t="str">
        <f>IF(ISERROR(FIND('112'!$M$9,G230,1)),"",IF((AND(FIND('112'!$M$9,G230,1)&gt;=1,B230='112'!$K$9,OR($N230='112'!$I$6,$O230='112'!$I$6))),"x",""))</f>
        <v>x</v>
      </c>
      <c r="U230" s="87" t="str">
        <f>IF(ISERROR(FIND('112'!$M$9,G230,1)),"",IF((AND(FIND('112'!$M$9,G230,1)&gt;=1,B230&lt;'112'!$K$9,$N230='112'!$I$6)),"x",""))</f>
        <v/>
      </c>
      <c r="V230" s="87" t="str">
        <f>IF(ISERROR(FIND('112'!$M$9,G230,1)),"",IF((AND(FIND('112'!$M$9,G230,1)&gt;=1,B230&lt;'112'!$K$9,$O230='112'!$I$6)),"x",""))</f>
        <v/>
      </c>
      <c r="W230" s="87" t="str">
        <f>IF(AND($B230&gt;='1331'!$I$9,$B230&lt;='1331'!$J$9,OR($N230=$W$7,$O230=$W$7)),"x","")</f>
        <v/>
      </c>
      <c r="X230" s="87" t="str">
        <f>IF(AND($N230=$W$7,$B230&lt;'1331'!$I$9),"x","")</f>
        <v/>
      </c>
      <c r="Y230" s="87" t="str">
        <f>IF(AND($O230=$W$7,$B230&lt;'1331'!$I$9),"x","")</f>
        <v/>
      </c>
      <c r="Z230" s="87" t="str">
        <f>IF(AND('341-CT'!$H$9=H230,OR(LEFT(N230,3)=$Z$7,LEFT(O230,3)=$Z$7)),"x","")</f>
        <v/>
      </c>
      <c r="AA230" s="87" t="str">
        <f>IF(OR(TH!N230=TH!$AA$7,O230=TH!$AA$7),"x","")</f>
        <v/>
      </c>
      <c r="AB230" s="87" t="str">
        <f>IF(AND(OR(N230="131",O230="131"),H230='131-CT'!$H$9),"x","")</f>
        <v/>
      </c>
      <c r="AC230" s="87"/>
      <c r="AD230" s="87" t="str">
        <f>IF(AND(MONTH(E230)='IN-NX'!$J$5,'IN-NX'!$D$7=D230),"x","")</f>
        <v/>
      </c>
      <c r="AE230" s="87" t="str">
        <f>IF(AND(OR(LEFT(TH!N230,2)="15",LEFT(TH!O230,2)="15"),'152-CT'!$J$8=TH!F230),"x","")</f>
        <v/>
      </c>
      <c r="AF230" s="87" t="str">
        <f>IF(AND(OR(LEFT(TH!N230,2)="15",LEFT(TH!O230,2)="15"),'THE KHO'!$E$7=TH!F230),"x","")</f>
        <v/>
      </c>
      <c r="AG230" s="87" t="str">
        <f>IF(AND(N230="1521",MONTH(C230)='BK NL'!$M$11),"x","")</f>
        <v/>
      </c>
    </row>
    <row r="231" spans="1:33" ht="15.75" customHeight="1">
      <c r="A231" s="399" t="str">
        <f>IF(B231&lt;&gt;"",IF(AND(B231&gt;=_TM1,B231&lt;=_TM2,OR(TH!N231="1111",TH!O231="1111")),TH!D231,""),"")</f>
        <v/>
      </c>
      <c r="B231" s="63">
        <f>IF(C231&lt;&gt;"",MONTH(C231),"")</f>
        <v>1</v>
      </c>
      <c r="C231" s="64">
        <v>42396</v>
      </c>
      <c r="D231" s="64" t="s">
        <v>770</v>
      </c>
      <c r="E231" s="64">
        <v>42396</v>
      </c>
      <c r="F231" s="67" t="s">
        <v>775</v>
      </c>
      <c r="G231" s="362" t="s">
        <v>999</v>
      </c>
      <c r="H231" s="75" t="s">
        <v>649</v>
      </c>
      <c r="I231" s="518"/>
      <c r="J231" s="518"/>
      <c r="K231" s="509">
        <v>39553.120000000003</v>
      </c>
      <c r="L231" s="518">
        <v>22310</v>
      </c>
      <c r="M231" s="86">
        <f>ROUND(K231*L231,0)</f>
        <v>882430107</v>
      </c>
      <c r="N231" s="66" t="s">
        <v>282</v>
      </c>
      <c r="O231" s="66" t="s">
        <v>639</v>
      </c>
      <c r="P231" s="87" t="str">
        <f>IF(AND('331-CT'!$E$7=TH!H231,OR(N231="331",O231="331")),"x","")</f>
        <v/>
      </c>
      <c r="Q231" s="87" t="str">
        <f>IF(AND(B231='111'!$L$11,OR($N231=$Q$7,$O231=$Q$7)),"x","")</f>
        <v/>
      </c>
      <c r="R231" s="87" t="str">
        <f>IF(AND($N231=$Q$7,$B231&lt;'111'!$L$11),"x","")</f>
        <v/>
      </c>
      <c r="S231" s="87" t="str">
        <f>IF(AND($O231=$Q$7,$B231&lt;'111'!$L$11),"x","")</f>
        <v/>
      </c>
      <c r="T231" s="87" t="str">
        <f>IF(ISERROR(FIND('112'!$M$9,G231,1)),"",IF((AND(FIND('112'!$M$9,G231,1)&gt;=1,B231='112'!$K$9,OR($N231='112'!$I$6,$O231='112'!$I$6))),"x",""))</f>
        <v/>
      </c>
      <c r="U231" s="87" t="str">
        <f>IF(ISERROR(FIND('112'!$M$9,G231,1)),"",IF((AND(FIND('112'!$M$9,G231,1)&gt;=1,B231&lt;'112'!$K$9,$N231='112'!$I$6)),"x",""))</f>
        <v/>
      </c>
      <c r="V231" s="87" t="str">
        <f>IF(ISERROR(FIND('112'!$M$9,G231,1)),"",IF((AND(FIND('112'!$M$9,G231,1)&gt;=1,B231&lt;'112'!$K$9,$O231='112'!$I$6)),"x",""))</f>
        <v/>
      </c>
      <c r="W231" s="87" t="str">
        <f>IF(AND($B231&gt;='1331'!$I$9,$B231&lt;='1331'!$J$9,OR($N231=$W$7,$O231=$W$7)),"x","")</f>
        <v/>
      </c>
      <c r="X231" s="87" t="str">
        <f>IF(AND($N231=$W$7,$B231&lt;'1331'!$I$9),"x","")</f>
        <v/>
      </c>
      <c r="Y231" s="87" t="str">
        <f>IF(AND($O231=$W$7,$B231&lt;'1331'!$I$9),"x","")</f>
        <v/>
      </c>
      <c r="Z231" s="87" t="str">
        <f>IF(AND('341-CT'!$H$9=H231,OR(LEFT(N231,3)=$Z$7,LEFT(O231,3)=$Z$7)),"x","")</f>
        <v/>
      </c>
      <c r="AA231" s="87" t="str">
        <f>IF(OR(TH!N231=TH!$AA$7,O231=TH!$AA$7),"x","")</f>
        <v/>
      </c>
      <c r="AB231" s="87" t="str">
        <f>IF(AND(OR(N231="131",O231="131"),H231='131-CT'!$H$9),"x","")</f>
        <v>x</v>
      </c>
      <c r="AC231" s="87"/>
      <c r="AD231" s="87" t="str">
        <f>IF(AND(MONTH(E231)='IN-NX'!$J$5,'IN-NX'!$D$7=D231),"x","")</f>
        <v/>
      </c>
      <c r="AE231" s="87" t="str">
        <f>IF(AND(OR(LEFT(TH!N231,2)="15",LEFT(TH!O231,2)="15"),'152-CT'!$J$8=TH!F231),"x","")</f>
        <v/>
      </c>
      <c r="AF231" s="87" t="str">
        <f>IF(AND(OR(LEFT(TH!N231,2)="15",LEFT(TH!O231,2)="15"),'THE KHO'!$E$7=TH!F231),"x","")</f>
        <v/>
      </c>
      <c r="AG231" s="87" t="str">
        <f>IF(AND(N231="1521",MONTH(C231)='BK NL'!$M$11),"x","")</f>
        <v/>
      </c>
    </row>
    <row r="232" spans="1:33" ht="15.75" customHeight="1">
      <c r="A232" s="399" t="str">
        <f>IF(B232&lt;&gt;"",IF(AND(B232&gt;=_TM1,B232&lt;=_TM2,OR(TH!N232="1111",TH!O232="1111")),TH!D232,""),"")</f>
        <v/>
      </c>
      <c r="B232" s="63">
        <f>IF(C232&lt;&gt;"",MONTH(C232),"")</f>
        <v>1</v>
      </c>
      <c r="C232" s="64">
        <v>42396</v>
      </c>
      <c r="D232" s="64" t="s">
        <v>773</v>
      </c>
      <c r="E232" s="64">
        <v>42396</v>
      </c>
      <c r="F232" s="67" t="s">
        <v>780</v>
      </c>
      <c r="G232" s="362" t="s">
        <v>999</v>
      </c>
      <c r="H232" s="75"/>
      <c r="I232" s="518"/>
      <c r="J232" s="518"/>
      <c r="K232" s="509">
        <v>39400</v>
      </c>
      <c r="L232" s="518">
        <v>22280</v>
      </c>
      <c r="M232" s="86">
        <f>ROUND(K232*L232,0)</f>
        <v>877832000</v>
      </c>
      <c r="N232" s="66" t="s">
        <v>26</v>
      </c>
      <c r="O232" s="66" t="s">
        <v>282</v>
      </c>
      <c r="P232" s="87" t="str">
        <f>IF(AND('331-CT'!$E$7=TH!H232,OR(N232="331",O232="331")),"x","")</f>
        <v/>
      </c>
      <c r="Q232" s="87" t="str">
        <f>IF(AND(B232='111'!$L$11,OR($N232=$Q$7,$O232=$Q$7)),"x","")</f>
        <v/>
      </c>
      <c r="R232" s="87" t="str">
        <f>IF(AND($N232=$Q$7,$B232&lt;'111'!$L$11),"x","")</f>
        <v/>
      </c>
      <c r="S232" s="87" t="str">
        <f>IF(AND($O232=$Q$7,$B232&lt;'111'!$L$11),"x","")</f>
        <v/>
      </c>
      <c r="T232" s="87" t="str">
        <f>IF(ISERROR(FIND('112'!$M$9,G232,1)),"",IF((AND(FIND('112'!$M$9,G232,1)&gt;=1,B232='112'!$K$9,OR($N232='112'!$I$6,$O232='112'!$I$6))),"x",""))</f>
        <v>x</v>
      </c>
      <c r="U232" s="87" t="str">
        <f>IF(ISERROR(FIND('112'!$M$9,G232,1)),"",IF((AND(FIND('112'!$M$9,G232,1)&gt;=1,B232&lt;'112'!$K$9,$N232='112'!$I$6)),"x",""))</f>
        <v/>
      </c>
      <c r="V232" s="87" t="str">
        <f>IF(ISERROR(FIND('112'!$M$9,G232,1)),"",IF((AND(FIND('112'!$M$9,G232,1)&gt;=1,B232&lt;'112'!$K$9,$O232='112'!$I$6)),"x",""))</f>
        <v/>
      </c>
      <c r="W232" s="87" t="str">
        <f>IF(AND($B232&gt;='1331'!$I$9,$B232&lt;='1331'!$J$9,OR($N232=$W$7,$O232=$W$7)),"x","")</f>
        <v/>
      </c>
      <c r="X232" s="87" t="str">
        <f>IF(AND($N232=$W$7,$B232&lt;'1331'!$I$9),"x","")</f>
        <v/>
      </c>
      <c r="Y232" s="87" t="str">
        <f>IF(AND($O232=$W$7,$B232&lt;'1331'!$I$9),"x","")</f>
        <v/>
      </c>
      <c r="Z232" s="87" t="str">
        <f>IF(AND('341-CT'!$H$9=H232,OR(LEFT(N232,3)=$Z$7,LEFT(O232,3)=$Z$7)),"x","")</f>
        <v/>
      </c>
      <c r="AA232" s="87" t="str">
        <f>IF(OR(TH!N232=TH!$AA$7,O232=TH!$AA$7),"x","")</f>
        <v/>
      </c>
      <c r="AB232" s="87" t="str">
        <f>IF(AND(OR(N232="131",O232="131"),H232='131-CT'!$H$9),"x","")</f>
        <v/>
      </c>
      <c r="AC232" s="87"/>
      <c r="AD232" s="87" t="str">
        <f>IF(AND(MONTH(E232)='IN-NX'!$J$5,'IN-NX'!$D$7=D232),"x","")</f>
        <v/>
      </c>
      <c r="AE232" s="87" t="str">
        <f>IF(AND(OR(LEFT(TH!N232,2)="15",LEFT(TH!O232,2)="15"),'152-CT'!$J$8=TH!F232),"x","")</f>
        <v/>
      </c>
      <c r="AF232" s="87" t="str">
        <f>IF(AND(OR(LEFT(TH!N232,2)="15",LEFT(TH!O232,2)="15"),'THE KHO'!$E$7=TH!F232),"x","")</f>
        <v/>
      </c>
      <c r="AG232" s="87" t="str">
        <f>IF(AND(N232="1521",MONTH(C232)='BK NL'!$M$11),"x","")</f>
        <v/>
      </c>
    </row>
    <row r="233" spans="1:33" ht="15.75" customHeight="1">
      <c r="A233" s="399" t="str">
        <f>IF(B233&lt;&gt;"",IF(AND(B233&gt;=_TM1,B233&lt;=_TM2,OR(TH!N233="1111",TH!O233="1111")),TH!D233,""),"")</f>
        <v>T04</v>
      </c>
      <c r="B233" s="63">
        <f>IF(C233&lt;&gt;"",MONTH(C233),"")</f>
        <v>1</v>
      </c>
      <c r="C233" s="64">
        <v>42396</v>
      </c>
      <c r="D233" s="64" t="s">
        <v>989</v>
      </c>
      <c r="E233" s="64">
        <v>42396</v>
      </c>
      <c r="F233" s="591" t="s">
        <v>821</v>
      </c>
      <c r="G233" s="362" t="s">
        <v>999</v>
      </c>
      <c r="H233" s="76" t="s">
        <v>842</v>
      </c>
      <c r="I233" s="521"/>
      <c r="J233" s="518"/>
      <c r="K233" s="512"/>
      <c r="L233" s="521"/>
      <c r="M233" s="65">
        <v>850000000</v>
      </c>
      <c r="N233" s="66" t="s">
        <v>63</v>
      </c>
      <c r="O233" s="66" t="s">
        <v>26</v>
      </c>
      <c r="P233" s="87" t="str">
        <f>IF(AND('331-CT'!$E$7=TH!H233,OR(N233="331",O233="331")),"x","")</f>
        <v/>
      </c>
      <c r="Q233" s="87" t="str">
        <f>IF(AND(B233='111'!$L$11,OR($N233=$Q$7,$O233=$Q$7)),"x","")</f>
        <v>x</v>
      </c>
      <c r="R233" s="87" t="str">
        <f>IF(AND($N233=$Q$7,$B233&lt;'111'!$L$11),"x","")</f>
        <v/>
      </c>
      <c r="S233" s="87" t="str">
        <f>IF(AND($O233=$Q$7,$B233&lt;'111'!$L$11),"x","")</f>
        <v/>
      </c>
      <c r="T233" s="87" t="str">
        <f>IF(ISERROR(FIND('112'!$M$9,G233,1)),"",IF((AND(FIND('112'!$M$9,G233,1)&gt;=1,B233='112'!$K$9,OR($N233='112'!$I$6,$O233='112'!$I$6))),"x",""))</f>
        <v>x</v>
      </c>
      <c r="U233" s="87" t="str">
        <f>IF(ISERROR(FIND('112'!$M$9,G233,1)),"",IF((AND(FIND('112'!$M$9,G233,1)&gt;=1,B233&lt;'112'!$K$9,$N233='112'!$I$6)),"x",""))</f>
        <v/>
      </c>
      <c r="V233" s="87" t="str">
        <f>IF(ISERROR(FIND('112'!$M$9,G233,1)),"",IF((AND(FIND('112'!$M$9,G233,1)&gt;=1,B233&lt;'112'!$K$9,$O233='112'!$I$6)),"x",""))</f>
        <v/>
      </c>
      <c r="W233" s="87" t="str">
        <f>IF(AND($B233&gt;='1331'!$I$9,$B233&lt;='1331'!$J$9,OR($N233=$W$7,$O233=$W$7)),"x","")</f>
        <v/>
      </c>
      <c r="X233" s="87" t="str">
        <f>IF(AND($N233=$W$7,$B233&lt;'1331'!$I$9),"x","")</f>
        <v/>
      </c>
      <c r="Y233" s="87" t="str">
        <f>IF(AND($O233=$W$7,$B233&lt;'1331'!$I$9),"x","")</f>
        <v/>
      </c>
      <c r="Z233" s="87" t="str">
        <f>IF(AND('341-CT'!$H$9=H233,OR(LEFT(N233,3)=$Z$7,LEFT(O233,3)=$Z$7)),"x","")</f>
        <v/>
      </c>
      <c r="AA233" s="87" t="str">
        <f>IF(OR(TH!N233=TH!$AA$7,O233=TH!$AA$7),"x","")</f>
        <v/>
      </c>
      <c r="AB233" s="87" t="str">
        <f>IF(AND(OR(N233="131",O233="131"),H233='131-CT'!$H$9),"x","")</f>
        <v/>
      </c>
      <c r="AC233" s="87"/>
      <c r="AD233" s="87" t="str">
        <f>IF(AND(MONTH(E233)='IN-NX'!$J$5,'IN-NX'!$D$7=D233),"x","")</f>
        <v/>
      </c>
      <c r="AE233" s="87" t="str">
        <f>IF(AND(OR(LEFT(TH!N233,2)="15",LEFT(TH!O233,2)="15"),'152-CT'!$J$8=TH!F233),"x","")</f>
        <v/>
      </c>
      <c r="AF233" s="87" t="str">
        <f>IF(AND(OR(LEFT(TH!N233,2)="15",LEFT(TH!O233,2)="15"),'THE KHO'!$E$7=TH!F233),"x","")</f>
        <v/>
      </c>
      <c r="AG233" s="87" t="str">
        <f>IF(AND(N233="1521",MONTH(C233)='BK NL'!$M$11),"x","")</f>
        <v/>
      </c>
    </row>
    <row r="234" spans="1:33" ht="15.75" customHeight="1">
      <c r="A234" s="399" t="str">
        <f>IF(B234&lt;&gt;"",IF(AND(B234&gt;=_TM1,B234&lt;=_TM2,OR(TH!N234="1111",TH!O234="1111")),TH!D234,""),"")</f>
        <v/>
      </c>
      <c r="B234" s="63">
        <f>IF(C234&lt;&gt;"",MONTH(C234),"")</f>
        <v>1</v>
      </c>
      <c r="C234" s="64">
        <v>42396</v>
      </c>
      <c r="D234" s="64" t="s">
        <v>773</v>
      </c>
      <c r="E234" s="64">
        <v>42396</v>
      </c>
      <c r="F234" s="591" t="s">
        <v>831</v>
      </c>
      <c r="G234" s="362" t="s">
        <v>999</v>
      </c>
      <c r="H234" s="591" t="s">
        <v>697</v>
      </c>
      <c r="I234" s="518"/>
      <c r="J234" s="518"/>
      <c r="K234" s="509"/>
      <c r="L234" s="518"/>
      <c r="M234" s="65">
        <v>27118300</v>
      </c>
      <c r="N234" s="66" t="s">
        <v>8</v>
      </c>
      <c r="O234" s="66" t="s">
        <v>26</v>
      </c>
      <c r="P234" s="87" t="str">
        <f>IF(AND('331-CT'!$E$7=TH!H234,OR(N234="331",O234="331")),"x","")</f>
        <v/>
      </c>
      <c r="Q234" s="87" t="str">
        <f>IF(AND(B234='111'!$L$11,OR($N234=$Q$7,$O234=$Q$7)),"x","")</f>
        <v/>
      </c>
      <c r="R234" s="87" t="str">
        <f>IF(AND($N234=$Q$7,$B234&lt;'111'!$L$11),"x","")</f>
        <v/>
      </c>
      <c r="S234" s="87" t="str">
        <f>IF(AND($O234=$Q$7,$B234&lt;'111'!$L$11),"x","")</f>
        <v/>
      </c>
      <c r="T234" s="87" t="str">
        <f>IF(ISERROR(FIND('112'!$M$9,G234,1)),"",IF((AND(FIND('112'!$M$9,G234,1)&gt;=1,B234='112'!$K$9,OR($N234='112'!$I$6,$O234='112'!$I$6))),"x",""))</f>
        <v>x</v>
      </c>
      <c r="U234" s="87" t="str">
        <f>IF(ISERROR(FIND('112'!$M$9,G234,1)),"",IF((AND(FIND('112'!$M$9,G234,1)&gt;=1,B234&lt;'112'!$K$9,$N234='112'!$I$6)),"x",""))</f>
        <v/>
      </c>
      <c r="V234" s="87" t="str">
        <f>IF(ISERROR(FIND('112'!$M$9,G234,1)),"",IF((AND(FIND('112'!$M$9,G234,1)&gt;=1,B234&lt;'112'!$K$9,$O234='112'!$I$6)),"x",""))</f>
        <v/>
      </c>
      <c r="W234" s="87" t="str">
        <f>IF(AND($B234&gt;='1331'!$I$9,$B234&lt;='1331'!$J$9,OR($N234=$W$7,$O234=$W$7)),"x","")</f>
        <v/>
      </c>
      <c r="X234" s="87" t="str">
        <f>IF(AND($N234=$W$7,$B234&lt;'1331'!$I$9),"x","")</f>
        <v/>
      </c>
      <c r="Y234" s="87" t="str">
        <f>IF(AND($O234=$W$7,$B234&lt;'1331'!$I$9),"x","")</f>
        <v/>
      </c>
      <c r="Z234" s="87" t="str">
        <f>IF(AND('341-CT'!$H$9=H234,OR(LEFT(N234,3)=$Z$7,LEFT(O234,3)=$Z$7)),"x","")</f>
        <v/>
      </c>
      <c r="AA234" s="87" t="str">
        <f>IF(OR(TH!N234=TH!$AA$7,O234=TH!$AA$7),"x","")</f>
        <v/>
      </c>
      <c r="AB234" s="87" t="str">
        <f>IF(AND(OR(N234="131",O234="131"),H234='131-CT'!$H$9),"x","")</f>
        <v/>
      </c>
      <c r="AC234" s="87"/>
      <c r="AD234" s="87" t="str">
        <f>IF(AND(MONTH(E234)='IN-NX'!$J$5,'IN-NX'!$D$7=D234),"x","")</f>
        <v/>
      </c>
      <c r="AE234" s="87" t="str">
        <f>IF(AND(OR(LEFT(TH!N234,2)="15",LEFT(TH!O234,2)="15"),'152-CT'!$J$8=TH!F234),"x","")</f>
        <v/>
      </c>
      <c r="AF234" s="87" t="str">
        <f>IF(AND(OR(LEFT(TH!N234,2)="15",LEFT(TH!O234,2)="15"),'THE KHO'!$E$7=TH!F234),"x","")</f>
        <v/>
      </c>
      <c r="AG234" s="87" t="str">
        <f>IF(AND(N234="1521",MONTH(C234)='BK NL'!$M$11),"x","")</f>
        <v/>
      </c>
    </row>
    <row r="235" spans="1:33" ht="15.75" customHeight="1">
      <c r="A235" s="399" t="str">
        <f>IF(B235&lt;&gt;"",IF(AND(B235&gt;=_TM1,B235&lt;=_TM2,OR(TH!N235="1111",TH!O235="1111")),TH!D235,""),"")</f>
        <v/>
      </c>
      <c r="B235" s="63">
        <f>IF(C235&lt;&gt;"",MONTH(C235),"")</f>
        <v>1</v>
      </c>
      <c r="C235" s="64">
        <v>42396</v>
      </c>
      <c r="D235" s="64" t="s">
        <v>773</v>
      </c>
      <c r="E235" s="64">
        <v>42396</v>
      </c>
      <c r="F235" s="591" t="s">
        <v>817</v>
      </c>
      <c r="G235" s="362" t="s">
        <v>999</v>
      </c>
      <c r="H235" s="591"/>
      <c r="I235" s="518"/>
      <c r="J235" s="518"/>
      <c r="K235" s="509"/>
      <c r="L235" s="518"/>
      <c r="M235" s="65">
        <v>25000</v>
      </c>
      <c r="N235" s="66" t="s">
        <v>101</v>
      </c>
      <c r="O235" s="66" t="s">
        <v>26</v>
      </c>
      <c r="P235" s="87" t="str">
        <f>IF(AND('331-CT'!$E$7=TH!H235,OR(N235="331",O235="331")),"x","")</f>
        <v/>
      </c>
      <c r="Q235" s="87" t="str">
        <f>IF(AND(B235='111'!$L$11,OR($N235=$Q$7,$O235=$Q$7)),"x","")</f>
        <v/>
      </c>
      <c r="R235" s="87" t="str">
        <f>IF(AND($N235=$Q$7,$B235&lt;'111'!$L$11),"x","")</f>
        <v/>
      </c>
      <c r="S235" s="87" t="str">
        <f>IF(AND($O235=$Q$7,$B235&lt;'111'!$L$11),"x","")</f>
        <v/>
      </c>
      <c r="T235" s="87" t="str">
        <f>IF(ISERROR(FIND('112'!$M$9,G235,1)),"",IF((AND(FIND('112'!$M$9,G235,1)&gt;=1,B235='112'!$K$9,OR($N235='112'!$I$6,$O235='112'!$I$6))),"x",""))</f>
        <v>x</v>
      </c>
      <c r="U235" s="87" t="str">
        <f>IF(ISERROR(FIND('112'!$M$9,G235,1)),"",IF((AND(FIND('112'!$M$9,G235,1)&gt;=1,B235&lt;'112'!$K$9,$N235='112'!$I$6)),"x",""))</f>
        <v/>
      </c>
      <c r="V235" s="87" t="str">
        <f>IF(ISERROR(FIND('112'!$M$9,G235,1)),"",IF((AND(FIND('112'!$M$9,G235,1)&gt;=1,B235&lt;'112'!$K$9,$O235='112'!$I$6)),"x",""))</f>
        <v/>
      </c>
      <c r="W235" s="87" t="str">
        <f>IF(AND($B235&gt;='1331'!$I$9,$B235&lt;='1331'!$J$9,OR($N235=$W$7,$O235=$W$7)),"x","")</f>
        <v/>
      </c>
      <c r="X235" s="87" t="str">
        <f>IF(AND($N235=$W$7,$B235&lt;'1331'!$I$9),"x","")</f>
        <v/>
      </c>
      <c r="Y235" s="87" t="str">
        <f>IF(AND($O235=$W$7,$B235&lt;'1331'!$I$9),"x","")</f>
        <v/>
      </c>
      <c r="Z235" s="87" t="str">
        <f>IF(AND('341-CT'!$H$9=H235,OR(LEFT(N235,3)=$Z$7,LEFT(O235,3)=$Z$7)),"x","")</f>
        <v/>
      </c>
      <c r="AA235" s="87" t="str">
        <f>IF(OR(TH!N235=TH!$AA$7,O235=TH!$AA$7),"x","")</f>
        <v/>
      </c>
      <c r="AB235" s="87" t="str">
        <f>IF(AND(OR(N235="131",O235="131"),H235='131-CT'!$H$9),"x","")</f>
        <v/>
      </c>
      <c r="AC235" s="87"/>
      <c r="AD235" s="87" t="str">
        <f>IF(AND(MONTH(E235)='IN-NX'!$J$5,'IN-NX'!$D$7=D235),"x","")</f>
        <v/>
      </c>
      <c r="AE235" s="87" t="str">
        <f>IF(AND(OR(LEFT(TH!N235,2)="15",LEFT(TH!O235,2)="15"),'152-CT'!$J$8=TH!F235),"x","")</f>
        <v/>
      </c>
      <c r="AF235" s="87" t="str">
        <f>IF(AND(OR(LEFT(TH!N235,2)="15",LEFT(TH!O235,2)="15"),'THE KHO'!$E$7=TH!F235),"x","")</f>
        <v/>
      </c>
      <c r="AG235" s="87" t="str">
        <f>IF(AND(N235="1521",MONTH(C235)='BK NL'!$M$11),"x","")</f>
        <v/>
      </c>
    </row>
    <row r="236" spans="1:33" ht="15.75" customHeight="1">
      <c r="A236" s="399" t="str">
        <f>IF(B236&lt;&gt;"",IF(AND(B236&gt;=_TM1,B236&lt;=_TM2,OR(TH!N236="1111",TH!O236="1111")),TH!D236,""),"")</f>
        <v/>
      </c>
      <c r="B236" s="63">
        <f>IF(C236&lt;&gt;"",MONTH(C236),"")</f>
        <v>1</v>
      </c>
      <c r="C236" s="64">
        <v>42396</v>
      </c>
      <c r="D236" s="64" t="s">
        <v>773</v>
      </c>
      <c r="E236" s="64">
        <v>42396</v>
      </c>
      <c r="F236" s="67" t="s">
        <v>820</v>
      </c>
      <c r="G236" s="362" t="s">
        <v>999</v>
      </c>
      <c r="H236" s="974"/>
      <c r="I236" s="522"/>
      <c r="J236" s="522"/>
      <c r="K236" s="513"/>
      <c r="L236" s="522"/>
      <c r="M236" s="65">
        <v>2500</v>
      </c>
      <c r="N236" s="66" t="s">
        <v>9</v>
      </c>
      <c r="O236" s="66" t="s">
        <v>26</v>
      </c>
      <c r="P236" s="87" t="str">
        <f>IF(AND('331-CT'!$E$7=TH!H236,OR(N236="331",O236="331")),"x","")</f>
        <v/>
      </c>
      <c r="Q236" s="87" t="str">
        <f>IF(AND(B236='111'!$L$11,OR($N236=$Q$7,$O236=$Q$7)),"x","")</f>
        <v/>
      </c>
      <c r="R236" s="87" t="str">
        <f>IF(AND($N236=$Q$7,$B236&lt;'111'!$L$11),"x","")</f>
        <v/>
      </c>
      <c r="S236" s="87" t="str">
        <f>IF(AND($O236=$Q$7,$B236&lt;'111'!$L$11),"x","")</f>
        <v/>
      </c>
      <c r="T236" s="87" t="str">
        <f>IF(ISERROR(FIND('112'!$M$9,G236,1)),"",IF((AND(FIND('112'!$M$9,G236,1)&gt;=1,B236='112'!$K$9,OR($N236='112'!$I$6,$O236='112'!$I$6))),"x",""))</f>
        <v>x</v>
      </c>
      <c r="U236" s="87" t="str">
        <f>IF(ISERROR(FIND('112'!$M$9,G236,1)),"",IF((AND(FIND('112'!$M$9,G236,1)&gt;=1,B236&lt;'112'!$K$9,$N236='112'!$I$6)),"x",""))</f>
        <v/>
      </c>
      <c r="V236" s="87" t="str">
        <f>IF(ISERROR(FIND('112'!$M$9,G236,1)),"",IF((AND(FIND('112'!$M$9,G236,1)&gt;=1,B236&lt;'112'!$K$9,$O236='112'!$I$6)),"x",""))</f>
        <v/>
      </c>
      <c r="W236" s="87" t="str">
        <f>IF(AND($B236&gt;='1331'!$I$9,$B236&lt;='1331'!$J$9,OR($N236=$W$7,$O236=$W$7)),"x","")</f>
        <v>x</v>
      </c>
      <c r="X236" s="87" t="str">
        <f>IF(AND($N236=$W$7,$B236&lt;'1331'!$I$9),"x","")</f>
        <v/>
      </c>
      <c r="Y236" s="87" t="str">
        <f>IF(AND($O236=$W$7,$B236&lt;'1331'!$I$9),"x","")</f>
        <v/>
      </c>
      <c r="Z236" s="87" t="str">
        <f>IF(AND('341-CT'!$H$9=H236,OR(LEFT(N236,3)=$Z$7,LEFT(O236,3)=$Z$7)),"x","")</f>
        <v/>
      </c>
      <c r="AA236" s="87" t="str">
        <f>IF(OR(TH!N236=TH!$AA$7,O236=TH!$AA$7),"x","")</f>
        <v/>
      </c>
      <c r="AB236" s="87" t="str">
        <f>IF(AND(OR(N236="131",O236="131"),H236='131-CT'!$H$9),"x","")</f>
        <v/>
      </c>
      <c r="AC236" s="87"/>
      <c r="AD236" s="87" t="str">
        <f>IF(AND(MONTH(E236)='IN-NX'!$J$5,'IN-NX'!$D$7=D236),"x","")</f>
        <v/>
      </c>
      <c r="AE236" s="87" t="str">
        <f>IF(AND(OR(LEFT(TH!N236,2)="15",LEFT(TH!O236,2)="15"),'152-CT'!$J$8=TH!F236),"x","")</f>
        <v/>
      </c>
      <c r="AF236" s="87" t="str">
        <f>IF(AND(OR(LEFT(TH!N236,2)="15",LEFT(TH!O236,2)="15"),'THE KHO'!$E$7=TH!F236),"x","")</f>
        <v/>
      </c>
      <c r="AG236" s="87" t="str">
        <f>IF(AND(N236="1521",MONTH(C236)='BK NL'!$M$11),"x","")</f>
        <v/>
      </c>
    </row>
    <row r="237" spans="1:33" ht="15.75" customHeight="1">
      <c r="A237" s="399" t="str">
        <f>IF(B237&lt;&gt;"",IF(AND(B237&gt;=_TM1,B237&lt;=_TM2,OR(TH!N237="1111",TH!O237="1111")),TH!D237,""),"")</f>
        <v/>
      </c>
      <c r="B237" s="63">
        <f>IF(C237&lt;&gt;"",MONTH(C237),"")</f>
        <v>1</v>
      </c>
      <c r="C237" s="64">
        <v>42397</v>
      </c>
      <c r="D237" s="64" t="s">
        <v>770</v>
      </c>
      <c r="E237" s="64">
        <v>42397</v>
      </c>
      <c r="F237" s="67" t="s">
        <v>776</v>
      </c>
      <c r="G237" s="362" t="s">
        <v>999</v>
      </c>
      <c r="H237" s="75" t="s">
        <v>655</v>
      </c>
      <c r="I237" s="518"/>
      <c r="J237" s="518"/>
      <c r="K237" s="509">
        <v>71518.62</v>
      </c>
      <c r="L237" s="518">
        <v>22300</v>
      </c>
      <c r="M237" s="86">
        <f>ROUND(K237*L237,0)</f>
        <v>1594865226</v>
      </c>
      <c r="N237" s="66" t="s">
        <v>282</v>
      </c>
      <c r="O237" s="66" t="s">
        <v>639</v>
      </c>
      <c r="P237" s="87" t="str">
        <f>IF(AND('331-CT'!$E$7=TH!H237,OR(N237="331",O237="331")),"x","")</f>
        <v/>
      </c>
      <c r="Q237" s="87" t="str">
        <f>IF(AND(B237='111'!$L$11,OR($N237=$Q$7,$O237=$Q$7)),"x","")</f>
        <v/>
      </c>
      <c r="R237" s="87" t="str">
        <f>IF(AND($N237=$Q$7,$B237&lt;'111'!$L$11),"x","")</f>
        <v/>
      </c>
      <c r="S237" s="87" t="str">
        <f>IF(AND($O237=$Q$7,$B237&lt;'111'!$L$11),"x","")</f>
        <v/>
      </c>
      <c r="T237" s="87" t="str">
        <f>IF(ISERROR(FIND('112'!$M$9,G237,1)),"",IF((AND(FIND('112'!$M$9,G237,1)&gt;=1,B237='112'!$K$9,OR($N237='112'!$I$6,$O237='112'!$I$6))),"x",""))</f>
        <v/>
      </c>
      <c r="U237" s="87" t="str">
        <f>IF(ISERROR(FIND('112'!$M$9,G237,1)),"",IF((AND(FIND('112'!$M$9,G237,1)&gt;=1,B237&lt;'112'!$K$9,$N237='112'!$I$6)),"x",""))</f>
        <v/>
      </c>
      <c r="V237" s="87" t="str">
        <f>IF(ISERROR(FIND('112'!$M$9,G237,1)),"",IF((AND(FIND('112'!$M$9,G237,1)&gt;=1,B237&lt;'112'!$K$9,$O237='112'!$I$6)),"x",""))</f>
        <v/>
      </c>
      <c r="W237" s="87" t="str">
        <f>IF(AND($B237&gt;='1331'!$I$9,$B237&lt;='1331'!$J$9,OR($N237=$W$7,$O237=$W$7)),"x","")</f>
        <v/>
      </c>
      <c r="X237" s="87" t="str">
        <f>IF(AND($N237=$W$7,$B237&lt;'1331'!$I$9),"x","")</f>
        <v/>
      </c>
      <c r="Y237" s="87" t="str">
        <f>IF(AND($O237=$W$7,$B237&lt;'1331'!$I$9),"x","")</f>
        <v/>
      </c>
      <c r="Z237" s="87" t="str">
        <f>IF(AND('341-CT'!$H$9=H237,OR(LEFT(N237,3)=$Z$7,LEFT(O237,3)=$Z$7)),"x","")</f>
        <v/>
      </c>
      <c r="AA237" s="87" t="str">
        <f>IF(OR(TH!N237=TH!$AA$7,O237=TH!$AA$7),"x","")</f>
        <v/>
      </c>
      <c r="AB237" s="87" t="str">
        <f>IF(AND(OR(N237="131",O237="131"),H237='131-CT'!$H$9),"x","")</f>
        <v/>
      </c>
      <c r="AC237" s="87"/>
      <c r="AD237" s="87" t="str">
        <f>IF(AND(MONTH(E237)='IN-NX'!$J$5,'IN-NX'!$D$7=D237),"x","")</f>
        <v/>
      </c>
      <c r="AE237" s="87" t="str">
        <f>IF(AND(OR(LEFT(TH!N237,2)="15",LEFT(TH!O237,2)="15"),'152-CT'!$J$8=TH!F237),"x","")</f>
        <v/>
      </c>
      <c r="AF237" s="87" t="str">
        <f>IF(AND(OR(LEFT(TH!N237,2)="15",LEFT(TH!O237,2)="15"),'THE KHO'!$E$7=TH!F237),"x","")</f>
        <v/>
      </c>
      <c r="AG237" s="87" t="str">
        <f>IF(AND(N237="1521",MONTH(C237)='BK NL'!$M$11),"x","")</f>
        <v/>
      </c>
    </row>
    <row r="238" spans="1:33" ht="15.75" customHeight="1">
      <c r="A238" s="399" t="str">
        <f>IF(B238&lt;&gt;"",IF(AND(B238&gt;=_TM1,B238&lt;=_TM2,OR(TH!N238="1111",TH!O238="1111")),TH!D238,""),"")</f>
        <v/>
      </c>
      <c r="B238" s="63">
        <f>IF(C238&lt;&gt;"",MONTH(C238),"")</f>
        <v>1</v>
      </c>
      <c r="C238" s="64">
        <v>42398</v>
      </c>
      <c r="D238" s="64" t="s">
        <v>773</v>
      </c>
      <c r="E238" s="64">
        <v>42398</v>
      </c>
      <c r="F238" s="67" t="s">
        <v>771</v>
      </c>
      <c r="G238" s="362" t="s">
        <v>1000</v>
      </c>
      <c r="H238" s="409"/>
      <c r="I238" s="522"/>
      <c r="J238" s="522"/>
      <c r="K238" s="513">
        <v>52300</v>
      </c>
      <c r="L238" s="522">
        <v>22225</v>
      </c>
      <c r="M238" s="86">
        <f>ROUND(K238*L238,0)</f>
        <v>1162367500</v>
      </c>
      <c r="N238" s="66" t="s">
        <v>282</v>
      </c>
      <c r="O238" s="66" t="s">
        <v>282</v>
      </c>
      <c r="P238" s="87" t="str">
        <f>IF(AND('331-CT'!$E$7=TH!H238,OR(N238="331",O238="331")),"x","")</f>
        <v/>
      </c>
      <c r="Q238" s="87" t="str">
        <f>IF(AND(B238='111'!$L$11,OR($N238=$Q$7,$O238=$Q$7)),"x","")</f>
        <v/>
      </c>
      <c r="R238" s="87" t="str">
        <f>IF(AND($N238=$Q$7,$B238&lt;'111'!$L$11),"x","")</f>
        <v/>
      </c>
      <c r="S238" s="87" t="str">
        <f>IF(AND($O238=$Q$7,$B238&lt;'111'!$L$11),"x","")</f>
        <v/>
      </c>
      <c r="T238" s="87" t="str">
        <f>IF(ISERROR(FIND('112'!$M$9,G238,1)),"",IF((AND(FIND('112'!$M$9,G238,1)&gt;=1,B238='112'!$K$9,OR($N238='112'!$I$6,$O238='112'!$I$6))),"x",""))</f>
        <v/>
      </c>
      <c r="U238" s="87" t="str">
        <f>IF(ISERROR(FIND('112'!$M$9,G238,1)),"",IF((AND(FIND('112'!$M$9,G238,1)&gt;=1,B238&lt;'112'!$K$9,$N238='112'!$I$6)),"x",""))</f>
        <v/>
      </c>
      <c r="V238" s="87" t="str">
        <f>IF(ISERROR(FIND('112'!$M$9,G238,1)),"",IF((AND(FIND('112'!$M$9,G238,1)&gt;=1,B238&lt;'112'!$K$9,$O238='112'!$I$6)),"x",""))</f>
        <v/>
      </c>
      <c r="W238" s="87" t="str">
        <f>IF(AND($B238&gt;='1331'!$I$9,$B238&lt;='1331'!$J$9,OR($N238=$W$7,$O238=$W$7)),"x","")</f>
        <v/>
      </c>
      <c r="X238" s="87" t="str">
        <f>IF(AND($N238=$W$7,$B238&lt;'1331'!$I$9),"x","")</f>
        <v/>
      </c>
      <c r="Y238" s="87" t="str">
        <f>IF(AND($O238=$W$7,$B238&lt;'1331'!$I$9),"x","")</f>
        <v/>
      </c>
      <c r="Z238" s="87" t="str">
        <f>IF(AND('341-CT'!$H$9=H238,OR(LEFT(N238,3)=$Z$7,LEFT(O238,3)=$Z$7)),"x","")</f>
        <v/>
      </c>
      <c r="AA238" s="87" t="str">
        <f>IF(OR(TH!N238=TH!$AA$7,O238=TH!$AA$7),"x","")</f>
        <v/>
      </c>
      <c r="AB238" s="87" t="str">
        <f>IF(AND(OR(N238="131",O238="131"),H238='131-CT'!$H$9),"x","")</f>
        <v/>
      </c>
      <c r="AC238" s="87"/>
      <c r="AD238" s="87" t="str">
        <f>IF(AND(MONTH(E238)='IN-NX'!$J$5,'IN-NX'!$D$7=D238),"x","")</f>
        <v/>
      </c>
      <c r="AE238" s="87" t="str">
        <f>IF(AND(OR(LEFT(TH!N238,2)="15",LEFT(TH!O238,2)="15"),'152-CT'!$J$8=TH!F238),"x","")</f>
        <v/>
      </c>
      <c r="AF238" s="87" t="str">
        <f>IF(AND(OR(LEFT(TH!N238,2)="15",LEFT(TH!O238,2)="15"),'THE KHO'!$E$7=TH!F238),"x","")</f>
        <v/>
      </c>
      <c r="AG238" s="87" t="str">
        <f>IF(AND(N238="1521",MONTH(C238)='BK NL'!$M$11),"x","")</f>
        <v/>
      </c>
    </row>
    <row r="239" spans="1:33" ht="15.75" customHeight="1">
      <c r="A239" s="399" t="str">
        <f>IF(B239&lt;&gt;"",IF(AND(B239&gt;=_TM1,B239&lt;=_TM2,OR(TH!N239="1111",TH!O239="1111")),TH!D239,""),"")</f>
        <v/>
      </c>
      <c r="B239" s="63">
        <f>IF(C239&lt;&gt;"",MONTH(C239),"")</f>
        <v>1</v>
      </c>
      <c r="C239" s="64">
        <v>42398</v>
      </c>
      <c r="D239" s="64" t="s">
        <v>773</v>
      </c>
      <c r="E239" s="64">
        <v>42398</v>
      </c>
      <c r="F239" s="67" t="s">
        <v>780</v>
      </c>
      <c r="G239" s="362" t="s">
        <v>999</v>
      </c>
      <c r="H239" s="75"/>
      <c r="I239" s="518"/>
      <c r="J239" s="518"/>
      <c r="K239" s="509">
        <v>19400</v>
      </c>
      <c r="L239" s="518">
        <v>22225</v>
      </c>
      <c r="M239" s="86">
        <f>ROUND(K239*L239,0)</f>
        <v>431165000</v>
      </c>
      <c r="N239" s="66" t="s">
        <v>26</v>
      </c>
      <c r="O239" s="66" t="s">
        <v>282</v>
      </c>
      <c r="P239" s="87" t="str">
        <f>IF(AND('331-CT'!$E$7=TH!H239,OR(N239="331",O239="331")),"x","")</f>
        <v/>
      </c>
      <c r="Q239" s="87" t="str">
        <f>IF(AND(B239='111'!$L$11,OR($N239=$Q$7,$O239=$Q$7)),"x","")</f>
        <v/>
      </c>
      <c r="R239" s="87" t="str">
        <f>IF(AND($N239=$Q$7,$B239&lt;'111'!$L$11),"x","")</f>
        <v/>
      </c>
      <c r="S239" s="87" t="str">
        <f>IF(AND($O239=$Q$7,$B239&lt;'111'!$L$11),"x","")</f>
        <v/>
      </c>
      <c r="T239" s="87" t="str">
        <f>IF(ISERROR(FIND('112'!$M$9,G239,1)),"",IF((AND(FIND('112'!$M$9,G239,1)&gt;=1,B239='112'!$K$9,OR($N239='112'!$I$6,$O239='112'!$I$6))),"x",""))</f>
        <v>x</v>
      </c>
      <c r="U239" s="87" t="str">
        <f>IF(ISERROR(FIND('112'!$M$9,G239,1)),"",IF((AND(FIND('112'!$M$9,G239,1)&gt;=1,B239&lt;'112'!$K$9,$N239='112'!$I$6)),"x",""))</f>
        <v/>
      </c>
      <c r="V239" s="87" t="str">
        <f>IF(ISERROR(FIND('112'!$M$9,G239,1)),"",IF((AND(FIND('112'!$M$9,G239,1)&gt;=1,B239&lt;'112'!$K$9,$O239='112'!$I$6)),"x",""))</f>
        <v/>
      </c>
      <c r="W239" s="87" t="str">
        <f>IF(AND($B239&gt;='1331'!$I$9,$B239&lt;='1331'!$J$9,OR($N239=$W$7,$O239=$W$7)),"x","")</f>
        <v/>
      </c>
      <c r="X239" s="87" t="str">
        <f>IF(AND($N239=$W$7,$B239&lt;'1331'!$I$9),"x","")</f>
        <v/>
      </c>
      <c r="Y239" s="87" t="str">
        <f>IF(AND($O239=$W$7,$B239&lt;'1331'!$I$9),"x","")</f>
        <v/>
      </c>
      <c r="Z239" s="87" t="str">
        <f>IF(AND('341-CT'!$H$9=H239,OR(LEFT(N239,3)=$Z$7,LEFT(O239,3)=$Z$7)),"x","")</f>
        <v/>
      </c>
      <c r="AA239" s="87" t="str">
        <f>IF(OR(TH!N239=TH!$AA$7,O239=TH!$AA$7),"x","")</f>
        <v/>
      </c>
      <c r="AB239" s="87" t="str">
        <f>IF(AND(OR(N239="131",O239="131"),H239='131-CT'!$H$9),"x","")</f>
        <v/>
      </c>
      <c r="AC239" s="87"/>
      <c r="AD239" s="87" t="str">
        <f>IF(AND(MONTH(E239)='IN-NX'!$J$5,'IN-NX'!$D$7=D239),"x","")</f>
        <v/>
      </c>
      <c r="AE239" s="87" t="str">
        <f>IF(AND(OR(LEFT(TH!N239,2)="15",LEFT(TH!O239,2)="15"),'152-CT'!$J$8=TH!F239),"x","")</f>
        <v/>
      </c>
      <c r="AF239" s="87" t="str">
        <f>IF(AND(OR(LEFT(TH!N239,2)="15",LEFT(TH!O239,2)="15"),'THE KHO'!$E$7=TH!F239),"x","")</f>
        <v/>
      </c>
      <c r="AG239" s="87" t="str">
        <f>IF(AND(N239="1521",MONTH(C239)='BK NL'!$M$11),"x","")</f>
        <v/>
      </c>
    </row>
    <row r="240" spans="1:33" ht="15.75" customHeight="1">
      <c r="A240" s="399" t="str">
        <f>IF(B240&lt;&gt;"",IF(AND(B240&gt;=_TM1,B240&lt;=_TM2,OR(TH!N240="1111",TH!O240="1111")),TH!D240,""),"")</f>
        <v/>
      </c>
      <c r="B240" s="63">
        <f>IF(C240&lt;&gt;"",MONTH(C240),"")</f>
        <v>1</v>
      </c>
      <c r="C240" s="64">
        <v>42398</v>
      </c>
      <c r="D240" s="64" t="s">
        <v>773</v>
      </c>
      <c r="E240" s="64">
        <v>42398</v>
      </c>
      <c r="F240" s="67" t="s">
        <v>790</v>
      </c>
      <c r="G240" s="362" t="s">
        <v>998</v>
      </c>
      <c r="H240" s="75" t="s">
        <v>791</v>
      </c>
      <c r="I240" s="518"/>
      <c r="J240" s="518"/>
      <c r="K240" s="509">
        <v>52300</v>
      </c>
      <c r="L240" s="518">
        <v>22490</v>
      </c>
      <c r="M240" s="86">
        <f>ROUND(K240*L240,0)</f>
        <v>1176227000</v>
      </c>
      <c r="N240" s="66" t="s">
        <v>276</v>
      </c>
      <c r="O240" s="66" t="s">
        <v>282</v>
      </c>
      <c r="P240" s="87" t="str">
        <f>IF(AND('331-CT'!$E$7=TH!H240,OR(N240="331",O240="331")),"x","")</f>
        <v/>
      </c>
      <c r="Q240" s="87" t="str">
        <f>IF(AND(B240='111'!$L$11,OR($N240=$Q$7,$O240=$Q$7)),"x","")</f>
        <v/>
      </c>
      <c r="R240" s="87" t="str">
        <f>IF(AND($N240=$Q$7,$B240&lt;'111'!$L$11),"x","")</f>
        <v/>
      </c>
      <c r="S240" s="87" t="str">
        <f>IF(AND($O240=$Q$7,$B240&lt;'111'!$L$11),"x","")</f>
        <v/>
      </c>
      <c r="T240" s="87" t="str">
        <f>IF(ISERROR(FIND('112'!$M$9,G240,1)),"",IF((AND(FIND('112'!$M$9,G240,1)&gt;=1,B240='112'!$K$9,OR($N240='112'!$I$6,$O240='112'!$I$6))),"x",""))</f>
        <v/>
      </c>
      <c r="U240" s="87" t="str">
        <f>IF(ISERROR(FIND('112'!$M$9,G240,1)),"",IF((AND(FIND('112'!$M$9,G240,1)&gt;=1,B240&lt;'112'!$K$9,$N240='112'!$I$6)),"x",""))</f>
        <v/>
      </c>
      <c r="V240" s="87" t="str">
        <f>IF(ISERROR(FIND('112'!$M$9,G240,1)),"",IF((AND(FIND('112'!$M$9,G240,1)&gt;=1,B240&lt;'112'!$K$9,$O240='112'!$I$6)),"x",""))</f>
        <v/>
      </c>
      <c r="W240" s="87" t="str">
        <f>IF(AND($B240&gt;='1331'!$I$9,$B240&lt;='1331'!$J$9,OR($N240=$W$7,$O240=$W$7)),"x","")</f>
        <v/>
      </c>
      <c r="X240" s="87" t="str">
        <f>IF(AND($N240=$W$7,$B240&lt;'1331'!$I$9),"x","")</f>
        <v/>
      </c>
      <c r="Y240" s="87" t="str">
        <f>IF(AND($O240=$W$7,$B240&lt;'1331'!$I$9),"x","")</f>
        <v/>
      </c>
      <c r="Z240" s="87" t="str">
        <f>IF(AND('341-CT'!$H$9=H240,OR(LEFT(N240,3)=$Z$7,LEFT(O240,3)=$Z$7)),"x","")</f>
        <v/>
      </c>
      <c r="AA240" s="87" t="str">
        <f>IF(OR(TH!N240=TH!$AA$7,O240=TH!$AA$7),"x","")</f>
        <v/>
      </c>
      <c r="AB240" s="87" t="str">
        <f>IF(AND(OR(N240="131",O240="131"),H240='131-CT'!$H$9),"x","")</f>
        <v/>
      </c>
      <c r="AC240" s="87"/>
      <c r="AD240" s="87" t="str">
        <f>IF(AND(MONTH(E240)='IN-NX'!$J$5,'IN-NX'!$D$7=D240),"x","")</f>
        <v/>
      </c>
      <c r="AE240" s="87" t="str">
        <f>IF(AND(OR(LEFT(TH!N240,2)="15",LEFT(TH!O240,2)="15"),'152-CT'!$J$8=TH!F240),"x","")</f>
        <v/>
      </c>
      <c r="AF240" s="87" t="str">
        <f>IF(AND(OR(LEFT(TH!N240,2)="15",LEFT(TH!O240,2)="15"),'THE KHO'!$E$7=TH!F240),"x","")</f>
        <v/>
      </c>
      <c r="AG240" s="87" t="str">
        <f>IF(AND(N240="1521",MONTH(C240)='BK NL'!$M$11),"x","")</f>
        <v/>
      </c>
    </row>
    <row r="241" spans="1:33" ht="15.75" customHeight="1">
      <c r="A241" s="399" t="str">
        <f>IF(B241&lt;&gt;"",IF(AND(B241&gt;=_TM1,B241&lt;=_TM2,OR(TH!N241="1111",TH!O241="1111")),TH!D241,""),"")</f>
        <v/>
      </c>
      <c r="B241" s="63">
        <f>IF(C241&lt;&gt;"",MONTH(C241),"")</f>
        <v>1</v>
      </c>
      <c r="C241" s="64">
        <v>42398</v>
      </c>
      <c r="D241" s="64" t="s">
        <v>773</v>
      </c>
      <c r="E241" s="64">
        <v>42398</v>
      </c>
      <c r="F241" s="67" t="s">
        <v>792</v>
      </c>
      <c r="G241" s="362" t="s">
        <v>998</v>
      </c>
      <c r="H241" s="75" t="s">
        <v>791</v>
      </c>
      <c r="I241" s="518"/>
      <c r="J241" s="518"/>
      <c r="K241" s="509">
        <v>81.36</v>
      </c>
      <c r="L241" s="518">
        <v>22490</v>
      </c>
      <c r="M241" s="86">
        <f>ROUND(K241*L241,0)</f>
        <v>1829786</v>
      </c>
      <c r="N241" s="66" t="s">
        <v>99</v>
      </c>
      <c r="O241" s="66" t="s">
        <v>282</v>
      </c>
      <c r="P241" s="87" t="str">
        <f>IF(AND('331-CT'!$E$7=TH!H241,OR(N241="331",O241="331")),"x","")</f>
        <v/>
      </c>
      <c r="Q241" s="87" t="str">
        <f>IF(AND(B241='111'!$L$11,OR($N241=$Q$7,$O241=$Q$7)),"x","")</f>
        <v/>
      </c>
      <c r="R241" s="87" t="str">
        <f>IF(AND($N241=$Q$7,$B241&lt;'111'!$L$11),"x","")</f>
        <v/>
      </c>
      <c r="S241" s="87" t="str">
        <f>IF(AND($O241=$Q$7,$B241&lt;'111'!$L$11),"x","")</f>
        <v/>
      </c>
      <c r="T241" s="87" t="str">
        <f>IF(ISERROR(FIND('112'!$M$9,G241,1)),"",IF((AND(FIND('112'!$M$9,G241,1)&gt;=1,B241='112'!$K$9,OR($N241='112'!$I$6,$O241='112'!$I$6))),"x",""))</f>
        <v/>
      </c>
      <c r="U241" s="87" t="str">
        <f>IF(ISERROR(FIND('112'!$M$9,G241,1)),"",IF((AND(FIND('112'!$M$9,G241,1)&gt;=1,B241&lt;'112'!$K$9,$N241='112'!$I$6)),"x",""))</f>
        <v/>
      </c>
      <c r="V241" s="87" t="str">
        <f>IF(ISERROR(FIND('112'!$M$9,G241,1)),"",IF((AND(FIND('112'!$M$9,G241,1)&gt;=1,B241&lt;'112'!$K$9,$O241='112'!$I$6)),"x",""))</f>
        <v/>
      </c>
      <c r="W241" s="87" t="str">
        <f>IF(AND($B241&gt;='1331'!$I$9,$B241&lt;='1331'!$J$9,OR($N241=$W$7,$O241=$W$7)),"x","")</f>
        <v/>
      </c>
      <c r="X241" s="87" t="str">
        <f>IF(AND($N241=$W$7,$B241&lt;'1331'!$I$9),"x","")</f>
        <v/>
      </c>
      <c r="Y241" s="87" t="str">
        <f>IF(AND($O241=$W$7,$B241&lt;'1331'!$I$9),"x","")</f>
        <v/>
      </c>
      <c r="Z241" s="87" t="str">
        <f>IF(AND('341-CT'!$H$9=H241,OR(LEFT(N241,3)=$Z$7,LEFT(O241,3)=$Z$7)),"x","")</f>
        <v/>
      </c>
      <c r="AA241" s="87" t="str">
        <f>IF(OR(TH!N241=TH!$AA$7,O241=TH!$AA$7),"x","")</f>
        <v/>
      </c>
      <c r="AB241" s="87" t="str">
        <f>IF(AND(OR(N241="131",O241="131"),H241='131-CT'!$H$9),"x","")</f>
        <v/>
      </c>
      <c r="AC241" s="87"/>
      <c r="AD241" s="87" t="str">
        <f>IF(AND(MONTH(E241)='IN-NX'!$J$5,'IN-NX'!$D$7=D241),"x","")</f>
        <v/>
      </c>
      <c r="AE241" s="87" t="str">
        <f>IF(AND(OR(LEFT(TH!N241,2)="15",LEFT(TH!O241,2)="15"),'152-CT'!$J$8=TH!F241),"x","")</f>
        <v/>
      </c>
      <c r="AF241" s="87" t="str">
        <f>IF(AND(OR(LEFT(TH!N241,2)="15",LEFT(TH!O241,2)="15"),'THE KHO'!$E$7=TH!F241),"x","")</f>
        <v/>
      </c>
      <c r="AG241" s="87" t="str">
        <f>IF(AND(N241="1521",MONTH(C241)='BK NL'!$M$11),"x","")</f>
        <v/>
      </c>
    </row>
    <row r="242" spans="1:33" ht="15.75" customHeight="1">
      <c r="A242" s="399" t="str">
        <f>IF(B242&lt;&gt;"",IF(AND(B242&gt;=_TM1,B242&lt;=_TM2,OR(TH!N242="1111",TH!O242="1111")),TH!D242,""),"")</f>
        <v/>
      </c>
      <c r="B242" s="63">
        <f>IF(C242&lt;&gt;"",MONTH(C242),"")</f>
        <v>1</v>
      </c>
      <c r="C242" s="64">
        <v>42398</v>
      </c>
      <c r="D242" s="64" t="s">
        <v>600</v>
      </c>
      <c r="E242" s="64">
        <v>42398</v>
      </c>
      <c r="F242" s="67" t="s">
        <v>841</v>
      </c>
      <c r="G242" s="362"/>
      <c r="H242" s="75"/>
      <c r="I242" s="518"/>
      <c r="J242" s="518"/>
      <c r="K242" s="509"/>
      <c r="L242" s="518"/>
      <c r="M242" s="65">
        <v>9640081</v>
      </c>
      <c r="N242" s="66" t="s">
        <v>282</v>
      </c>
      <c r="O242" s="66" t="s">
        <v>43</v>
      </c>
      <c r="P242" s="87" t="str">
        <f>IF(AND('331-CT'!$E$7=TH!H242,OR(N242="331",O242="331")),"x","")</f>
        <v/>
      </c>
      <c r="Q242" s="87" t="str">
        <f>IF(AND(B242='111'!$L$11,OR($N242=$Q$7,$O242=$Q$7)),"x","")</f>
        <v/>
      </c>
      <c r="R242" s="87" t="str">
        <f>IF(AND($N242=$Q$7,$B242&lt;'111'!$L$11),"x","")</f>
        <v/>
      </c>
      <c r="S242" s="87" t="str">
        <f>IF(AND($O242=$Q$7,$B242&lt;'111'!$L$11),"x","")</f>
        <v/>
      </c>
      <c r="T242" s="87" t="str">
        <f>IF(ISERROR(FIND('112'!$M$9,G242,1)),"",IF((AND(FIND('112'!$M$9,G242,1)&gt;=1,B242='112'!$K$9,OR($N242='112'!$I$6,$O242='112'!$I$6))),"x",""))</f>
        <v/>
      </c>
      <c r="U242" s="87" t="str">
        <f>IF(ISERROR(FIND('112'!$M$9,G242,1)),"",IF((AND(FIND('112'!$M$9,G242,1)&gt;=1,B242&lt;'112'!$K$9,$N242='112'!$I$6)),"x",""))</f>
        <v/>
      </c>
      <c r="V242" s="87" t="str">
        <f>IF(ISERROR(FIND('112'!$M$9,G242,1)),"",IF((AND(FIND('112'!$M$9,G242,1)&gt;=1,B242&lt;'112'!$K$9,$O242='112'!$I$6)),"x",""))</f>
        <v/>
      </c>
      <c r="W242" s="87" t="str">
        <f>IF(AND($B242&gt;='1331'!$I$9,$B242&lt;='1331'!$J$9,OR($N242=$W$7,$O242=$W$7)),"x","")</f>
        <v/>
      </c>
      <c r="X242" s="87" t="str">
        <f>IF(AND($N242=$W$7,$B242&lt;'1331'!$I$9),"x","")</f>
        <v/>
      </c>
      <c r="Y242" s="87" t="str">
        <f>IF(AND($O242=$W$7,$B242&lt;'1331'!$I$9),"x","")</f>
        <v/>
      </c>
      <c r="Z242" s="87" t="str">
        <f>IF(AND('341-CT'!$H$9=H242,OR(LEFT(N242,3)=$Z$7,LEFT(O242,3)=$Z$7)),"x","")</f>
        <v/>
      </c>
      <c r="AA242" s="87" t="str">
        <f>IF(OR(TH!N242=TH!$AA$7,O242=TH!$AA$7),"x","")</f>
        <v>x</v>
      </c>
      <c r="AB242" s="87" t="str">
        <f>IF(AND(OR(N242="131",O242="131"),H242='131-CT'!$H$9),"x","")</f>
        <v/>
      </c>
      <c r="AC242" s="87"/>
      <c r="AD242" s="87" t="str">
        <f>IF(AND(MONTH(E242)='IN-NX'!$J$5,'IN-NX'!$D$7=D242),"x","")</f>
        <v/>
      </c>
      <c r="AE242" s="87" t="str">
        <f>IF(AND(OR(LEFT(TH!N242,2)="15",LEFT(TH!O242,2)="15"),'152-CT'!$J$8=TH!F242),"x","")</f>
        <v/>
      </c>
      <c r="AF242" s="87" t="str">
        <f>IF(AND(OR(LEFT(TH!N242,2)="15",LEFT(TH!O242,2)="15"),'THE KHO'!$E$7=TH!F242),"x","")</f>
        <v/>
      </c>
      <c r="AG242" s="87" t="str">
        <f>IF(AND(N242="1521",MONTH(C242)='BK NL'!$M$11),"x","")</f>
        <v/>
      </c>
    </row>
    <row r="243" spans="1:33" ht="15.75" customHeight="1">
      <c r="A243" s="399" t="str">
        <f>IF(B243&lt;&gt;"",IF(AND(B243&gt;=_TM1,B243&lt;=_TM2,OR(TH!N243="1111",TH!O243="1111")),TH!D243,""),"")</f>
        <v/>
      </c>
      <c r="B243" s="63">
        <f>IF(C243&lt;&gt;"",MONTH(C243),"")</f>
        <v>1</v>
      </c>
      <c r="C243" s="64">
        <v>42398</v>
      </c>
      <c r="D243" s="64" t="s">
        <v>600</v>
      </c>
      <c r="E243" s="64">
        <v>42398</v>
      </c>
      <c r="F243" s="408" t="s">
        <v>808</v>
      </c>
      <c r="G243" s="362"/>
      <c r="H243" s="75" t="s">
        <v>791</v>
      </c>
      <c r="I243" s="518"/>
      <c r="J243" s="518"/>
      <c r="K243" s="509"/>
      <c r="L243" s="518"/>
      <c r="M243" s="65">
        <v>21443000</v>
      </c>
      <c r="N243" s="66" t="s">
        <v>99</v>
      </c>
      <c r="O243" s="66" t="s">
        <v>276</v>
      </c>
      <c r="P243" s="87" t="str">
        <f>IF(AND('331-CT'!$E$7=TH!H243,OR(N243="331",O243="331")),"x","")</f>
        <v/>
      </c>
      <c r="Q243" s="87" t="str">
        <f>IF(AND(B243='111'!$L$11,OR($N243=$Q$7,$O243=$Q$7)),"x","")</f>
        <v/>
      </c>
      <c r="R243" s="87" t="str">
        <f>IF(AND($N243=$Q$7,$B243&lt;'111'!$L$11),"x","")</f>
        <v/>
      </c>
      <c r="S243" s="87" t="str">
        <f>IF(AND($O243=$Q$7,$B243&lt;'111'!$L$11),"x","")</f>
        <v/>
      </c>
      <c r="T243" s="87" t="str">
        <f>IF(ISERROR(FIND('112'!$M$9,G243,1)),"",IF((AND(FIND('112'!$M$9,G243,1)&gt;=1,B243='112'!$K$9,OR($N243='112'!$I$6,$O243='112'!$I$6))),"x",""))</f>
        <v/>
      </c>
      <c r="U243" s="87" t="str">
        <f>IF(ISERROR(FIND('112'!$M$9,G243,1)),"",IF((AND(FIND('112'!$M$9,G243,1)&gt;=1,B243&lt;'112'!$K$9,$N243='112'!$I$6)),"x",""))</f>
        <v/>
      </c>
      <c r="V243" s="87" t="str">
        <f>IF(ISERROR(FIND('112'!$M$9,G243,1)),"",IF((AND(FIND('112'!$M$9,G243,1)&gt;=1,B243&lt;'112'!$K$9,$O243='112'!$I$6)),"x",""))</f>
        <v/>
      </c>
      <c r="W243" s="87" t="str">
        <f>IF(AND($B243&gt;='1331'!$I$9,$B243&lt;='1331'!$J$9,OR($N243=$W$7,$O243=$W$7)),"x","")</f>
        <v/>
      </c>
      <c r="X243" s="87" t="str">
        <f>IF(AND($N243=$W$7,$B243&lt;'1331'!$I$9),"x","")</f>
        <v/>
      </c>
      <c r="Y243" s="87" t="str">
        <f>IF(AND($O243=$W$7,$B243&lt;'1331'!$I$9),"x","")</f>
        <v/>
      </c>
      <c r="Z243" s="87" t="str">
        <f>IF(AND('341-CT'!$H$9=H243,OR(LEFT(N243,3)=$Z$7,LEFT(O243,3)=$Z$7)),"x","")</f>
        <v/>
      </c>
      <c r="AA243" s="87" t="str">
        <f>IF(OR(TH!N243=TH!$AA$7,O243=TH!$AA$7),"x","")</f>
        <v/>
      </c>
      <c r="AB243" s="87" t="str">
        <f>IF(AND(OR(N243="131",O243="131"),H243='131-CT'!$H$9),"x","")</f>
        <v/>
      </c>
      <c r="AC243" s="87"/>
      <c r="AD243" s="87" t="str">
        <f>IF(AND(MONTH(E243)='IN-NX'!$J$5,'IN-NX'!$D$7=D243),"x","")</f>
        <v/>
      </c>
      <c r="AE243" s="87" t="str">
        <f>IF(AND(OR(LEFT(TH!N243,2)="15",LEFT(TH!O243,2)="15"),'152-CT'!$J$8=TH!F243),"x","")</f>
        <v/>
      </c>
      <c r="AF243" s="87" t="str">
        <f>IF(AND(OR(LEFT(TH!N243,2)="15",LEFT(TH!O243,2)="15"),'THE KHO'!$E$7=TH!F243),"x","")</f>
        <v/>
      </c>
      <c r="AG243" s="87" t="str">
        <f>IF(AND(N243="1521",MONTH(C243)='BK NL'!$M$11),"x","")</f>
        <v/>
      </c>
    </row>
    <row r="244" spans="1:33" ht="15.75" customHeight="1">
      <c r="A244" s="399" t="str">
        <f>IF(B244&lt;&gt;"",IF(AND(B244&gt;=_TM1,B244&lt;=_TM2,OR(TH!N244="1111",TH!O244="1111")),TH!D244,""),"")</f>
        <v/>
      </c>
      <c r="B244" s="63">
        <f>IF(C244&lt;&gt;"",MONTH(C244),"")</f>
        <v>1</v>
      </c>
      <c r="C244" s="64">
        <v>42398</v>
      </c>
      <c r="D244" s="64" t="s">
        <v>770</v>
      </c>
      <c r="E244" s="64">
        <v>42398</v>
      </c>
      <c r="F244" s="67" t="s">
        <v>814</v>
      </c>
      <c r="G244" s="362" t="s">
        <v>998</v>
      </c>
      <c r="H244" s="96" t="s">
        <v>815</v>
      </c>
      <c r="I244" s="518"/>
      <c r="J244" s="518"/>
      <c r="K244" s="509">
        <v>52300</v>
      </c>
      <c r="L244" s="518">
        <f>M244/K244</f>
        <v>22220</v>
      </c>
      <c r="M244" s="65">
        <v>1162106000</v>
      </c>
      <c r="N244" s="66" t="s">
        <v>26</v>
      </c>
      <c r="O244" s="66" t="s">
        <v>276</v>
      </c>
      <c r="P244" s="87" t="str">
        <f>IF(AND('331-CT'!$E$7=TH!H244,OR(N244="331",O244="331")),"x","")</f>
        <v/>
      </c>
      <c r="Q244" s="87" t="str">
        <f>IF(AND(B244='111'!$L$11,OR($N244=$Q$7,$O244=$Q$7)),"x","")</f>
        <v/>
      </c>
      <c r="R244" s="87" t="str">
        <f>IF(AND($N244=$Q$7,$B244&lt;'111'!$L$11),"x","")</f>
        <v/>
      </c>
      <c r="S244" s="87" t="str">
        <f>IF(AND($O244=$Q$7,$B244&lt;'111'!$L$11),"x","")</f>
        <v/>
      </c>
      <c r="T244" s="87" t="str">
        <f>IF(ISERROR(FIND('112'!$M$9,G244,1)),"",IF((AND(FIND('112'!$M$9,G244,1)&gt;=1,B244='112'!$K$9,OR($N244='112'!$I$6,$O244='112'!$I$6))),"x",""))</f>
        <v/>
      </c>
      <c r="U244" s="87" t="str">
        <f>IF(ISERROR(FIND('112'!$M$9,G244,1)),"",IF((AND(FIND('112'!$M$9,G244,1)&gt;=1,B244&lt;'112'!$K$9,$N244='112'!$I$6)),"x",""))</f>
        <v/>
      </c>
      <c r="V244" s="87" t="str">
        <f>IF(ISERROR(FIND('112'!$M$9,G244,1)),"",IF((AND(FIND('112'!$M$9,G244,1)&gt;=1,B244&lt;'112'!$K$9,$O244='112'!$I$6)),"x",""))</f>
        <v/>
      </c>
      <c r="W244" s="87" t="str">
        <f>IF(AND($B244&gt;='1331'!$I$9,$B244&lt;='1331'!$J$9,OR($N244=$W$7,$O244=$W$7)),"x","")</f>
        <v/>
      </c>
      <c r="X244" s="87" t="str">
        <f>IF(AND($N244=$W$7,$B244&lt;'1331'!$I$9),"x","")</f>
        <v/>
      </c>
      <c r="Y244" s="87" t="str">
        <f>IF(AND($O244=$W$7,$B244&lt;'1331'!$I$9),"x","")</f>
        <v/>
      </c>
      <c r="Z244" s="87" t="str">
        <f>IF(AND('341-CT'!$H$9=H244,OR(LEFT(N244,3)=$Z$7,LEFT(O244,3)=$Z$7)),"x","")</f>
        <v/>
      </c>
      <c r="AA244" s="87" t="str">
        <f>IF(OR(TH!N244=TH!$AA$7,O244=TH!$AA$7),"x","")</f>
        <v/>
      </c>
      <c r="AB244" s="87" t="str">
        <f>IF(AND(OR(N244="131",O244="131"),H244='131-CT'!$H$9),"x","")</f>
        <v/>
      </c>
      <c r="AC244" s="87"/>
      <c r="AD244" s="87" t="str">
        <f>IF(AND(MONTH(E244)='IN-NX'!$J$5,'IN-NX'!$D$7=D244),"x","")</f>
        <v/>
      </c>
      <c r="AE244" s="87" t="str">
        <f>IF(AND(OR(LEFT(TH!N244,2)="15",LEFT(TH!O244,2)="15"),'152-CT'!$J$8=TH!F244),"x","")</f>
        <v/>
      </c>
      <c r="AF244" s="87" t="str">
        <f>IF(AND(OR(LEFT(TH!N244,2)="15",LEFT(TH!O244,2)="15"),'THE KHO'!$E$7=TH!F244),"x","")</f>
        <v/>
      </c>
      <c r="AG244" s="87" t="str">
        <f>IF(AND(N244="1521",MONTH(C244)='BK NL'!$M$11),"x","")</f>
        <v/>
      </c>
    </row>
    <row r="245" spans="1:33" ht="15.75" customHeight="1">
      <c r="A245" s="399" t="str">
        <f>IF(B245&lt;&gt;"",IF(AND(B245&gt;=_TM1,B245&lt;=_TM2,OR(TH!N245="1111",TH!O245="1111")),TH!D245,""),"")</f>
        <v>C37</v>
      </c>
      <c r="B245" s="63">
        <f>IF(C245&lt;&gt;"",MONTH(C245),"")</f>
        <v>1</v>
      </c>
      <c r="C245" s="64">
        <v>42398</v>
      </c>
      <c r="D245" s="64" t="s">
        <v>987</v>
      </c>
      <c r="E245" s="64">
        <v>42398</v>
      </c>
      <c r="F245" s="67" t="s">
        <v>812</v>
      </c>
      <c r="G245" s="362" t="s">
        <v>998</v>
      </c>
      <c r="H245" s="96" t="s">
        <v>842</v>
      </c>
      <c r="I245" s="518"/>
      <c r="J245" s="518"/>
      <c r="K245" s="509"/>
      <c r="L245" s="518"/>
      <c r="M245" s="65">
        <v>2000000</v>
      </c>
      <c r="N245" s="66" t="s">
        <v>26</v>
      </c>
      <c r="O245" s="66" t="s">
        <v>63</v>
      </c>
      <c r="P245" s="87" t="str">
        <f>IF(AND('331-CT'!$E$7=TH!H245,OR(N245="331",O245="331")),"x","")</f>
        <v/>
      </c>
      <c r="Q245" s="87" t="str">
        <f>IF(AND(B245='111'!$L$11,OR($N245=$Q$7,$O245=$Q$7)),"x","")</f>
        <v>x</v>
      </c>
      <c r="R245" s="87" t="str">
        <f>IF(AND($N245=$Q$7,$B245&lt;'111'!$L$11),"x","")</f>
        <v/>
      </c>
      <c r="S245" s="87" t="str">
        <f>IF(AND($O245=$Q$7,$B245&lt;'111'!$L$11),"x","")</f>
        <v/>
      </c>
      <c r="T245" s="87" t="str">
        <f>IF(ISERROR(FIND('112'!$M$9,G245,1)),"",IF((AND(FIND('112'!$M$9,G245,1)&gt;=1,B245='112'!$K$9,OR($N245='112'!$I$6,$O245='112'!$I$6))),"x",""))</f>
        <v/>
      </c>
      <c r="U245" s="87" t="str">
        <f>IF(ISERROR(FIND('112'!$M$9,G245,1)),"",IF((AND(FIND('112'!$M$9,G245,1)&gt;=1,B245&lt;'112'!$K$9,$N245='112'!$I$6)),"x",""))</f>
        <v/>
      </c>
      <c r="V245" s="87" t="str">
        <f>IF(ISERROR(FIND('112'!$M$9,G245,1)),"",IF((AND(FIND('112'!$M$9,G245,1)&gt;=1,B245&lt;'112'!$K$9,$O245='112'!$I$6)),"x",""))</f>
        <v/>
      </c>
      <c r="W245" s="87" t="str">
        <f>IF(AND($B245&gt;='1331'!$I$9,$B245&lt;='1331'!$J$9,OR($N245=$W$7,$O245=$W$7)),"x","")</f>
        <v/>
      </c>
      <c r="X245" s="87" t="str">
        <f>IF(AND($N245=$W$7,$B245&lt;'1331'!$I$9),"x","")</f>
        <v/>
      </c>
      <c r="Y245" s="87" t="str">
        <f>IF(AND($O245=$W$7,$B245&lt;'1331'!$I$9),"x","")</f>
        <v/>
      </c>
      <c r="Z245" s="87" t="str">
        <f>IF(AND('341-CT'!$H$9=H245,OR(LEFT(N245,3)=$Z$7,LEFT(O245,3)=$Z$7)),"x","")</f>
        <v/>
      </c>
      <c r="AA245" s="87" t="str">
        <f>IF(OR(TH!N245=TH!$AA$7,O245=TH!$AA$7),"x","")</f>
        <v/>
      </c>
      <c r="AB245" s="87" t="str">
        <f>IF(AND(OR(N245="131",O245="131"),H245='131-CT'!$H$9),"x","")</f>
        <v/>
      </c>
      <c r="AC245" s="87"/>
      <c r="AD245" s="87" t="str">
        <f>IF(AND(MONTH(E245)='IN-NX'!$J$5,'IN-NX'!$D$7=D245),"x","")</f>
        <v/>
      </c>
      <c r="AE245" s="87" t="str">
        <f>IF(AND(OR(LEFT(TH!N245,2)="15",LEFT(TH!O245,2)="15"),'152-CT'!$J$8=TH!F245),"x","")</f>
        <v/>
      </c>
      <c r="AF245" s="87" t="str">
        <f>IF(AND(OR(LEFT(TH!N245,2)="15",LEFT(TH!O245,2)="15"),'THE KHO'!$E$7=TH!F245),"x","")</f>
        <v/>
      </c>
      <c r="AG245" s="87" t="str">
        <f>IF(AND(N245="1521",MONTH(C245)='BK NL'!$M$11),"x","")</f>
        <v/>
      </c>
    </row>
    <row r="246" spans="1:33" ht="15.75" customHeight="1">
      <c r="A246" s="399" t="str">
        <f>IF(B246&lt;&gt;"",IF(AND(B246&gt;=_TM1,B246&lt;=_TM2,OR(TH!N246="1111",TH!O246="1111")),TH!D246,""),"")</f>
        <v>T05</v>
      </c>
      <c r="B246" s="63">
        <f>IF(C246&lt;&gt;"",MONTH(C246),"")</f>
        <v>1</v>
      </c>
      <c r="C246" s="64">
        <v>42398</v>
      </c>
      <c r="D246" s="64" t="s">
        <v>990</v>
      </c>
      <c r="E246" s="64">
        <v>42398</v>
      </c>
      <c r="F246" s="67" t="s">
        <v>821</v>
      </c>
      <c r="G246" s="362" t="s">
        <v>999</v>
      </c>
      <c r="H246" s="76" t="s">
        <v>842</v>
      </c>
      <c r="I246" s="518"/>
      <c r="J246" s="518"/>
      <c r="K246" s="509"/>
      <c r="L246" s="518"/>
      <c r="M246" s="65">
        <v>370000000</v>
      </c>
      <c r="N246" s="66" t="s">
        <v>63</v>
      </c>
      <c r="O246" s="66" t="s">
        <v>26</v>
      </c>
      <c r="P246" s="87" t="str">
        <f>IF(AND('331-CT'!$E$7=TH!H246,OR(N246="331",O246="331")),"x","")</f>
        <v/>
      </c>
      <c r="Q246" s="87" t="str">
        <f>IF(AND(B246='111'!$L$11,OR($N246=$Q$7,$O246=$Q$7)),"x","")</f>
        <v>x</v>
      </c>
      <c r="R246" s="87" t="str">
        <f>IF(AND($N246=$Q$7,$B246&lt;'111'!$L$11),"x","")</f>
        <v/>
      </c>
      <c r="S246" s="87" t="str">
        <f>IF(AND($O246=$Q$7,$B246&lt;'111'!$L$11),"x","")</f>
        <v/>
      </c>
      <c r="T246" s="87" t="str">
        <f>IF(ISERROR(FIND('112'!$M$9,G246,1)),"",IF((AND(FIND('112'!$M$9,G246,1)&gt;=1,B246='112'!$K$9,OR($N246='112'!$I$6,$O246='112'!$I$6))),"x",""))</f>
        <v>x</v>
      </c>
      <c r="U246" s="87" t="str">
        <f>IF(ISERROR(FIND('112'!$M$9,G246,1)),"",IF((AND(FIND('112'!$M$9,G246,1)&gt;=1,B246&lt;'112'!$K$9,$N246='112'!$I$6)),"x",""))</f>
        <v/>
      </c>
      <c r="V246" s="87" t="str">
        <f>IF(ISERROR(FIND('112'!$M$9,G246,1)),"",IF((AND(FIND('112'!$M$9,G246,1)&gt;=1,B246&lt;'112'!$K$9,$O246='112'!$I$6)),"x",""))</f>
        <v/>
      </c>
      <c r="W246" s="87" t="str">
        <f>IF(AND($B246&gt;='1331'!$I$9,$B246&lt;='1331'!$J$9,OR($N246=$W$7,$O246=$W$7)),"x","")</f>
        <v/>
      </c>
      <c r="X246" s="87" t="str">
        <f>IF(AND($N246=$W$7,$B246&lt;'1331'!$I$9),"x","")</f>
        <v/>
      </c>
      <c r="Y246" s="87" t="str">
        <f>IF(AND($O246=$W$7,$B246&lt;'1331'!$I$9),"x","")</f>
        <v/>
      </c>
      <c r="Z246" s="87" t="str">
        <f>IF(AND('341-CT'!$H$9=H246,OR(LEFT(N246,3)=$Z$7,LEFT(O246,3)=$Z$7)),"x","")</f>
        <v/>
      </c>
      <c r="AA246" s="87" t="str">
        <f>IF(OR(TH!N246=TH!$AA$7,O246=TH!$AA$7),"x","")</f>
        <v/>
      </c>
      <c r="AB246" s="87" t="str">
        <f>IF(AND(OR(N246="131",O246="131"),H246='131-CT'!$H$9),"x","")</f>
        <v/>
      </c>
      <c r="AC246" s="87"/>
      <c r="AD246" s="87" t="str">
        <f>IF(AND(MONTH(E246)='IN-NX'!$J$5,'IN-NX'!$D$7=D246),"x","")</f>
        <v/>
      </c>
      <c r="AE246" s="87" t="str">
        <f>IF(AND(OR(LEFT(TH!N246,2)="15",LEFT(TH!O246,2)="15"),'152-CT'!$J$8=TH!F246),"x","")</f>
        <v/>
      </c>
      <c r="AF246" s="87" t="str">
        <f>IF(AND(OR(LEFT(TH!N246,2)="15",LEFT(TH!O246,2)="15"),'THE KHO'!$E$7=TH!F246),"x","")</f>
        <v/>
      </c>
      <c r="AG246" s="87" t="str">
        <f>IF(AND(N246="1521",MONTH(C246)='BK NL'!$M$11),"x","")</f>
        <v/>
      </c>
    </row>
    <row r="247" spans="1:33" ht="15.75" customHeight="1">
      <c r="A247" s="399" t="str">
        <f>IF(B247&lt;&gt;"",IF(AND(B247&gt;=_TM1,B247&lt;=_TM2,OR(TH!N247="1111",TH!O247="1111")),TH!D247,""),"")</f>
        <v>T06</v>
      </c>
      <c r="B247" s="63">
        <f>IF(C247&lt;&gt;"",MONTH(C247),"")</f>
        <v>1</v>
      </c>
      <c r="C247" s="64">
        <v>42398</v>
      </c>
      <c r="D247" s="64" t="s">
        <v>997</v>
      </c>
      <c r="E247" s="64">
        <v>42398</v>
      </c>
      <c r="F247" s="67" t="s">
        <v>834</v>
      </c>
      <c r="G247" s="362" t="s">
        <v>998</v>
      </c>
      <c r="H247" s="76" t="s">
        <v>842</v>
      </c>
      <c r="I247" s="521"/>
      <c r="J247" s="521"/>
      <c r="K247" s="512"/>
      <c r="L247" s="521"/>
      <c r="M247" s="65">
        <v>1170000000</v>
      </c>
      <c r="N247" s="66" t="s">
        <v>63</v>
      </c>
      <c r="O247" s="66" t="s">
        <v>26</v>
      </c>
      <c r="P247" s="87" t="str">
        <f>IF(AND('331-CT'!$E$7=TH!H247,OR(N247="331",O247="331")),"x","")</f>
        <v/>
      </c>
      <c r="Q247" s="87" t="str">
        <f>IF(AND(B247='111'!$L$11,OR($N247=$Q$7,$O247=$Q$7)),"x","")</f>
        <v>x</v>
      </c>
      <c r="R247" s="87" t="str">
        <f>IF(AND($N247=$Q$7,$B247&lt;'111'!$L$11),"x","")</f>
        <v/>
      </c>
      <c r="S247" s="87" t="str">
        <f>IF(AND($O247=$Q$7,$B247&lt;'111'!$L$11),"x","")</f>
        <v/>
      </c>
      <c r="T247" s="87" t="str">
        <f>IF(ISERROR(FIND('112'!$M$9,G247,1)),"",IF((AND(FIND('112'!$M$9,G247,1)&gt;=1,B247='112'!$K$9,OR($N247='112'!$I$6,$O247='112'!$I$6))),"x",""))</f>
        <v/>
      </c>
      <c r="U247" s="87" t="str">
        <f>IF(ISERROR(FIND('112'!$M$9,G247,1)),"",IF((AND(FIND('112'!$M$9,G247,1)&gt;=1,B247&lt;'112'!$K$9,$N247='112'!$I$6)),"x",""))</f>
        <v/>
      </c>
      <c r="V247" s="87" t="str">
        <f>IF(ISERROR(FIND('112'!$M$9,G247,1)),"",IF((AND(FIND('112'!$M$9,G247,1)&gt;=1,B247&lt;'112'!$K$9,$O247='112'!$I$6)),"x",""))</f>
        <v/>
      </c>
      <c r="W247" s="87" t="str">
        <f>IF(AND($B247&gt;='1331'!$I$9,$B247&lt;='1331'!$J$9,OR($N247=$W$7,$O247=$W$7)),"x","")</f>
        <v/>
      </c>
      <c r="X247" s="87" t="str">
        <f>IF(AND($N247=$W$7,$B247&lt;'1331'!$I$9),"x","")</f>
        <v/>
      </c>
      <c r="Y247" s="87" t="str">
        <f>IF(AND($O247=$W$7,$B247&lt;'1331'!$I$9),"x","")</f>
        <v/>
      </c>
      <c r="Z247" s="87" t="str">
        <f>IF(AND('341-CT'!$H$9=H247,OR(LEFT(N247,3)=$Z$7,LEFT(O247,3)=$Z$7)),"x","")</f>
        <v/>
      </c>
      <c r="AA247" s="87" t="str">
        <f>IF(OR(TH!N247=TH!$AA$7,O247=TH!$AA$7),"x","")</f>
        <v/>
      </c>
      <c r="AB247" s="87" t="str">
        <f>IF(AND(OR(N247="131",O247="131"),H247='131-CT'!$H$9),"x","")</f>
        <v/>
      </c>
      <c r="AC247" s="87"/>
      <c r="AD247" s="87" t="str">
        <f>IF(AND(MONTH(E247)='IN-NX'!$J$5,'IN-NX'!$D$7=D247),"x","")</f>
        <v/>
      </c>
      <c r="AE247" s="87" t="str">
        <f>IF(AND(OR(LEFT(TH!N247,2)="15",LEFT(TH!O247,2)="15"),'152-CT'!$J$8=TH!F247),"x","")</f>
        <v/>
      </c>
      <c r="AF247" s="87" t="str">
        <f>IF(AND(OR(LEFT(TH!N247,2)="15",LEFT(TH!O247,2)="15"),'THE KHO'!$E$7=TH!F247),"x","")</f>
        <v/>
      </c>
      <c r="AG247" s="87" t="str">
        <f>IF(AND(N247="1521",MONTH(C247)='BK NL'!$M$11),"x","")</f>
        <v/>
      </c>
    </row>
    <row r="248" spans="1:33" ht="15.75" customHeight="1">
      <c r="A248" s="399" t="str">
        <f>IF(B248&lt;&gt;"",IF(AND(B248&gt;=_TM1,B248&lt;=_TM2,OR(TH!N248="1111",TH!O248="1111")),TH!D248,""),"")</f>
        <v/>
      </c>
      <c r="B248" s="63">
        <f>IF(C248&lt;&gt;"",MONTH(C248),"")</f>
        <v>1</v>
      </c>
      <c r="C248" s="64">
        <v>42398</v>
      </c>
      <c r="D248" s="64" t="s">
        <v>773</v>
      </c>
      <c r="E248" s="64">
        <v>42398</v>
      </c>
      <c r="F248" s="67" t="s">
        <v>839</v>
      </c>
      <c r="G248" s="362" t="s">
        <v>998</v>
      </c>
      <c r="H248" s="75"/>
      <c r="I248" s="518"/>
      <c r="J248" s="518"/>
      <c r="K248" s="509"/>
      <c r="L248" s="518"/>
      <c r="M248" s="65">
        <v>20000</v>
      </c>
      <c r="N248" s="66" t="s">
        <v>101</v>
      </c>
      <c r="O248" s="66" t="s">
        <v>26</v>
      </c>
      <c r="P248" s="87" t="str">
        <f>IF(AND('331-CT'!$E$7=TH!H248,OR(N248="331",O248="331")),"x","")</f>
        <v/>
      </c>
      <c r="Q248" s="87" t="str">
        <f>IF(AND(B248='111'!$L$11,OR($N248=$Q$7,$O248=$Q$7)),"x","")</f>
        <v/>
      </c>
      <c r="R248" s="87" t="str">
        <f>IF(AND($N248=$Q$7,$B248&lt;'111'!$L$11),"x","")</f>
        <v/>
      </c>
      <c r="S248" s="87" t="str">
        <f>IF(AND($O248=$Q$7,$B248&lt;'111'!$L$11),"x","")</f>
        <v/>
      </c>
      <c r="T248" s="87" t="str">
        <f>IF(ISERROR(FIND('112'!$M$9,G248,1)),"",IF((AND(FIND('112'!$M$9,G248,1)&gt;=1,B248='112'!$K$9,OR($N248='112'!$I$6,$O248='112'!$I$6))),"x",""))</f>
        <v/>
      </c>
      <c r="U248" s="87" t="str">
        <f>IF(ISERROR(FIND('112'!$M$9,G248,1)),"",IF((AND(FIND('112'!$M$9,G248,1)&gt;=1,B248&lt;'112'!$K$9,$N248='112'!$I$6)),"x",""))</f>
        <v/>
      </c>
      <c r="V248" s="87" t="str">
        <f>IF(ISERROR(FIND('112'!$M$9,G248,1)),"",IF((AND(FIND('112'!$M$9,G248,1)&gt;=1,B248&lt;'112'!$K$9,$O248='112'!$I$6)),"x",""))</f>
        <v/>
      </c>
      <c r="W248" s="87" t="str">
        <f>IF(AND($B248&gt;='1331'!$I$9,$B248&lt;='1331'!$J$9,OR($N248=$W$7,$O248=$W$7)),"x","")</f>
        <v/>
      </c>
      <c r="X248" s="87" t="str">
        <f>IF(AND($N248=$W$7,$B248&lt;'1331'!$I$9),"x","")</f>
        <v/>
      </c>
      <c r="Y248" s="87" t="str">
        <f>IF(AND($O248=$W$7,$B248&lt;'1331'!$I$9),"x","")</f>
        <v/>
      </c>
      <c r="Z248" s="87" t="str">
        <f>IF(AND('341-CT'!$H$9=H248,OR(LEFT(N248,3)=$Z$7,LEFT(O248,3)=$Z$7)),"x","")</f>
        <v/>
      </c>
      <c r="AA248" s="87" t="str">
        <f>IF(OR(TH!N248=TH!$AA$7,O248=TH!$AA$7),"x","")</f>
        <v/>
      </c>
      <c r="AB248" s="87" t="str">
        <f>IF(AND(OR(N248="131",O248="131"),H248='131-CT'!$H$9),"x","")</f>
        <v/>
      </c>
      <c r="AC248" s="87"/>
      <c r="AD248" s="87" t="str">
        <f>IF(AND(MONTH(E248)='IN-NX'!$J$5,'IN-NX'!$D$7=D248),"x","")</f>
        <v/>
      </c>
      <c r="AE248" s="87" t="str">
        <f>IF(AND(OR(LEFT(TH!N248,2)="15",LEFT(TH!O248,2)="15"),'152-CT'!$J$8=TH!F248),"x","")</f>
        <v/>
      </c>
      <c r="AF248" s="87" t="str">
        <f>IF(AND(OR(LEFT(TH!N248,2)="15",LEFT(TH!O248,2)="15"),'THE KHO'!$E$7=TH!F248),"x","")</f>
        <v/>
      </c>
      <c r="AG248" s="87" t="str">
        <f>IF(AND(N248="1521",MONTH(C248)='BK NL'!$M$11),"x","")</f>
        <v/>
      </c>
    </row>
    <row r="249" spans="1:33" ht="15.75" customHeight="1">
      <c r="A249" s="399" t="str">
        <f>IF(B249&lt;&gt;"",IF(AND(B249&gt;=_TM1,B249&lt;=_TM2,OR(TH!N249="1111",TH!O249="1111")),TH!D249,""),"")</f>
        <v/>
      </c>
      <c r="B249" s="63">
        <f>IF(C249&lt;&gt;"",MONTH(C249),"")</f>
        <v>1</v>
      </c>
      <c r="C249" s="64">
        <v>42398</v>
      </c>
      <c r="D249" s="64" t="s">
        <v>773</v>
      </c>
      <c r="E249" s="64">
        <v>42398</v>
      </c>
      <c r="F249" s="67" t="s">
        <v>840</v>
      </c>
      <c r="G249" s="362" t="s">
        <v>998</v>
      </c>
      <c r="H249" s="75"/>
      <c r="I249" s="518"/>
      <c r="J249" s="518"/>
      <c r="K249" s="509"/>
      <c r="L249" s="518"/>
      <c r="M249" s="65">
        <v>2000</v>
      </c>
      <c r="N249" s="66" t="s">
        <v>9</v>
      </c>
      <c r="O249" s="66" t="s">
        <v>26</v>
      </c>
      <c r="P249" s="87" t="str">
        <f>IF(AND('331-CT'!$E$7=TH!H249,OR(N249="331",O249="331")),"x","")</f>
        <v/>
      </c>
      <c r="Q249" s="87" t="str">
        <f>IF(AND(B249='111'!$L$11,OR($N249=$Q$7,$O249=$Q$7)),"x","")</f>
        <v/>
      </c>
      <c r="R249" s="87" t="str">
        <f>IF(AND($N249=$Q$7,$B249&lt;'111'!$L$11),"x","")</f>
        <v/>
      </c>
      <c r="S249" s="87" t="str">
        <f>IF(AND($O249=$Q$7,$B249&lt;'111'!$L$11),"x","")</f>
        <v/>
      </c>
      <c r="T249" s="87" t="str">
        <f>IF(ISERROR(FIND('112'!$M$9,G249,1)),"",IF((AND(FIND('112'!$M$9,G249,1)&gt;=1,B249='112'!$K$9,OR($N249='112'!$I$6,$O249='112'!$I$6))),"x",""))</f>
        <v/>
      </c>
      <c r="U249" s="87" t="str">
        <f>IF(ISERROR(FIND('112'!$M$9,G249,1)),"",IF((AND(FIND('112'!$M$9,G249,1)&gt;=1,B249&lt;'112'!$K$9,$N249='112'!$I$6)),"x",""))</f>
        <v/>
      </c>
      <c r="V249" s="87" t="str">
        <f>IF(ISERROR(FIND('112'!$M$9,G249,1)),"",IF((AND(FIND('112'!$M$9,G249,1)&gt;=1,B249&lt;'112'!$K$9,$O249='112'!$I$6)),"x",""))</f>
        <v/>
      </c>
      <c r="W249" s="87" t="str">
        <f>IF(AND($B249&gt;='1331'!$I$9,$B249&lt;='1331'!$J$9,OR($N249=$W$7,$O249=$W$7)),"x","")</f>
        <v>x</v>
      </c>
      <c r="X249" s="87" t="str">
        <f>IF(AND($N249=$W$7,$B249&lt;'1331'!$I$9),"x","")</f>
        <v/>
      </c>
      <c r="Y249" s="87" t="str">
        <f>IF(AND($O249=$W$7,$B249&lt;'1331'!$I$9),"x","")</f>
        <v/>
      </c>
      <c r="Z249" s="87" t="str">
        <f>IF(AND('341-CT'!$H$9=H249,OR(LEFT(N249,3)=$Z$7,LEFT(O249,3)=$Z$7)),"x","")</f>
        <v/>
      </c>
      <c r="AA249" s="87" t="str">
        <f>IF(OR(TH!N249=TH!$AA$7,O249=TH!$AA$7),"x","")</f>
        <v/>
      </c>
      <c r="AB249" s="87" t="str">
        <f>IF(AND(OR(N249="131",O249="131"),H249='131-CT'!$H$9),"x","")</f>
        <v/>
      </c>
      <c r="AC249" s="87"/>
      <c r="AD249" s="87" t="str">
        <f>IF(AND(MONTH(E249)='IN-NX'!$J$5,'IN-NX'!$D$7=D249),"x","")</f>
        <v/>
      </c>
      <c r="AE249" s="87" t="str">
        <f>IF(AND(OR(LEFT(TH!N249,2)="15",LEFT(TH!O249,2)="15"),'152-CT'!$J$8=TH!F249),"x","")</f>
        <v/>
      </c>
      <c r="AF249" s="87" t="str">
        <f>IF(AND(OR(LEFT(TH!N249,2)="15",LEFT(TH!O249,2)="15"),'THE KHO'!$E$7=TH!F249),"x","")</f>
        <v/>
      </c>
      <c r="AG249" s="87" t="str">
        <f>IF(AND(N249="1521",MONTH(C249)='BK NL'!$M$11),"x","")</f>
        <v/>
      </c>
    </row>
    <row r="250" spans="1:33" ht="15.75" customHeight="1">
      <c r="A250" s="399" t="str">
        <f>IF(B250&lt;&gt;"",IF(AND(B250&gt;=_TM1,B250&lt;=_TM2,OR(TH!N250="1111",TH!O250="1111")),TH!D250,""),"")</f>
        <v>C38</v>
      </c>
      <c r="B250" s="63">
        <f>IF(C250&lt;&gt;"",MONTH(C250),"")</f>
        <v>1</v>
      </c>
      <c r="C250" s="64">
        <v>42398</v>
      </c>
      <c r="D250" s="64" t="s">
        <v>988</v>
      </c>
      <c r="E250" s="64">
        <v>42398</v>
      </c>
      <c r="F250" s="67" t="s">
        <v>855</v>
      </c>
      <c r="G250" s="362" t="s">
        <v>920</v>
      </c>
      <c r="H250" s="409" t="s">
        <v>888</v>
      </c>
      <c r="I250" s="522"/>
      <c r="J250" s="522"/>
      <c r="K250" s="513"/>
      <c r="L250" s="522"/>
      <c r="M250" s="65">
        <v>660273</v>
      </c>
      <c r="N250" s="66" t="s">
        <v>101</v>
      </c>
      <c r="O250" s="66" t="s">
        <v>63</v>
      </c>
      <c r="P250" s="87" t="str">
        <f>IF(AND('331-CT'!$E$7=TH!H250,OR(N250="331",O250="331")),"x","")</f>
        <v/>
      </c>
      <c r="Q250" s="87" t="str">
        <f>IF(AND(B250='111'!$L$11,OR($N250=$Q$7,$O250=$Q$7)),"x","")</f>
        <v>x</v>
      </c>
      <c r="R250" s="87" t="str">
        <f>IF(AND($N250=$Q$7,$B250&lt;'111'!$L$11),"x","")</f>
        <v/>
      </c>
      <c r="S250" s="87" t="str">
        <f>IF(AND($O250=$Q$7,$B250&lt;'111'!$L$11),"x","")</f>
        <v/>
      </c>
      <c r="T250" s="87" t="str">
        <f>IF(ISERROR(FIND('112'!$M$9,G250,1)),"",IF((AND(FIND('112'!$M$9,G250,1)&gt;=1,B250='112'!$K$9,OR($N250='112'!$I$6,$O250='112'!$I$6))),"x",""))</f>
        <v/>
      </c>
      <c r="U250" s="87" t="str">
        <f>IF(ISERROR(FIND('112'!$M$9,G250,1)),"",IF((AND(FIND('112'!$M$9,G250,1)&gt;=1,B250&lt;'112'!$K$9,$N250='112'!$I$6)),"x",""))</f>
        <v/>
      </c>
      <c r="V250" s="87" t="str">
        <f>IF(ISERROR(FIND('112'!$M$9,G250,1)),"",IF((AND(FIND('112'!$M$9,G250,1)&gt;=1,B250&lt;'112'!$K$9,$O250='112'!$I$6)),"x",""))</f>
        <v/>
      </c>
      <c r="W250" s="87" t="str">
        <f>IF(AND($B250&gt;='1331'!$I$9,$B250&lt;='1331'!$J$9,OR($N250=$W$7,$O250=$W$7)),"x","")</f>
        <v/>
      </c>
      <c r="X250" s="87" t="str">
        <f>IF(AND($N250=$W$7,$B250&lt;'1331'!$I$9),"x","")</f>
        <v/>
      </c>
      <c r="Y250" s="87" t="str">
        <f>IF(AND($O250=$W$7,$B250&lt;'1331'!$I$9),"x","")</f>
        <v/>
      </c>
      <c r="Z250" s="87" t="str">
        <f>IF(AND('341-CT'!$H$9=H250,OR(LEFT(N250,3)=$Z$7,LEFT(O250,3)=$Z$7)),"x","")</f>
        <v/>
      </c>
      <c r="AA250" s="87" t="str">
        <f>IF(OR(TH!N250=TH!$AA$7,O250=TH!$AA$7),"x","")</f>
        <v/>
      </c>
      <c r="AB250" s="87" t="str">
        <f>IF(AND(OR(N250="131",O250="131"),H250='131-CT'!$H$9),"x","")</f>
        <v/>
      </c>
      <c r="AC250" s="87"/>
      <c r="AD250" s="87" t="str">
        <f>IF(AND(MONTH(E250)='IN-NX'!$J$5,'IN-NX'!$D$7=D250),"x","")</f>
        <v/>
      </c>
      <c r="AE250" s="87" t="str">
        <f>IF(AND(OR(LEFT(TH!N250,2)="15",LEFT(TH!O250,2)="15"),'152-CT'!$J$8=TH!F250),"x","")</f>
        <v/>
      </c>
      <c r="AF250" s="87" t="str">
        <f>IF(AND(OR(LEFT(TH!N250,2)="15",LEFT(TH!O250,2)="15"),'THE KHO'!$E$7=TH!F250),"x","")</f>
        <v/>
      </c>
      <c r="AG250" s="87" t="str">
        <f>IF(AND(N250="1521",MONTH(C250)='BK NL'!$M$11),"x","")</f>
        <v/>
      </c>
    </row>
    <row r="251" spans="1:33" ht="15.75" customHeight="1">
      <c r="A251" s="399" t="str">
        <f>IF(B251&lt;&gt;"",IF(AND(B251&gt;=_TM1,B251&lt;=_TM2,OR(TH!N251="1111",TH!O251="1111")),TH!D251,""),"")</f>
        <v>C38</v>
      </c>
      <c r="B251" s="63">
        <f>IF(C251&lt;&gt;"",MONTH(C251),"")</f>
        <v>1</v>
      </c>
      <c r="C251" s="64">
        <v>42398</v>
      </c>
      <c r="D251" s="64" t="s">
        <v>988</v>
      </c>
      <c r="E251" s="64">
        <v>42398</v>
      </c>
      <c r="F251" s="67" t="s">
        <v>856</v>
      </c>
      <c r="G251" s="362" t="s">
        <v>920</v>
      </c>
      <c r="H251" s="75" t="s">
        <v>888</v>
      </c>
      <c r="I251" s="518"/>
      <c r="J251" s="518"/>
      <c r="K251" s="509"/>
      <c r="L251" s="518"/>
      <c r="M251" s="65">
        <v>66027</v>
      </c>
      <c r="N251" s="66" t="s">
        <v>9</v>
      </c>
      <c r="O251" s="66" t="s">
        <v>63</v>
      </c>
      <c r="P251" s="87" t="str">
        <f>IF(AND('331-CT'!$E$7=TH!H251,OR(N251="331",O251="331")),"x","")</f>
        <v/>
      </c>
      <c r="Q251" s="87" t="str">
        <f>IF(AND(B251='111'!$L$11,OR($N251=$Q$7,$O251=$Q$7)),"x","")</f>
        <v>x</v>
      </c>
      <c r="R251" s="87" t="str">
        <f>IF(AND($N251=$Q$7,$B251&lt;'111'!$L$11),"x","")</f>
        <v/>
      </c>
      <c r="S251" s="87" t="str">
        <f>IF(AND($O251=$Q$7,$B251&lt;'111'!$L$11),"x","")</f>
        <v/>
      </c>
      <c r="T251" s="87" t="str">
        <f>IF(ISERROR(FIND('112'!$M$9,G251,1)),"",IF((AND(FIND('112'!$M$9,G251,1)&gt;=1,B251='112'!$K$9,OR($N251='112'!$I$6,$O251='112'!$I$6))),"x",""))</f>
        <v/>
      </c>
      <c r="U251" s="87" t="str">
        <f>IF(ISERROR(FIND('112'!$M$9,G251,1)),"",IF((AND(FIND('112'!$M$9,G251,1)&gt;=1,B251&lt;'112'!$K$9,$N251='112'!$I$6)),"x",""))</f>
        <v/>
      </c>
      <c r="V251" s="87" t="str">
        <f>IF(ISERROR(FIND('112'!$M$9,G251,1)),"",IF((AND(FIND('112'!$M$9,G251,1)&gt;=1,B251&lt;'112'!$K$9,$O251='112'!$I$6)),"x",""))</f>
        <v/>
      </c>
      <c r="W251" s="87" t="str">
        <f>IF(AND($B251&gt;='1331'!$I$9,$B251&lt;='1331'!$J$9,OR($N251=$W$7,$O251=$W$7)),"x","")</f>
        <v>x</v>
      </c>
      <c r="X251" s="87" t="str">
        <f>IF(AND($N251=$W$7,$B251&lt;'1331'!$I$9),"x","")</f>
        <v/>
      </c>
      <c r="Y251" s="87" t="str">
        <f>IF(AND($O251=$W$7,$B251&lt;'1331'!$I$9),"x","")</f>
        <v/>
      </c>
      <c r="Z251" s="87" t="str">
        <f>IF(AND('341-CT'!$H$9=H251,OR(LEFT(N251,3)=$Z$7,LEFT(O251,3)=$Z$7)),"x","")</f>
        <v/>
      </c>
      <c r="AA251" s="87" t="str">
        <f>IF(OR(TH!N251=TH!$AA$7,O251=TH!$AA$7),"x","")</f>
        <v/>
      </c>
      <c r="AB251" s="87" t="str">
        <f>IF(AND(OR(N251="131",O251="131"),H251='131-CT'!$H$9),"x","")</f>
        <v/>
      </c>
      <c r="AC251" s="87"/>
      <c r="AD251" s="87" t="str">
        <f>IF(AND(MONTH(E251)='IN-NX'!$J$5,'IN-NX'!$D$7=D251),"x","")</f>
        <v/>
      </c>
      <c r="AE251" s="87" t="str">
        <f>IF(AND(OR(LEFT(TH!N251,2)="15",LEFT(TH!O251,2)="15"),'152-CT'!$J$8=TH!F251),"x","")</f>
        <v/>
      </c>
      <c r="AF251" s="87" t="str">
        <f>IF(AND(OR(LEFT(TH!N251,2)="15",LEFT(TH!O251,2)="15"),'THE KHO'!$E$7=TH!F251),"x","")</f>
        <v/>
      </c>
      <c r="AG251" s="87" t="str">
        <f>IF(AND(N251="1521",MONTH(C251)='BK NL'!$M$11),"x","")</f>
        <v/>
      </c>
    </row>
    <row r="252" spans="1:33" ht="15.75" customHeight="1">
      <c r="A252" s="399" t="str">
        <f>IF(B252&lt;&gt;"",IF(AND(B252&gt;=_TM1,B252&lt;=_TM2,OR(TH!N252="1111",TH!O252="1111")),TH!D252,""),"")</f>
        <v/>
      </c>
      <c r="B252" s="63">
        <f>IF(C252&lt;&gt;"",MONTH(C252),"")</f>
        <v>1</v>
      </c>
      <c r="C252" s="64">
        <v>42399</v>
      </c>
      <c r="D252" s="64" t="s">
        <v>773</v>
      </c>
      <c r="E252" s="64">
        <v>42399</v>
      </c>
      <c r="F252" s="67" t="s">
        <v>832</v>
      </c>
      <c r="G252" s="362" t="s">
        <v>999</v>
      </c>
      <c r="H252" s="76" t="s">
        <v>701</v>
      </c>
      <c r="I252" s="521"/>
      <c r="J252" s="521"/>
      <c r="K252" s="512"/>
      <c r="L252" s="521"/>
      <c r="M252" s="65">
        <v>56980000</v>
      </c>
      <c r="N252" s="66" t="s">
        <v>8</v>
      </c>
      <c r="O252" s="66" t="s">
        <v>26</v>
      </c>
      <c r="P252" s="87" t="str">
        <f>IF(AND('331-CT'!$E$7=TH!H252,OR(N252="331",O252="331")),"x","")</f>
        <v/>
      </c>
      <c r="Q252" s="87" t="str">
        <f>IF(AND(B252='111'!$L$11,OR($N252=$Q$7,$O252=$Q$7)),"x","")</f>
        <v/>
      </c>
      <c r="R252" s="87" t="str">
        <f>IF(AND($N252=$Q$7,$B252&lt;'111'!$L$11),"x","")</f>
        <v/>
      </c>
      <c r="S252" s="87" t="str">
        <f>IF(AND($O252=$Q$7,$B252&lt;'111'!$L$11),"x","")</f>
        <v/>
      </c>
      <c r="T252" s="87" t="str">
        <f>IF(ISERROR(FIND('112'!$M$9,G252,1)),"",IF((AND(FIND('112'!$M$9,G252,1)&gt;=1,B252='112'!$K$9,OR($N252='112'!$I$6,$O252='112'!$I$6))),"x",""))</f>
        <v>x</v>
      </c>
      <c r="U252" s="87" t="str">
        <f>IF(ISERROR(FIND('112'!$M$9,G252,1)),"",IF((AND(FIND('112'!$M$9,G252,1)&gt;=1,B252&lt;'112'!$K$9,$N252='112'!$I$6)),"x",""))</f>
        <v/>
      </c>
      <c r="V252" s="87" t="str">
        <f>IF(ISERROR(FIND('112'!$M$9,G252,1)),"",IF((AND(FIND('112'!$M$9,G252,1)&gt;=1,B252&lt;'112'!$K$9,$O252='112'!$I$6)),"x",""))</f>
        <v/>
      </c>
      <c r="W252" s="87" t="str">
        <f>IF(AND($B252&gt;='1331'!$I$9,$B252&lt;='1331'!$J$9,OR($N252=$W$7,$O252=$W$7)),"x","")</f>
        <v/>
      </c>
      <c r="X252" s="87" t="str">
        <f>IF(AND($N252=$W$7,$B252&lt;'1331'!$I$9),"x","")</f>
        <v/>
      </c>
      <c r="Y252" s="87" t="str">
        <f>IF(AND($O252=$W$7,$B252&lt;'1331'!$I$9),"x","")</f>
        <v/>
      </c>
      <c r="Z252" s="87" t="str">
        <f>IF(AND('341-CT'!$H$9=H252,OR(LEFT(N252,3)=$Z$7,LEFT(O252,3)=$Z$7)),"x","")</f>
        <v/>
      </c>
      <c r="AA252" s="87" t="str">
        <f>IF(OR(TH!N252=TH!$AA$7,O252=TH!$AA$7),"x","")</f>
        <v/>
      </c>
      <c r="AB252" s="87" t="str">
        <f>IF(AND(OR(N252="131",O252="131"),H252='131-CT'!$H$9),"x","")</f>
        <v/>
      </c>
      <c r="AC252" s="87"/>
      <c r="AD252" s="87" t="str">
        <f>IF(AND(MONTH(E252)='IN-NX'!$J$5,'IN-NX'!$D$7=D252),"x","")</f>
        <v/>
      </c>
      <c r="AE252" s="87" t="str">
        <f>IF(AND(OR(LEFT(TH!N252,2)="15",LEFT(TH!O252,2)="15"),'152-CT'!$J$8=TH!F252),"x","")</f>
        <v/>
      </c>
      <c r="AF252" s="87" t="str">
        <f>IF(AND(OR(LEFT(TH!N252,2)="15",LEFT(TH!O252,2)="15"),'THE KHO'!$E$7=TH!F252),"x","")</f>
        <v/>
      </c>
      <c r="AG252" s="87" t="str">
        <f>IF(AND(N252="1521",MONTH(C252)='BK NL'!$M$11),"x","")</f>
        <v/>
      </c>
    </row>
    <row r="253" spans="1:33" ht="15.75" customHeight="1">
      <c r="A253" s="399" t="str">
        <f>IF(B253&lt;&gt;"",IF(AND(B253&gt;=_TM1,B253&lt;=_TM2,OR(TH!N253="1111",TH!O253="1111")),TH!D253,""),"")</f>
        <v/>
      </c>
      <c r="B253" s="63">
        <f>IF(C253&lt;&gt;"",MONTH(C253),"")</f>
        <v>1</v>
      </c>
      <c r="C253" s="64">
        <v>42399</v>
      </c>
      <c r="D253" s="64" t="s">
        <v>773</v>
      </c>
      <c r="E253" s="64">
        <v>42399</v>
      </c>
      <c r="F253" s="67" t="s">
        <v>817</v>
      </c>
      <c r="G253" s="362" t="s">
        <v>999</v>
      </c>
      <c r="H253" s="75"/>
      <c r="I253" s="518"/>
      <c r="J253" s="518"/>
      <c r="K253" s="509"/>
      <c r="L253" s="518"/>
      <c r="M253" s="65">
        <v>28490</v>
      </c>
      <c r="N253" s="66" t="s">
        <v>101</v>
      </c>
      <c r="O253" s="66" t="s">
        <v>26</v>
      </c>
      <c r="P253" s="87" t="str">
        <f>IF(AND('331-CT'!$E$7=TH!H253,OR(N253="331",O253="331")),"x","")</f>
        <v/>
      </c>
      <c r="Q253" s="87" t="str">
        <f>IF(AND(B253='111'!$L$11,OR($N253=$Q$7,$O253=$Q$7)),"x","")</f>
        <v/>
      </c>
      <c r="R253" s="87" t="str">
        <f>IF(AND($N253=$Q$7,$B253&lt;'111'!$L$11),"x","")</f>
        <v/>
      </c>
      <c r="S253" s="87" t="str">
        <f>IF(AND($O253=$Q$7,$B253&lt;'111'!$L$11),"x","")</f>
        <v/>
      </c>
      <c r="T253" s="87" t="str">
        <f>IF(ISERROR(FIND('112'!$M$9,G253,1)),"",IF((AND(FIND('112'!$M$9,G253,1)&gt;=1,B253='112'!$K$9,OR($N253='112'!$I$6,$O253='112'!$I$6))),"x",""))</f>
        <v>x</v>
      </c>
      <c r="U253" s="87" t="str">
        <f>IF(ISERROR(FIND('112'!$M$9,G253,1)),"",IF((AND(FIND('112'!$M$9,G253,1)&gt;=1,B253&lt;'112'!$K$9,$N253='112'!$I$6)),"x",""))</f>
        <v/>
      </c>
      <c r="V253" s="87" t="str">
        <f>IF(ISERROR(FIND('112'!$M$9,G253,1)),"",IF((AND(FIND('112'!$M$9,G253,1)&gt;=1,B253&lt;'112'!$K$9,$O253='112'!$I$6)),"x",""))</f>
        <v/>
      </c>
      <c r="W253" s="87" t="str">
        <f>IF(AND($B253&gt;='1331'!$I$9,$B253&lt;='1331'!$J$9,OR($N253=$W$7,$O253=$W$7)),"x","")</f>
        <v/>
      </c>
      <c r="X253" s="87" t="str">
        <f>IF(AND($N253=$W$7,$B253&lt;'1331'!$I$9),"x","")</f>
        <v/>
      </c>
      <c r="Y253" s="87" t="str">
        <f>IF(AND($O253=$W$7,$B253&lt;'1331'!$I$9),"x","")</f>
        <v/>
      </c>
      <c r="Z253" s="87" t="str">
        <f>IF(AND('341-CT'!$H$9=H253,OR(LEFT(N253,3)=$Z$7,LEFT(O253,3)=$Z$7)),"x","")</f>
        <v/>
      </c>
      <c r="AA253" s="87" t="str">
        <f>IF(OR(TH!N253=TH!$AA$7,O253=TH!$AA$7),"x","")</f>
        <v/>
      </c>
      <c r="AB253" s="87" t="str">
        <f>IF(AND(OR(N253="131",O253="131"),H253='131-CT'!$H$9),"x","")</f>
        <v/>
      </c>
      <c r="AC253" s="87"/>
      <c r="AD253" s="87" t="str">
        <f>IF(AND(MONTH(E253)='IN-NX'!$J$5,'IN-NX'!$D$7=D253),"x","")</f>
        <v/>
      </c>
      <c r="AE253" s="87" t="str">
        <f>IF(AND(OR(LEFT(TH!N253,2)="15",LEFT(TH!O253,2)="15"),'152-CT'!$J$8=TH!F253),"x","")</f>
        <v/>
      </c>
      <c r="AF253" s="87" t="str">
        <f>IF(AND(OR(LEFT(TH!N253,2)="15",LEFT(TH!O253,2)="15"),'THE KHO'!$E$7=TH!F253),"x","")</f>
        <v/>
      </c>
      <c r="AG253" s="87" t="str">
        <f>IF(AND(N253="1521",MONTH(C253)='BK NL'!$M$11),"x","")</f>
        <v/>
      </c>
    </row>
    <row r="254" spans="1:33" ht="15.75" customHeight="1">
      <c r="A254" s="399" t="str">
        <f>IF(B254&lt;&gt;"",IF(AND(B254&gt;=_TM1,B254&lt;=_TM2,OR(TH!N254="1111",TH!O254="1111")),TH!D254,""),"")</f>
        <v/>
      </c>
      <c r="B254" s="63">
        <f>IF(C254&lt;&gt;"",MONTH(C254),"")</f>
        <v>1</v>
      </c>
      <c r="C254" s="64">
        <v>42399</v>
      </c>
      <c r="D254" s="64" t="s">
        <v>773</v>
      </c>
      <c r="E254" s="64">
        <v>42399</v>
      </c>
      <c r="F254" s="70" t="s">
        <v>820</v>
      </c>
      <c r="G254" s="362" t="s">
        <v>999</v>
      </c>
      <c r="H254" s="75"/>
      <c r="I254" s="518"/>
      <c r="J254" s="518"/>
      <c r="K254" s="509"/>
      <c r="L254" s="518"/>
      <c r="M254" s="65">
        <v>2849</v>
      </c>
      <c r="N254" s="66" t="s">
        <v>9</v>
      </c>
      <c r="O254" s="66" t="s">
        <v>26</v>
      </c>
      <c r="P254" s="87" t="str">
        <f>IF(AND('331-CT'!$E$7=TH!H254,OR(N254="331",O254="331")),"x","")</f>
        <v/>
      </c>
      <c r="Q254" s="87" t="str">
        <f>IF(AND(B254='111'!$L$11,OR($N254=$Q$7,$O254=$Q$7)),"x","")</f>
        <v/>
      </c>
      <c r="R254" s="87" t="str">
        <f>IF(AND($N254=$Q$7,$B254&lt;'111'!$L$11),"x","")</f>
        <v/>
      </c>
      <c r="S254" s="87" t="str">
        <f>IF(AND($O254=$Q$7,$B254&lt;'111'!$L$11),"x","")</f>
        <v/>
      </c>
      <c r="T254" s="87" t="str">
        <f>IF(ISERROR(FIND('112'!$M$9,G254,1)),"",IF((AND(FIND('112'!$M$9,G254,1)&gt;=1,B254='112'!$K$9,OR($N254='112'!$I$6,$O254='112'!$I$6))),"x",""))</f>
        <v>x</v>
      </c>
      <c r="U254" s="87" t="str">
        <f>IF(ISERROR(FIND('112'!$M$9,G254,1)),"",IF((AND(FIND('112'!$M$9,G254,1)&gt;=1,B254&lt;'112'!$K$9,$N254='112'!$I$6)),"x",""))</f>
        <v/>
      </c>
      <c r="V254" s="87" t="str">
        <f>IF(ISERROR(FIND('112'!$M$9,G254,1)),"",IF((AND(FIND('112'!$M$9,G254,1)&gt;=1,B254&lt;'112'!$K$9,$O254='112'!$I$6)),"x",""))</f>
        <v/>
      </c>
      <c r="W254" s="87" t="str">
        <f>IF(AND($B254&gt;='1331'!$I$9,$B254&lt;='1331'!$J$9,OR($N254=$W$7,$O254=$W$7)),"x","")</f>
        <v>x</v>
      </c>
      <c r="X254" s="87" t="str">
        <f>IF(AND($N254=$W$7,$B254&lt;'1331'!$I$9),"x","")</f>
        <v/>
      </c>
      <c r="Y254" s="87" t="str">
        <f>IF(AND($O254=$W$7,$B254&lt;'1331'!$I$9),"x","")</f>
        <v/>
      </c>
      <c r="Z254" s="87" t="str">
        <f>IF(AND('341-CT'!$H$9=H254,OR(LEFT(N254,3)=$Z$7,LEFT(O254,3)=$Z$7)),"x","")</f>
        <v/>
      </c>
      <c r="AA254" s="87" t="str">
        <f>IF(OR(TH!N254=TH!$AA$7,O254=TH!$AA$7),"x","")</f>
        <v/>
      </c>
      <c r="AB254" s="87" t="str">
        <f>IF(AND(OR(N254="131",O254="131"),H254='131-CT'!$H$9),"x","")</f>
        <v/>
      </c>
      <c r="AC254" s="87"/>
      <c r="AD254" s="87" t="str">
        <f>IF(AND(MONTH(E254)='IN-NX'!$J$5,'IN-NX'!$D$7=D254),"x","")</f>
        <v/>
      </c>
      <c r="AE254" s="87" t="str">
        <f>IF(AND(OR(LEFT(TH!N254,2)="15",LEFT(TH!O254,2)="15"),'152-CT'!$J$8=TH!F254),"x","")</f>
        <v/>
      </c>
      <c r="AF254" s="87" t="str">
        <f>IF(AND(OR(LEFT(TH!N254,2)="15",LEFT(TH!O254,2)="15"),'THE KHO'!$E$7=TH!F254),"x","")</f>
        <v/>
      </c>
      <c r="AG254" s="87" t="str">
        <f>IF(AND(N254="1521",MONTH(C254)='BK NL'!$M$11),"x","")</f>
        <v/>
      </c>
    </row>
    <row r="255" spans="1:33" ht="15.75" customHeight="1">
      <c r="A255" s="399" t="str">
        <f>IF(B255&lt;&gt;"",IF(AND(B255&gt;=_TM1,B255&lt;=_TM2,OR(TH!N255="1111",TH!O255="1111")),TH!D255,""),"")</f>
        <v/>
      </c>
      <c r="B255" s="63">
        <f>IF(C255&lt;&gt;"",MONTH(C255),"")</f>
        <v>1</v>
      </c>
      <c r="C255" s="64">
        <v>42399</v>
      </c>
      <c r="D255" s="64" t="s">
        <v>773</v>
      </c>
      <c r="E255" s="64">
        <v>42399</v>
      </c>
      <c r="F255" s="67" t="s">
        <v>833</v>
      </c>
      <c r="G255" s="362" t="s">
        <v>999</v>
      </c>
      <c r="H255" s="77" t="s">
        <v>691</v>
      </c>
      <c r="I255" s="520"/>
      <c r="J255" s="520"/>
      <c r="K255" s="511"/>
      <c r="L255" s="520"/>
      <c r="M255" s="65">
        <v>1300000</v>
      </c>
      <c r="N255" s="66" t="s">
        <v>8</v>
      </c>
      <c r="O255" s="66" t="s">
        <v>26</v>
      </c>
      <c r="P255" s="87" t="str">
        <f>IF(AND('331-CT'!$E$7=TH!H255,OR(N255="331",O255="331")),"x","")</f>
        <v>x</v>
      </c>
      <c r="Q255" s="87" t="str">
        <f>IF(AND(B255='111'!$L$11,OR($N255=$Q$7,$O255=$Q$7)),"x","")</f>
        <v/>
      </c>
      <c r="R255" s="87" t="str">
        <f>IF(AND($N255=$Q$7,$B255&lt;'111'!$L$11),"x","")</f>
        <v/>
      </c>
      <c r="S255" s="87" t="str">
        <f>IF(AND($O255=$Q$7,$B255&lt;'111'!$L$11),"x","")</f>
        <v/>
      </c>
      <c r="T255" s="87" t="str">
        <f>IF(ISERROR(FIND('112'!$M$9,G255,1)),"",IF((AND(FIND('112'!$M$9,G255,1)&gt;=1,B255='112'!$K$9,OR($N255='112'!$I$6,$O255='112'!$I$6))),"x",""))</f>
        <v>x</v>
      </c>
      <c r="U255" s="87" t="str">
        <f>IF(ISERROR(FIND('112'!$M$9,G255,1)),"",IF((AND(FIND('112'!$M$9,G255,1)&gt;=1,B255&lt;'112'!$K$9,$N255='112'!$I$6)),"x",""))</f>
        <v/>
      </c>
      <c r="V255" s="87" t="str">
        <f>IF(ISERROR(FIND('112'!$M$9,G255,1)),"",IF((AND(FIND('112'!$M$9,G255,1)&gt;=1,B255&lt;'112'!$K$9,$O255='112'!$I$6)),"x",""))</f>
        <v/>
      </c>
      <c r="W255" s="87" t="str">
        <f>IF(AND($B255&gt;='1331'!$I$9,$B255&lt;='1331'!$J$9,OR($N255=$W$7,$O255=$W$7)),"x","")</f>
        <v/>
      </c>
      <c r="X255" s="87" t="str">
        <f>IF(AND($N255=$W$7,$B255&lt;'1331'!$I$9),"x","")</f>
        <v/>
      </c>
      <c r="Y255" s="87" t="str">
        <f>IF(AND($O255=$W$7,$B255&lt;'1331'!$I$9),"x","")</f>
        <v/>
      </c>
      <c r="Z255" s="87" t="str">
        <f>IF(AND('341-CT'!$H$9=H255,OR(LEFT(N255,3)=$Z$7,LEFT(O255,3)=$Z$7)),"x","")</f>
        <v/>
      </c>
      <c r="AA255" s="87" t="str">
        <f>IF(OR(TH!N255=TH!$AA$7,O255=TH!$AA$7),"x","")</f>
        <v/>
      </c>
      <c r="AB255" s="87" t="str">
        <f>IF(AND(OR(N255="131",O255="131"),H255='131-CT'!$H$9),"x","")</f>
        <v/>
      </c>
      <c r="AC255" s="87"/>
      <c r="AD255" s="87" t="str">
        <f>IF(AND(MONTH(E255)='IN-NX'!$J$5,'IN-NX'!$D$7=D255),"x","")</f>
        <v/>
      </c>
      <c r="AE255" s="87" t="str">
        <f>IF(AND(OR(LEFT(TH!N255,2)="15",LEFT(TH!O255,2)="15"),'152-CT'!$J$8=TH!F255),"x","")</f>
        <v/>
      </c>
      <c r="AF255" s="87" t="str">
        <f>IF(AND(OR(LEFT(TH!N255,2)="15",LEFT(TH!O255,2)="15"),'THE KHO'!$E$7=TH!F255),"x","")</f>
        <v/>
      </c>
      <c r="AG255" s="87" t="str">
        <f>IF(AND(N255="1521",MONTH(C255)='BK NL'!$M$11),"x","")</f>
        <v/>
      </c>
    </row>
    <row r="256" spans="1:33" ht="15.75" customHeight="1">
      <c r="A256" s="399" t="str">
        <f>IF(B256&lt;&gt;"",IF(AND(B256&gt;=_TM1,B256&lt;=_TM2,OR(TH!N256="1111",TH!O256="1111")),TH!D256,""),"")</f>
        <v/>
      </c>
      <c r="B256" s="63">
        <f>IF(C256&lt;&gt;"",MONTH(C256),"")</f>
        <v>1</v>
      </c>
      <c r="C256" s="64">
        <v>42399</v>
      </c>
      <c r="D256" s="64" t="s">
        <v>773</v>
      </c>
      <c r="E256" s="64">
        <v>42399</v>
      </c>
      <c r="F256" s="67" t="s">
        <v>817</v>
      </c>
      <c r="G256" s="362" t="s">
        <v>999</v>
      </c>
      <c r="H256" s="77"/>
      <c r="I256" s="520"/>
      <c r="J256" s="520"/>
      <c r="K256" s="511"/>
      <c r="L256" s="520"/>
      <c r="M256" s="65">
        <v>20000</v>
      </c>
      <c r="N256" s="66" t="s">
        <v>101</v>
      </c>
      <c r="O256" s="66" t="s">
        <v>26</v>
      </c>
      <c r="P256" s="87" t="str">
        <f>IF(AND('331-CT'!$E$7=TH!H256,OR(N256="331",O256="331")),"x","")</f>
        <v/>
      </c>
      <c r="Q256" s="87" t="str">
        <f>IF(AND(B256='111'!$L$11,OR($N256=$Q$7,$O256=$Q$7)),"x","")</f>
        <v/>
      </c>
      <c r="R256" s="87" t="str">
        <f>IF(AND($N256=$Q$7,$B256&lt;'111'!$L$11),"x","")</f>
        <v/>
      </c>
      <c r="S256" s="87" t="str">
        <f>IF(AND($O256=$Q$7,$B256&lt;'111'!$L$11),"x","")</f>
        <v/>
      </c>
      <c r="T256" s="87" t="str">
        <f>IF(ISERROR(FIND('112'!$M$9,G256,1)),"",IF((AND(FIND('112'!$M$9,G256,1)&gt;=1,B256='112'!$K$9,OR($N256='112'!$I$6,$O256='112'!$I$6))),"x",""))</f>
        <v>x</v>
      </c>
      <c r="U256" s="87" t="str">
        <f>IF(ISERROR(FIND('112'!$M$9,G256,1)),"",IF((AND(FIND('112'!$M$9,G256,1)&gt;=1,B256&lt;'112'!$K$9,$N256='112'!$I$6)),"x",""))</f>
        <v/>
      </c>
      <c r="V256" s="87" t="str">
        <f>IF(ISERROR(FIND('112'!$M$9,G256,1)),"",IF((AND(FIND('112'!$M$9,G256,1)&gt;=1,B256&lt;'112'!$K$9,$O256='112'!$I$6)),"x",""))</f>
        <v/>
      </c>
      <c r="W256" s="87" t="str">
        <f>IF(AND($B256&gt;='1331'!$I$9,$B256&lt;='1331'!$J$9,OR($N256=$W$7,$O256=$W$7)),"x","")</f>
        <v/>
      </c>
      <c r="X256" s="87" t="str">
        <f>IF(AND($N256=$W$7,$B256&lt;'1331'!$I$9),"x","")</f>
        <v/>
      </c>
      <c r="Y256" s="87" t="str">
        <f>IF(AND($O256=$W$7,$B256&lt;'1331'!$I$9),"x","")</f>
        <v/>
      </c>
      <c r="Z256" s="87" t="str">
        <f>IF(AND('341-CT'!$H$9=H256,OR(LEFT(N256,3)=$Z$7,LEFT(O256,3)=$Z$7)),"x","")</f>
        <v/>
      </c>
      <c r="AA256" s="87" t="str">
        <f>IF(OR(TH!N256=TH!$AA$7,O256=TH!$AA$7),"x","")</f>
        <v/>
      </c>
      <c r="AB256" s="87" t="str">
        <f>IF(AND(OR(N256="131",O256="131"),H256='131-CT'!$H$9),"x","")</f>
        <v/>
      </c>
      <c r="AC256" s="87"/>
      <c r="AD256" s="87" t="str">
        <f>IF(AND(MONTH(E256)='IN-NX'!$J$5,'IN-NX'!$D$7=D256),"x","")</f>
        <v/>
      </c>
      <c r="AE256" s="87" t="str">
        <f>IF(AND(OR(LEFT(TH!N256,2)="15",LEFT(TH!O256,2)="15"),'152-CT'!$J$8=TH!F256),"x","")</f>
        <v/>
      </c>
      <c r="AF256" s="87" t="str">
        <f>IF(AND(OR(LEFT(TH!N256,2)="15",LEFT(TH!O256,2)="15"),'THE KHO'!$E$7=TH!F256),"x","")</f>
        <v/>
      </c>
      <c r="AG256" s="87" t="str">
        <f>IF(AND(N256="1521",MONTH(C256)='BK NL'!$M$11),"x","")</f>
        <v/>
      </c>
    </row>
    <row r="257" spans="1:33" ht="15.75" customHeight="1">
      <c r="A257" s="399" t="str">
        <f>IF(B257&lt;&gt;"",IF(AND(B257&gt;=_TM1,B257&lt;=_TM2,OR(TH!N257="1111",TH!O257="1111")),TH!D257,""),"")</f>
        <v/>
      </c>
      <c r="B257" s="63">
        <f>IF(C257&lt;&gt;"",MONTH(C257),"")</f>
        <v>1</v>
      </c>
      <c r="C257" s="64">
        <v>42399</v>
      </c>
      <c r="D257" s="64" t="s">
        <v>773</v>
      </c>
      <c r="E257" s="64">
        <v>42399</v>
      </c>
      <c r="F257" s="67" t="s">
        <v>820</v>
      </c>
      <c r="G257" s="362" t="s">
        <v>999</v>
      </c>
      <c r="H257" s="77"/>
      <c r="I257" s="520"/>
      <c r="J257" s="520"/>
      <c r="K257" s="511"/>
      <c r="L257" s="520"/>
      <c r="M257" s="65">
        <v>2000</v>
      </c>
      <c r="N257" s="66" t="s">
        <v>9</v>
      </c>
      <c r="O257" s="66" t="s">
        <v>26</v>
      </c>
      <c r="P257" s="87" t="str">
        <f>IF(AND('331-CT'!$E$7=TH!H257,OR(N257="331",O257="331")),"x","")</f>
        <v/>
      </c>
      <c r="Q257" s="87" t="str">
        <f>IF(AND(B257='111'!$L$11,OR($N257=$Q$7,$O257=$Q$7)),"x","")</f>
        <v/>
      </c>
      <c r="R257" s="87" t="str">
        <f>IF(AND($N257=$Q$7,$B257&lt;'111'!$L$11),"x","")</f>
        <v/>
      </c>
      <c r="S257" s="87" t="str">
        <f>IF(AND($O257=$Q$7,$B257&lt;'111'!$L$11),"x","")</f>
        <v/>
      </c>
      <c r="T257" s="87" t="str">
        <f>IF(ISERROR(FIND('112'!$M$9,G257,1)),"",IF((AND(FIND('112'!$M$9,G257,1)&gt;=1,B257='112'!$K$9,OR($N257='112'!$I$6,$O257='112'!$I$6))),"x",""))</f>
        <v>x</v>
      </c>
      <c r="U257" s="87" t="str">
        <f>IF(ISERROR(FIND('112'!$M$9,G257,1)),"",IF((AND(FIND('112'!$M$9,G257,1)&gt;=1,B257&lt;'112'!$K$9,$N257='112'!$I$6)),"x",""))</f>
        <v/>
      </c>
      <c r="V257" s="87" t="str">
        <f>IF(ISERROR(FIND('112'!$M$9,G257,1)),"",IF((AND(FIND('112'!$M$9,G257,1)&gt;=1,B257&lt;'112'!$K$9,$O257='112'!$I$6)),"x",""))</f>
        <v/>
      </c>
      <c r="W257" s="87" t="str">
        <f>IF(AND($B257&gt;='1331'!$I$9,$B257&lt;='1331'!$J$9,OR($N257=$W$7,$O257=$W$7)),"x","")</f>
        <v>x</v>
      </c>
      <c r="X257" s="87" t="str">
        <f>IF(AND($N257=$W$7,$B257&lt;'1331'!$I$9),"x","")</f>
        <v/>
      </c>
      <c r="Y257" s="87" t="str">
        <f>IF(AND($O257=$W$7,$B257&lt;'1331'!$I$9),"x","")</f>
        <v/>
      </c>
      <c r="Z257" s="87" t="str">
        <f>IF(AND('341-CT'!$H$9=H257,OR(LEFT(N257,3)=$Z$7,LEFT(O257,3)=$Z$7)),"x","")</f>
        <v/>
      </c>
      <c r="AA257" s="87" t="str">
        <f>IF(OR(TH!N257=TH!$AA$7,O257=TH!$AA$7),"x","")</f>
        <v/>
      </c>
      <c r="AB257" s="87" t="str">
        <f>IF(AND(OR(N257="131",O257="131"),H257='131-CT'!$H$9),"x","")</f>
        <v/>
      </c>
      <c r="AC257" s="87"/>
      <c r="AD257" s="87" t="str">
        <f>IF(AND(MONTH(E257)='IN-NX'!$J$5,'IN-NX'!$D$7=D257),"x","")</f>
        <v/>
      </c>
      <c r="AE257" s="87" t="str">
        <f>IF(AND(OR(LEFT(TH!N257,2)="15",LEFT(TH!O257,2)="15"),'152-CT'!$J$8=TH!F257),"x","")</f>
        <v/>
      </c>
      <c r="AF257" s="87" t="str">
        <f>IF(AND(OR(LEFT(TH!N257,2)="15",LEFT(TH!O257,2)="15"),'THE KHO'!$E$7=TH!F257),"x","")</f>
        <v/>
      </c>
      <c r="AG257" s="87" t="str">
        <f>IF(AND(N257="1521",MONTH(C257)='BK NL'!$M$11),"x","")</f>
        <v/>
      </c>
    </row>
    <row r="258" spans="1:33" ht="15.75" customHeight="1">
      <c r="A258" s="399" t="str">
        <f>IF(B258&lt;&gt;"",IF(AND(B258&gt;=_TM1,B258&lt;=_TM2,OR(TH!N258="1111",TH!O258="1111")),TH!D258,""),"")</f>
        <v/>
      </c>
      <c r="B258" s="63">
        <f>IF(C258&lt;&gt;"",MONTH(C258),"")</f>
        <v>1</v>
      </c>
      <c r="C258" s="64">
        <v>42399</v>
      </c>
      <c r="D258" s="64" t="s">
        <v>773</v>
      </c>
      <c r="E258" s="64">
        <v>42399</v>
      </c>
      <c r="F258" s="67" t="s">
        <v>833</v>
      </c>
      <c r="G258" s="362" t="s">
        <v>999</v>
      </c>
      <c r="H258" s="77" t="s">
        <v>691</v>
      </c>
      <c r="I258" s="520"/>
      <c r="J258" s="520"/>
      <c r="K258" s="511"/>
      <c r="L258" s="520"/>
      <c r="M258" s="65">
        <v>4645000</v>
      </c>
      <c r="N258" s="66" t="s">
        <v>8</v>
      </c>
      <c r="O258" s="66" t="s">
        <v>26</v>
      </c>
      <c r="P258" s="87" t="str">
        <f>IF(AND('331-CT'!$E$7=TH!H258,OR(N258="331",O258="331")),"x","")</f>
        <v>x</v>
      </c>
      <c r="Q258" s="87" t="str">
        <f>IF(AND(B258='111'!$L$11,OR($N258=$Q$7,$O258=$Q$7)),"x","")</f>
        <v/>
      </c>
      <c r="R258" s="87" t="str">
        <f>IF(AND($N258=$Q$7,$B258&lt;'111'!$L$11),"x","")</f>
        <v/>
      </c>
      <c r="S258" s="87" t="str">
        <f>IF(AND($O258=$Q$7,$B258&lt;'111'!$L$11),"x","")</f>
        <v/>
      </c>
      <c r="T258" s="87" t="str">
        <f>IF(ISERROR(FIND('112'!$M$9,G258,1)),"",IF((AND(FIND('112'!$M$9,G258,1)&gt;=1,B258='112'!$K$9,OR($N258='112'!$I$6,$O258='112'!$I$6))),"x",""))</f>
        <v>x</v>
      </c>
      <c r="U258" s="87" t="str">
        <f>IF(ISERROR(FIND('112'!$M$9,G258,1)),"",IF((AND(FIND('112'!$M$9,G258,1)&gt;=1,B258&lt;'112'!$K$9,$N258='112'!$I$6)),"x",""))</f>
        <v/>
      </c>
      <c r="V258" s="87" t="str">
        <f>IF(ISERROR(FIND('112'!$M$9,G258,1)),"",IF((AND(FIND('112'!$M$9,G258,1)&gt;=1,B258&lt;'112'!$K$9,$O258='112'!$I$6)),"x",""))</f>
        <v/>
      </c>
      <c r="W258" s="87" t="str">
        <f>IF(AND($B258&gt;='1331'!$I$9,$B258&lt;='1331'!$J$9,OR($N258=$W$7,$O258=$W$7)),"x","")</f>
        <v/>
      </c>
      <c r="X258" s="87" t="str">
        <f>IF(AND($N258=$W$7,$B258&lt;'1331'!$I$9),"x","")</f>
        <v/>
      </c>
      <c r="Y258" s="87" t="str">
        <f>IF(AND($O258=$W$7,$B258&lt;'1331'!$I$9),"x","")</f>
        <v/>
      </c>
      <c r="Z258" s="87" t="str">
        <f>IF(AND('341-CT'!$H$9=H258,OR(LEFT(N258,3)=$Z$7,LEFT(O258,3)=$Z$7)),"x","")</f>
        <v/>
      </c>
      <c r="AA258" s="87" t="str">
        <f>IF(OR(TH!N258=TH!$AA$7,O258=TH!$AA$7),"x","")</f>
        <v/>
      </c>
      <c r="AB258" s="87" t="str">
        <f>IF(AND(OR(N258="131",O258="131"),H258='131-CT'!$H$9),"x","")</f>
        <v/>
      </c>
      <c r="AC258" s="87"/>
      <c r="AD258" s="87" t="str">
        <f>IF(AND(MONTH(E258)='IN-NX'!$J$5,'IN-NX'!$D$7=D258),"x","")</f>
        <v/>
      </c>
      <c r="AE258" s="87" t="str">
        <f>IF(AND(OR(LEFT(TH!N258,2)="15",LEFT(TH!O258,2)="15"),'152-CT'!$J$8=TH!F258),"x","")</f>
        <v/>
      </c>
      <c r="AF258" s="87" t="str">
        <f>IF(AND(OR(LEFT(TH!N258,2)="15",LEFT(TH!O258,2)="15"),'THE KHO'!$E$7=TH!F258),"x","")</f>
        <v/>
      </c>
      <c r="AG258" s="87" t="str">
        <f>IF(AND(N258="1521",MONTH(C258)='BK NL'!$M$11),"x","")</f>
        <v/>
      </c>
    </row>
    <row r="259" spans="1:33" ht="15.75" customHeight="1">
      <c r="A259" s="399" t="str">
        <f>IF(B259&lt;&gt;"",IF(AND(B259&gt;=_TM1,B259&lt;=_TM2,OR(TH!N259="1111",TH!O259="1111")),TH!D259,""),"")</f>
        <v/>
      </c>
      <c r="B259" s="63">
        <f>IF(C259&lt;&gt;"",MONTH(C259),"")</f>
        <v>1</v>
      </c>
      <c r="C259" s="64">
        <v>42399</v>
      </c>
      <c r="D259" s="64" t="s">
        <v>773</v>
      </c>
      <c r="E259" s="64">
        <v>42399</v>
      </c>
      <c r="F259" s="67" t="s">
        <v>817</v>
      </c>
      <c r="G259" s="362" t="s">
        <v>999</v>
      </c>
      <c r="H259" s="77"/>
      <c r="I259" s="520"/>
      <c r="J259" s="520"/>
      <c r="K259" s="511"/>
      <c r="L259" s="520"/>
      <c r="M259" s="65">
        <v>20000</v>
      </c>
      <c r="N259" s="88" t="s">
        <v>101</v>
      </c>
      <c r="O259" s="66" t="s">
        <v>26</v>
      </c>
      <c r="P259" s="87" t="str">
        <f>IF(AND('331-CT'!$E$7=TH!H259,OR(N259="331",O259="331")),"x","")</f>
        <v/>
      </c>
      <c r="Q259" s="87" t="str">
        <f>IF(AND(B259='111'!$L$11,OR($N259=$Q$7,$O259=$Q$7)),"x","")</f>
        <v/>
      </c>
      <c r="R259" s="87" t="str">
        <f>IF(AND($N259=$Q$7,$B259&lt;'111'!$L$11),"x","")</f>
        <v/>
      </c>
      <c r="S259" s="87" t="str">
        <f>IF(AND($O259=$Q$7,$B259&lt;'111'!$L$11),"x","")</f>
        <v/>
      </c>
      <c r="T259" s="87" t="str">
        <f>IF(ISERROR(FIND('112'!$M$9,G259,1)),"",IF((AND(FIND('112'!$M$9,G259,1)&gt;=1,B259='112'!$K$9,OR($N259='112'!$I$6,$O259='112'!$I$6))),"x",""))</f>
        <v>x</v>
      </c>
      <c r="U259" s="87" t="str">
        <f>IF(ISERROR(FIND('112'!$M$9,G259,1)),"",IF((AND(FIND('112'!$M$9,G259,1)&gt;=1,B259&lt;'112'!$K$9,$N259='112'!$I$6)),"x",""))</f>
        <v/>
      </c>
      <c r="V259" s="87" t="str">
        <f>IF(ISERROR(FIND('112'!$M$9,G259,1)),"",IF((AND(FIND('112'!$M$9,G259,1)&gt;=1,B259&lt;'112'!$K$9,$O259='112'!$I$6)),"x",""))</f>
        <v/>
      </c>
      <c r="W259" s="87" t="str">
        <f>IF(AND($B259&gt;='1331'!$I$9,$B259&lt;='1331'!$J$9,OR($N259=$W$7,$O259=$W$7)),"x","")</f>
        <v/>
      </c>
      <c r="X259" s="87" t="str">
        <f>IF(AND($N259=$W$7,$B259&lt;'1331'!$I$9),"x","")</f>
        <v/>
      </c>
      <c r="Y259" s="87" t="str">
        <f>IF(AND($O259=$W$7,$B259&lt;'1331'!$I$9),"x","")</f>
        <v/>
      </c>
      <c r="Z259" s="87" t="str">
        <f>IF(AND('341-CT'!$H$9=H259,OR(LEFT(N259,3)=$Z$7,LEFT(O259,3)=$Z$7)),"x","")</f>
        <v/>
      </c>
      <c r="AA259" s="87" t="str">
        <f>IF(OR(TH!N259=TH!$AA$7,O259=TH!$AA$7),"x","")</f>
        <v/>
      </c>
      <c r="AB259" s="87" t="str">
        <f>IF(AND(OR(N259="131",O259="131"),H259='131-CT'!$H$9),"x","")</f>
        <v/>
      </c>
      <c r="AC259" s="87"/>
      <c r="AD259" s="87" t="str">
        <f>IF(AND(MONTH(E259)='IN-NX'!$J$5,'IN-NX'!$D$7=D259),"x","")</f>
        <v/>
      </c>
      <c r="AE259" s="87" t="str">
        <f>IF(AND(OR(LEFT(TH!N259,2)="15",LEFT(TH!O259,2)="15"),'152-CT'!$J$8=TH!F259),"x","")</f>
        <v/>
      </c>
      <c r="AF259" s="87" t="str">
        <f>IF(AND(OR(LEFT(TH!N259,2)="15",LEFT(TH!O259,2)="15"),'THE KHO'!$E$7=TH!F259),"x","")</f>
        <v/>
      </c>
      <c r="AG259" s="87" t="str">
        <f>IF(AND(N259="1521",MONTH(C259)='BK NL'!$M$11),"x","")</f>
        <v/>
      </c>
    </row>
    <row r="260" spans="1:33" ht="15.75" customHeight="1">
      <c r="A260" s="399" t="str">
        <f>IF(B260&lt;&gt;"",IF(AND(B260&gt;=_TM1,B260&lt;=_TM2,OR(TH!N260="1111",TH!O260="1111")),TH!D260,""),"")</f>
        <v/>
      </c>
      <c r="B260" s="63">
        <f>IF(C260&lt;&gt;"",MONTH(C260),"")</f>
        <v>1</v>
      </c>
      <c r="C260" s="64">
        <v>42399</v>
      </c>
      <c r="D260" s="64" t="s">
        <v>773</v>
      </c>
      <c r="E260" s="64">
        <v>42399</v>
      </c>
      <c r="F260" s="67" t="s">
        <v>820</v>
      </c>
      <c r="G260" s="362" t="s">
        <v>999</v>
      </c>
      <c r="H260" s="77"/>
      <c r="I260" s="520"/>
      <c r="J260" s="520"/>
      <c r="K260" s="511"/>
      <c r="L260" s="520"/>
      <c r="M260" s="65">
        <v>2000</v>
      </c>
      <c r="N260" s="88" t="s">
        <v>9</v>
      </c>
      <c r="O260" s="66" t="s">
        <v>26</v>
      </c>
      <c r="P260" s="87" t="str">
        <f>IF(AND('331-CT'!$E$7=TH!H260,OR(N260="331",O260="331")),"x","")</f>
        <v/>
      </c>
      <c r="Q260" s="87" t="str">
        <f>IF(AND(B260='111'!$L$11,OR($N260=$Q$7,$O260=$Q$7)),"x","")</f>
        <v/>
      </c>
      <c r="R260" s="87" t="str">
        <f>IF(AND($N260=$Q$7,$B260&lt;'111'!$L$11),"x","")</f>
        <v/>
      </c>
      <c r="S260" s="87" t="str">
        <f>IF(AND($O260=$Q$7,$B260&lt;'111'!$L$11),"x","")</f>
        <v/>
      </c>
      <c r="T260" s="87" t="str">
        <f>IF(ISERROR(FIND('112'!$M$9,G260,1)),"",IF((AND(FIND('112'!$M$9,G260,1)&gt;=1,B260='112'!$K$9,OR($N260='112'!$I$6,$O260='112'!$I$6))),"x",""))</f>
        <v>x</v>
      </c>
      <c r="U260" s="87" t="str">
        <f>IF(ISERROR(FIND('112'!$M$9,G260,1)),"",IF((AND(FIND('112'!$M$9,G260,1)&gt;=1,B260&lt;'112'!$K$9,$N260='112'!$I$6)),"x",""))</f>
        <v/>
      </c>
      <c r="V260" s="87" t="str">
        <f>IF(ISERROR(FIND('112'!$M$9,G260,1)),"",IF((AND(FIND('112'!$M$9,G260,1)&gt;=1,B260&lt;'112'!$K$9,$O260='112'!$I$6)),"x",""))</f>
        <v/>
      </c>
      <c r="W260" s="87" t="str">
        <f>IF(AND($B260&gt;='1331'!$I$9,$B260&lt;='1331'!$J$9,OR($N260=$W$7,$O260=$W$7)),"x","")</f>
        <v>x</v>
      </c>
      <c r="X260" s="87" t="str">
        <f>IF(AND($N260=$W$7,$B260&lt;'1331'!$I$9),"x","")</f>
        <v/>
      </c>
      <c r="Y260" s="87" t="str">
        <f>IF(AND($O260=$W$7,$B260&lt;'1331'!$I$9),"x","")</f>
        <v/>
      </c>
      <c r="Z260" s="87" t="str">
        <f>IF(AND('341-CT'!$H$9=H260,OR(LEFT(N260,3)=$Z$7,LEFT(O260,3)=$Z$7)),"x","")</f>
        <v/>
      </c>
      <c r="AA260" s="87" t="str">
        <f>IF(OR(TH!N260=TH!$AA$7,O260=TH!$AA$7),"x","")</f>
        <v/>
      </c>
      <c r="AB260" s="87" t="str">
        <f>IF(AND(OR(N260="131",O260="131"),H260='131-CT'!$H$9),"x","")</f>
        <v/>
      </c>
      <c r="AC260" s="87"/>
      <c r="AD260" s="87" t="str">
        <f>IF(AND(MONTH(E260)='IN-NX'!$J$5,'IN-NX'!$D$7=D260),"x","")</f>
        <v/>
      </c>
      <c r="AE260" s="87" t="str">
        <f>IF(AND(OR(LEFT(TH!N260,2)="15",LEFT(TH!O260,2)="15"),'152-CT'!$J$8=TH!F260),"x","")</f>
        <v/>
      </c>
      <c r="AF260" s="87" t="str">
        <f>IF(AND(OR(LEFT(TH!N260,2)="15",LEFT(TH!O260,2)="15"),'THE KHO'!$E$7=TH!F260),"x","")</f>
        <v/>
      </c>
      <c r="AG260" s="87" t="str">
        <f>IF(AND(N260="1521",MONTH(C260)='BK NL'!$M$11),"x","")</f>
        <v/>
      </c>
    </row>
    <row r="261" spans="1:33" ht="15.75" customHeight="1">
      <c r="A261" s="399" t="str">
        <f>IF(B261&lt;&gt;"",IF(AND(B261&gt;=_TM1,B261&lt;=_TM2,OR(TH!N261="1111",TH!O261="1111")),TH!D261,""),"")</f>
        <v>C39</v>
      </c>
      <c r="B261" s="63">
        <f>IF(C261&lt;&gt;"",MONTH(C261),"")</f>
        <v>1</v>
      </c>
      <c r="C261" s="64">
        <v>42399</v>
      </c>
      <c r="D261" s="64" t="s">
        <v>991</v>
      </c>
      <c r="E261" s="64">
        <v>42399</v>
      </c>
      <c r="F261" s="67" t="s">
        <v>855</v>
      </c>
      <c r="G261" s="362" t="s">
        <v>921</v>
      </c>
      <c r="H261" s="75" t="s">
        <v>888</v>
      </c>
      <c r="I261" s="518"/>
      <c r="J261" s="518"/>
      <c r="K261" s="509"/>
      <c r="L261" s="518"/>
      <c r="M261" s="65">
        <v>674945</v>
      </c>
      <c r="N261" s="66" t="s">
        <v>101</v>
      </c>
      <c r="O261" s="66" t="s">
        <v>63</v>
      </c>
      <c r="P261" s="87" t="str">
        <f>IF(AND('331-CT'!$E$7=TH!H261,OR(N261="331",O261="331")),"x","")</f>
        <v/>
      </c>
      <c r="Q261" s="87" t="str">
        <f>IF(AND(B261='111'!$L$11,OR($N261=$Q$7,$O261=$Q$7)),"x","")</f>
        <v>x</v>
      </c>
      <c r="R261" s="87" t="str">
        <f>IF(AND($N261=$Q$7,$B261&lt;'111'!$L$11),"x","")</f>
        <v/>
      </c>
      <c r="S261" s="87" t="str">
        <f>IF(AND($O261=$Q$7,$B261&lt;'111'!$L$11),"x","")</f>
        <v/>
      </c>
      <c r="T261" s="87" t="str">
        <f>IF(ISERROR(FIND('112'!$M$9,G261,1)),"",IF((AND(FIND('112'!$M$9,G261,1)&gt;=1,B261='112'!$K$9,OR($N261='112'!$I$6,$O261='112'!$I$6))),"x",""))</f>
        <v/>
      </c>
      <c r="U261" s="87" t="str">
        <f>IF(ISERROR(FIND('112'!$M$9,G261,1)),"",IF((AND(FIND('112'!$M$9,G261,1)&gt;=1,B261&lt;'112'!$K$9,$N261='112'!$I$6)),"x",""))</f>
        <v/>
      </c>
      <c r="V261" s="87" t="str">
        <f>IF(ISERROR(FIND('112'!$M$9,G261,1)),"",IF((AND(FIND('112'!$M$9,G261,1)&gt;=1,B261&lt;'112'!$K$9,$O261='112'!$I$6)),"x",""))</f>
        <v/>
      </c>
      <c r="W261" s="87" t="str">
        <f>IF(AND($B261&gt;='1331'!$I$9,$B261&lt;='1331'!$J$9,OR($N261=$W$7,$O261=$W$7)),"x","")</f>
        <v/>
      </c>
      <c r="X261" s="87" t="str">
        <f>IF(AND($N261=$W$7,$B261&lt;'1331'!$I$9),"x","")</f>
        <v/>
      </c>
      <c r="Y261" s="87" t="str">
        <f>IF(AND($O261=$W$7,$B261&lt;'1331'!$I$9),"x","")</f>
        <v/>
      </c>
      <c r="Z261" s="87" t="str">
        <f>IF(AND('341-CT'!$H$9=H261,OR(LEFT(N261,3)=$Z$7,LEFT(O261,3)=$Z$7)),"x","")</f>
        <v/>
      </c>
      <c r="AA261" s="87" t="str">
        <f>IF(OR(TH!N261=TH!$AA$7,O261=TH!$AA$7),"x","")</f>
        <v/>
      </c>
      <c r="AB261" s="87" t="str">
        <f>IF(AND(OR(N261="131",O261="131"),H261='131-CT'!$H$9),"x","")</f>
        <v/>
      </c>
      <c r="AC261" s="87"/>
      <c r="AD261" s="87" t="str">
        <f>IF(AND(MONTH(E261)='IN-NX'!$J$5,'IN-NX'!$D$7=D261),"x","")</f>
        <v/>
      </c>
      <c r="AE261" s="87" t="str">
        <f>IF(AND(OR(LEFT(TH!N261,2)="15",LEFT(TH!O261,2)="15"),'152-CT'!$J$8=TH!F261),"x","")</f>
        <v/>
      </c>
      <c r="AF261" s="87" t="str">
        <f>IF(AND(OR(LEFT(TH!N261,2)="15",LEFT(TH!O261,2)="15"),'THE KHO'!$E$7=TH!F261),"x","")</f>
        <v/>
      </c>
      <c r="AG261" s="87" t="str">
        <f>IF(AND(N261="1521",MONTH(C261)='BK NL'!$M$11),"x","")</f>
        <v/>
      </c>
    </row>
    <row r="262" spans="1:33" ht="15.75" customHeight="1">
      <c r="A262" s="399" t="str">
        <f>IF(B262&lt;&gt;"",IF(AND(B262&gt;=_TM1,B262&lt;=_TM2,OR(TH!N262="1111",TH!O262="1111")),TH!D262,""),"")</f>
        <v>C39</v>
      </c>
      <c r="B262" s="63">
        <f>IF(C262&lt;&gt;"",MONTH(C262),"")</f>
        <v>1</v>
      </c>
      <c r="C262" s="64">
        <v>42399</v>
      </c>
      <c r="D262" s="64" t="s">
        <v>991</v>
      </c>
      <c r="E262" s="64">
        <v>42399</v>
      </c>
      <c r="F262" s="67" t="s">
        <v>856</v>
      </c>
      <c r="G262" s="376" t="s">
        <v>921</v>
      </c>
      <c r="H262" s="75" t="s">
        <v>888</v>
      </c>
      <c r="I262" s="518"/>
      <c r="J262" s="518"/>
      <c r="K262" s="509"/>
      <c r="L262" s="518"/>
      <c r="M262" s="65">
        <v>67495</v>
      </c>
      <c r="N262" s="66" t="s">
        <v>9</v>
      </c>
      <c r="O262" s="66" t="s">
        <v>63</v>
      </c>
      <c r="P262" s="87" t="str">
        <f>IF(AND('331-CT'!$E$7=TH!H262,OR(N262="331",O262="331")),"x","")</f>
        <v/>
      </c>
      <c r="Q262" s="87" t="str">
        <f>IF(AND(B262='111'!$L$11,OR($N262=$Q$7,$O262=$Q$7)),"x","")</f>
        <v>x</v>
      </c>
      <c r="R262" s="87" t="str">
        <f>IF(AND($N262=$Q$7,$B262&lt;'111'!$L$11),"x","")</f>
        <v/>
      </c>
      <c r="S262" s="87" t="str">
        <f>IF(AND($O262=$Q$7,$B262&lt;'111'!$L$11),"x","")</f>
        <v/>
      </c>
      <c r="T262" s="87" t="str">
        <f>IF(ISERROR(FIND('112'!$M$9,G262,1)),"",IF((AND(FIND('112'!$M$9,G262,1)&gt;=1,B262='112'!$K$9,OR($N262='112'!$I$6,$O262='112'!$I$6))),"x",""))</f>
        <v/>
      </c>
      <c r="U262" s="87" t="str">
        <f>IF(ISERROR(FIND('112'!$M$9,G262,1)),"",IF((AND(FIND('112'!$M$9,G262,1)&gt;=1,B262&lt;'112'!$K$9,$N262='112'!$I$6)),"x",""))</f>
        <v/>
      </c>
      <c r="V262" s="87" t="str">
        <f>IF(ISERROR(FIND('112'!$M$9,G262,1)),"",IF((AND(FIND('112'!$M$9,G262,1)&gt;=1,B262&lt;'112'!$K$9,$O262='112'!$I$6)),"x",""))</f>
        <v/>
      </c>
      <c r="W262" s="87" t="str">
        <f>IF(AND($B262&gt;='1331'!$I$9,$B262&lt;='1331'!$J$9,OR($N262=$W$7,$O262=$W$7)),"x","")</f>
        <v>x</v>
      </c>
      <c r="X262" s="87" t="str">
        <f>IF(AND($N262=$W$7,$B262&lt;'1331'!$I$9),"x","")</f>
        <v/>
      </c>
      <c r="Y262" s="87" t="str">
        <f>IF(AND($O262=$W$7,$B262&lt;'1331'!$I$9),"x","")</f>
        <v/>
      </c>
      <c r="Z262" s="87" t="str">
        <f>IF(AND('341-CT'!$H$9=H262,OR(LEFT(N262,3)=$Z$7,LEFT(O262,3)=$Z$7)),"x","")</f>
        <v/>
      </c>
      <c r="AA262" s="87" t="str">
        <f>IF(OR(TH!N262=TH!$AA$7,O262=TH!$AA$7),"x","")</f>
        <v/>
      </c>
      <c r="AB262" s="87" t="str">
        <f>IF(AND(OR(N262="131",O262="131"),H262='131-CT'!$H$9),"x","")</f>
        <v/>
      </c>
      <c r="AC262" s="87"/>
      <c r="AD262" s="87" t="str">
        <f>IF(AND(MONTH(E262)='IN-NX'!$J$5,'IN-NX'!$D$7=D262),"x","")</f>
        <v/>
      </c>
      <c r="AE262" s="87" t="str">
        <f>IF(AND(OR(LEFT(TH!N262,2)="15",LEFT(TH!O262,2)="15"),'152-CT'!$J$8=TH!F262),"x","")</f>
        <v/>
      </c>
      <c r="AF262" s="87" t="str">
        <f>IF(AND(OR(LEFT(TH!N262,2)="15",LEFT(TH!O262,2)="15"),'THE KHO'!$E$7=TH!F262),"x","")</f>
        <v/>
      </c>
      <c r="AG262" s="87" t="str">
        <f>IF(AND(N262="1521",MONTH(C262)='BK NL'!$M$11),"x","")</f>
        <v/>
      </c>
    </row>
    <row r="263" spans="1:33" ht="15.75" customHeight="1">
      <c r="A263" s="399" t="str">
        <f>IF(B263&lt;&gt;"",IF(AND(B263&gt;=_TM1,B263&lt;=_TM2,OR(TH!N263="1111",TH!O263="1111")),TH!D263,""),"")</f>
        <v>C40</v>
      </c>
      <c r="B263" s="63">
        <f>IF(C263&lt;&gt;"",MONTH(C263),"")</f>
        <v>1</v>
      </c>
      <c r="C263" s="64">
        <v>42400</v>
      </c>
      <c r="D263" s="64" t="s">
        <v>992</v>
      </c>
      <c r="E263" s="64">
        <v>42400</v>
      </c>
      <c r="F263" s="67" t="s">
        <v>870</v>
      </c>
      <c r="G263" s="362" t="s">
        <v>922</v>
      </c>
      <c r="H263" s="75" t="s">
        <v>894</v>
      </c>
      <c r="I263" s="518"/>
      <c r="J263" s="518"/>
      <c r="K263" s="509"/>
      <c r="L263" s="518"/>
      <c r="M263" s="65">
        <v>320291</v>
      </c>
      <c r="N263" s="66" t="s">
        <v>101</v>
      </c>
      <c r="O263" s="66" t="s">
        <v>63</v>
      </c>
      <c r="P263" s="87" t="str">
        <f>IF(AND('331-CT'!$E$7=TH!H263,OR(N263="331",O263="331")),"x","")</f>
        <v/>
      </c>
      <c r="Q263" s="87" t="str">
        <f>IF(AND(B263='111'!$L$11,OR($N263=$Q$7,$O263=$Q$7)),"x","")</f>
        <v>x</v>
      </c>
      <c r="R263" s="87" t="str">
        <f>IF(AND($N263=$Q$7,$B263&lt;'111'!$L$11),"x","")</f>
        <v/>
      </c>
      <c r="S263" s="87" t="str">
        <f>IF(AND($O263=$Q$7,$B263&lt;'111'!$L$11),"x","")</f>
        <v/>
      </c>
      <c r="T263" s="87" t="str">
        <f>IF(ISERROR(FIND('112'!$M$9,G263,1)),"",IF((AND(FIND('112'!$M$9,G263,1)&gt;=1,B263='112'!$K$9,OR($N263='112'!$I$6,$O263='112'!$I$6))),"x",""))</f>
        <v/>
      </c>
      <c r="U263" s="87" t="str">
        <f>IF(ISERROR(FIND('112'!$M$9,G263,1)),"",IF((AND(FIND('112'!$M$9,G263,1)&gt;=1,B263&lt;'112'!$K$9,$N263='112'!$I$6)),"x",""))</f>
        <v/>
      </c>
      <c r="V263" s="87" t="str">
        <f>IF(ISERROR(FIND('112'!$M$9,G263,1)),"",IF((AND(FIND('112'!$M$9,G263,1)&gt;=1,B263&lt;'112'!$K$9,$O263='112'!$I$6)),"x",""))</f>
        <v/>
      </c>
      <c r="W263" s="87" t="str">
        <f>IF(AND($B263&gt;='1331'!$I$9,$B263&lt;='1331'!$J$9,OR($N263=$W$7,$O263=$W$7)),"x","")</f>
        <v/>
      </c>
      <c r="X263" s="87" t="str">
        <f>IF(AND($N263=$W$7,$B263&lt;'1331'!$I$9),"x","")</f>
        <v/>
      </c>
      <c r="Y263" s="87" t="str">
        <f>IF(AND($O263=$W$7,$B263&lt;'1331'!$I$9),"x","")</f>
        <v/>
      </c>
      <c r="Z263" s="87" t="str">
        <f>IF(AND('341-CT'!$H$9=H263,OR(LEFT(N263,3)=$Z$7,LEFT(O263,3)=$Z$7)),"x","")</f>
        <v/>
      </c>
      <c r="AA263" s="87" t="str">
        <f>IF(OR(TH!N263=TH!$AA$7,O263=TH!$AA$7),"x","")</f>
        <v/>
      </c>
      <c r="AB263" s="87" t="str">
        <f>IF(AND(OR(N263="131",O263="131"),H263='131-CT'!$H$9),"x","")</f>
        <v/>
      </c>
      <c r="AC263" s="87"/>
      <c r="AD263" s="87" t="str">
        <f>IF(AND(MONTH(E263)='IN-NX'!$J$5,'IN-NX'!$D$7=D263),"x","")</f>
        <v/>
      </c>
      <c r="AE263" s="87" t="str">
        <f>IF(AND(OR(LEFT(TH!N263,2)="15",LEFT(TH!O263,2)="15"),'152-CT'!$J$8=TH!F263),"x","")</f>
        <v/>
      </c>
      <c r="AF263" s="87" t="str">
        <f>IF(AND(OR(LEFT(TH!N263,2)="15",LEFT(TH!O263,2)="15"),'THE KHO'!$E$7=TH!F263),"x","")</f>
        <v/>
      </c>
      <c r="AG263" s="87" t="str">
        <f>IF(AND(N263="1521",MONTH(C263)='BK NL'!$M$11),"x","")</f>
        <v/>
      </c>
    </row>
    <row r="264" spans="1:33" ht="15.75" customHeight="1">
      <c r="A264" s="399" t="str">
        <f>IF(B264&lt;&gt;"",IF(AND(B264&gt;=_TM1,B264&lt;=_TM2,OR(TH!N264="1111",TH!O264="1111")),TH!D264,""),"")</f>
        <v>C40</v>
      </c>
      <c r="B264" s="63">
        <f>IF(C264&lt;&gt;"",MONTH(C264),"")</f>
        <v>1</v>
      </c>
      <c r="C264" s="64">
        <v>42400</v>
      </c>
      <c r="D264" s="64" t="s">
        <v>992</v>
      </c>
      <c r="E264" s="64">
        <v>42400</v>
      </c>
      <c r="F264" s="67" t="s">
        <v>871</v>
      </c>
      <c r="G264" s="362" t="s">
        <v>922</v>
      </c>
      <c r="H264" s="75" t="s">
        <v>894</v>
      </c>
      <c r="I264" s="518"/>
      <c r="J264" s="518"/>
      <c r="K264" s="509"/>
      <c r="L264" s="518"/>
      <c r="M264" s="65">
        <v>32029</v>
      </c>
      <c r="N264" s="66" t="s">
        <v>9</v>
      </c>
      <c r="O264" s="66" t="s">
        <v>63</v>
      </c>
      <c r="P264" s="87" t="str">
        <f>IF(AND('331-CT'!$E$7=TH!H264,OR(N264="331",O264="331")),"x","")</f>
        <v/>
      </c>
      <c r="Q264" s="87" t="str">
        <f>IF(AND(B264='111'!$L$11,OR($N264=$Q$7,$O264=$Q$7)),"x","")</f>
        <v>x</v>
      </c>
      <c r="R264" s="87" t="str">
        <f>IF(AND($N264=$Q$7,$B264&lt;'111'!$L$11),"x","")</f>
        <v/>
      </c>
      <c r="S264" s="87" t="str">
        <f>IF(AND($O264=$Q$7,$B264&lt;'111'!$L$11),"x","")</f>
        <v/>
      </c>
      <c r="T264" s="87" t="str">
        <f>IF(ISERROR(FIND('112'!$M$9,G264,1)),"",IF((AND(FIND('112'!$M$9,G264,1)&gt;=1,B264='112'!$K$9,OR($N264='112'!$I$6,$O264='112'!$I$6))),"x",""))</f>
        <v/>
      </c>
      <c r="U264" s="87" t="str">
        <f>IF(ISERROR(FIND('112'!$M$9,G264,1)),"",IF((AND(FIND('112'!$M$9,G264,1)&gt;=1,B264&lt;'112'!$K$9,$N264='112'!$I$6)),"x",""))</f>
        <v/>
      </c>
      <c r="V264" s="87" t="str">
        <f>IF(ISERROR(FIND('112'!$M$9,G264,1)),"",IF((AND(FIND('112'!$M$9,G264,1)&gt;=1,B264&lt;'112'!$K$9,$O264='112'!$I$6)),"x",""))</f>
        <v/>
      </c>
      <c r="W264" s="87" t="str">
        <f>IF(AND($B264&gt;='1331'!$I$9,$B264&lt;='1331'!$J$9,OR($N264=$W$7,$O264=$W$7)),"x","")</f>
        <v>x</v>
      </c>
      <c r="X264" s="87" t="str">
        <f>IF(AND($N264=$W$7,$B264&lt;'1331'!$I$9),"x","")</f>
        <v/>
      </c>
      <c r="Y264" s="87" t="str">
        <f>IF(AND($O264=$W$7,$B264&lt;'1331'!$I$9),"x","")</f>
        <v/>
      </c>
      <c r="Z264" s="87" t="str">
        <f>IF(AND('341-CT'!$H$9=H264,OR(LEFT(N264,3)=$Z$7,LEFT(O264,3)=$Z$7)),"x","")</f>
        <v/>
      </c>
      <c r="AA264" s="87" t="str">
        <f>IF(OR(TH!N264=TH!$AA$7,O264=TH!$AA$7),"x","")</f>
        <v/>
      </c>
      <c r="AB264" s="87" t="str">
        <f>IF(AND(OR(N264="131",O264="131"),H264='131-CT'!$H$9),"x","")</f>
        <v/>
      </c>
      <c r="AC264" s="87"/>
      <c r="AD264" s="87" t="str">
        <f>IF(AND(MONTH(E264)='IN-NX'!$J$5,'IN-NX'!$D$7=D264),"x","")</f>
        <v/>
      </c>
      <c r="AE264" s="87" t="str">
        <f>IF(AND(OR(LEFT(TH!N264,2)="15",LEFT(TH!O264,2)="15"),'152-CT'!$J$8=TH!F264),"x","")</f>
        <v/>
      </c>
      <c r="AF264" s="87" t="str">
        <f>IF(AND(OR(LEFT(TH!N264,2)="15",LEFT(TH!O264,2)="15"),'THE KHO'!$E$7=TH!F264),"x","")</f>
        <v/>
      </c>
      <c r="AG264" s="87" t="str">
        <f>IF(AND(N264="1521",MONTH(C264)='BK NL'!$M$11),"x","")</f>
        <v/>
      </c>
    </row>
    <row r="265" spans="1:33" ht="15.75" customHeight="1">
      <c r="A265" s="399" t="str">
        <f>IF(B265&lt;&gt;"",IF(AND(B265&gt;=_TM1,B265&lt;=_TM2,OR(TH!N265="1111",TH!O265="1111")),TH!D265,""),"")</f>
        <v>C41</v>
      </c>
      <c r="B265" s="63">
        <f>IF(C265&lt;&gt;"",MONTH(C265),"")</f>
        <v>1</v>
      </c>
      <c r="C265" s="64">
        <v>42400</v>
      </c>
      <c r="D265" s="64" t="s">
        <v>993</v>
      </c>
      <c r="E265" s="64">
        <v>42400</v>
      </c>
      <c r="F265" s="67" t="s">
        <v>855</v>
      </c>
      <c r="G265" s="362" t="s">
        <v>923</v>
      </c>
      <c r="H265" s="75" t="s">
        <v>924</v>
      </c>
      <c r="I265" s="518"/>
      <c r="J265" s="518"/>
      <c r="K265" s="509"/>
      <c r="L265" s="518"/>
      <c r="M265" s="65">
        <v>44018</v>
      </c>
      <c r="N265" s="66" t="s">
        <v>101</v>
      </c>
      <c r="O265" s="66" t="s">
        <v>63</v>
      </c>
      <c r="P265" s="87" t="str">
        <f>IF(AND('331-CT'!$E$7=TH!H265,OR(N265="331",O265="331")),"x","")</f>
        <v/>
      </c>
      <c r="Q265" s="87" t="str">
        <f>IF(AND(B265='111'!$L$11,OR($N265=$Q$7,$O265=$Q$7)),"x","")</f>
        <v>x</v>
      </c>
      <c r="R265" s="87" t="str">
        <f>IF(AND($N265=$Q$7,$B265&lt;'111'!$L$11),"x","")</f>
        <v/>
      </c>
      <c r="S265" s="87" t="str">
        <f>IF(AND($O265=$Q$7,$B265&lt;'111'!$L$11),"x","")</f>
        <v/>
      </c>
      <c r="T265" s="87" t="str">
        <f>IF(ISERROR(FIND('112'!$M$9,G265,1)),"",IF((AND(FIND('112'!$M$9,G265,1)&gt;=1,B265='112'!$K$9,OR($N265='112'!$I$6,$O265='112'!$I$6))),"x",""))</f>
        <v/>
      </c>
      <c r="U265" s="87" t="str">
        <f>IF(ISERROR(FIND('112'!$M$9,G265,1)),"",IF((AND(FIND('112'!$M$9,G265,1)&gt;=1,B265&lt;'112'!$K$9,$N265='112'!$I$6)),"x",""))</f>
        <v/>
      </c>
      <c r="V265" s="87" t="str">
        <f>IF(ISERROR(FIND('112'!$M$9,G265,1)),"",IF((AND(FIND('112'!$M$9,G265,1)&gt;=1,B265&lt;'112'!$K$9,$O265='112'!$I$6)),"x",""))</f>
        <v/>
      </c>
      <c r="W265" s="87" t="str">
        <f>IF(AND($B265&gt;='1331'!$I$9,$B265&lt;='1331'!$J$9,OR($N265=$W$7,$O265=$W$7)),"x","")</f>
        <v/>
      </c>
      <c r="X265" s="87" t="str">
        <f>IF(AND($N265=$W$7,$B265&lt;'1331'!$I$9),"x","")</f>
        <v/>
      </c>
      <c r="Y265" s="87" t="str">
        <f>IF(AND($O265=$W$7,$B265&lt;'1331'!$I$9),"x","")</f>
        <v/>
      </c>
      <c r="Z265" s="87" t="str">
        <f>IF(AND('341-CT'!$H$9=H265,OR(LEFT(N265,3)=$Z$7,LEFT(O265,3)=$Z$7)),"x","")</f>
        <v/>
      </c>
      <c r="AA265" s="87" t="str">
        <f>IF(OR(TH!N265=TH!$AA$7,O265=TH!$AA$7),"x","")</f>
        <v/>
      </c>
      <c r="AB265" s="87" t="str">
        <f>IF(AND(OR(N265="131",O265="131"),H265='131-CT'!$H$9),"x","")</f>
        <v/>
      </c>
      <c r="AC265" s="87"/>
      <c r="AD265" s="87" t="str">
        <f>IF(AND(MONTH(E265)='IN-NX'!$J$5,'IN-NX'!$D$7=D265),"x","")</f>
        <v/>
      </c>
      <c r="AE265" s="87" t="str">
        <f>IF(AND(OR(LEFT(TH!N265,2)="15",LEFT(TH!O265,2)="15"),'152-CT'!$J$8=TH!F265),"x","")</f>
        <v/>
      </c>
      <c r="AF265" s="87" t="str">
        <f>IF(AND(OR(LEFT(TH!N265,2)="15",LEFT(TH!O265,2)="15"),'THE KHO'!$E$7=TH!F265),"x","")</f>
        <v/>
      </c>
      <c r="AG265" s="87" t="str">
        <f>IF(AND(N265="1521",MONTH(C265)='BK NL'!$M$11),"x","")</f>
        <v/>
      </c>
    </row>
    <row r="266" spans="1:33" ht="15.75" customHeight="1">
      <c r="A266" s="399" t="str">
        <f>IF(B266&lt;&gt;"",IF(AND(B266&gt;=_TM1,B266&lt;=_TM2,OR(TH!N266="1111",TH!O266="1111")),TH!D266,""),"")</f>
        <v>C41</v>
      </c>
      <c r="B266" s="63">
        <f>IF(C266&lt;&gt;"",MONTH(C266),"")</f>
        <v>1</v>
      </c>
      <c r="C266" s="64">
        <v>42400</v>
      </c>
      <c r="D266" s="64" t="s">
        <v>993</v>
      </c>
      <c r="E266" s="64">
        <v>42400</v>
      </c>
      <c r="F266" s="67" t="s">
        <v>856</v>
      </c>
      <c r="G266" s="362" t="s">
        <v>923</v>
      </c>
      <c r="H266" s="75" t="s">
        <v>924</v>
      </c>
      <c r="I266" s="518"/>
      <c r="J266" s="518"/>
      <c r="K266" s="509"/>
      <c r="L266" s="518"/>
      <c r="M266" s="65">
        <v>4402</v>
      </c>
      <c r="N266" s="66" t="s">
        <v>9</v>
      </c>
      <c r="O266" s="66" t="s">
        <v>63</v>
      </c>
      <c r="P266" s="87" t="str">
        <f>IF(AND('331-CT'!$E$7=TH!H266,OR(N266="331",O266="331")),"x","")</f>
        <v/>
      </c>
      <c r="Q266" s="87" t="str">
        <f>IF(AND(B266='111'!$L$11,OR($N266=$Q$7,$O266=$Q$7)),"x","")</f>
        <v>x</v>
      </c>
      <c r="R266" s="87" t="str">
        <f>IF(AND($N266=$Q$7,$B266&lt;'111'!$L$11),"x","")</f>
        <v/>
      </c>
      <c r="S266" s="87" t="str">
        <f>IF(AND($O266=$Q$7,$B266&lt;'111'!$L$11),"x","")</f>
        <v/>
      </c>
      <c r="T266" s="87" t="str">
        <f>IF(ISERROR(FIND('112'!$M$9,G266,1)),"",IF((AND(FIND('112'!$M$9,G266,1)&gt;=1,B266='112'!$K$9,OR($N266='112'!$I$6,$O266='112'!$I$6))),"x",""))</f>
        <v/>
      </c>
      <c r="U266" s="87" t="str">
        <f>IF(ISERROR(FIND('112'!$M$9,G266,1)),"",IF((AND(FIND('112'!$M$9,G266,1)&gt;=1,B266&lt;'112'!$K$9,$N266='112'!$I$6)),"x",""))</f>
        <v/>
      </c>
      <c r="V266" s="87" t="str">
        <f>IF(ISERROR(FIND('112'!$M$9,G266,1)),"",IF((AND(FIND('112'!$M$9,G266,1)&gt;=1,B266&lt;'112'!$K$9,$O266='112'!$I$6)),"x",""))</f>
        <v/>
      </c>
      <c r="W266" s="87" t="str">
        <f>IF(AND($B266&gt;='1331'!$I$9,$B266&lt;='1331'!$J$9,OR($N266=$W$7,$O266=$W$7)),"x","")</f>
        <v>x</v>
      </c>
      <c r="X266" s="87" t="str">
        <f>IF(AND($N266=$W$7,$B266&lt;'1331'!$I$9),"x","")</f>
        <v/>
      </c>
      <c r="Y266" s="87" t="str">
        <f>IF(AND($O266=$W$7,$B266&lt;'1331'!$I$9),"x","")</f>
        <v/>
      </c>
      <c r="Z266" s="87" t="str">
        <f>IF(AND('341-CT'!$H$9=H266,OR(LEFT(N266,3)=$Z$7,LEFT(O266,3)=$Z$7)),"x","")</f>
        <v/>
      </c>
      <c r="AA266" s="87" t="str">
        <f>IF(OR(TH!N266=TH!$AA$7,O266=TH!$AA$7),"x","")</f>
        <v/>
      </c>
      <c r="AB266" s="87" t="str">
        <f>IF(AND(OR(N266="131",O266="131"),H266='131-CT'!$H$9),"x","")</f>
        <v/>
      </c>
      <c r="AC266" s="87"/>
      <c r="AD266" s="87" t="str">
        <f>IF(AND(MONTH(E266)='IN-NX'!$J$5,'IN-NX'!$D$7=D266),"x","")</f>
        <v/>
      </c>
      <c r="AE266" s="87" t="str">
        <f>IF(AND(OR(LEFT(TH!N266,2)="15",LEFT(TH!O266,2)="15"),'152-CT'!$J$8=TH!F266),"x","")</f>
        <v/>
      </c>
      <c r="AF266" s="87" t="str">
        <f>IF(AND(OR(LEFT(TH!N266,2)="15",LEFT(TH!O266,2)="15"),'THE KHO'!$E$7=TH!F266),"x","")</f>
        <v/>
      </c>
      <c r="AG266" s="87" t="str">
        <f>IF(AND(N266="1521",MONTH(C266)='BK NL'!$M$11),"x","")</f>
        <v/>
      </c>
    </row>
    <row r="267" spans="1:33" ht="15.75" customHeight="1">
      <c r="A267" s="399" t="str">
        <f>IF(B267&lt;&gt;"",IF(AND(B267&gt;=_TM1,B267&lt;=_TM2,OR(TH!N267="1111",TH!O267="1111")),TH!D267,""),"")</f>
        <v>C42</v>
      </c>
      <c r="B267" s="63">
        <f>IF(C267&lt;&gt;"",MONTH(C267),"")</f>
        <v>1</v>
      </c>
      <c r="C267" s="64">
        <v>42400</v>
      </c>
      <c r="D267" s="64" t="s">
        <v>994</v>
      </c>
      <c r="E267" s="64">
        <v>42400</v>
      </c>
      <c r="F267" s="67" t="s">
        <v>874</v>
      </c>
      <c r="G267" s="362" t="s">
        <v>925</v>
      </c>
      <c r="H267" s="75" t="s">
        <v>926</v>
      </c>
      <c r="I267" s="518"/>
      <c r="J267" s="518"/>
      <c r="K267" s="509"/>
      <c r="L267" s="518"/>
      <c r="M267" s="65">
        <v>1970034</v>
      </c>
      <c r="N267" s="66" t="s">
        <v>101</v>
      </c>
      <c r="O267" s="66" t="s">
        <v>63</v>
      </c>
      <c r="P267" s="87" t="str">
        <f>IF(AND('331-CT'!$E$7=TH!H267,OR(N267="331",O267="331")),"x","")</f>
        <v/>
      </c>
      <c r="Q267" s="87" t="str">
        <f>IF(AND(B267='111'!$L$11,OR($N267=$Q$7,$O267=$Q$7)),"x","")</f>
        <v>x</v>
      </c>
      <c r="R267" s="87" t="str">
        <f>IF(AND($N267=$Q$7,$B267&lt;'111'!$L$11),"x","")</f>
        <v/>
      </c>
      <c r="S267" s="87" t="str">
        <f>IF(AND($O267=$Q$7,$B267&lt;'111'!$L$11),"x","")</f>
        <v/>
      </c>
      <c r="T267" s="87" t="str">
        <f>IF(ISERROR(FIND('112'!$M$9,G267,1)),"",IF((AND(FIND('112'!$M$9,G267,1)&gt;=1,B267='112'!$K$9,OR($N267='112'!$I$6,$O267='112'!$I$6))),"x",""))</f>
        <v/>
      </c>
      <c r="U267" s="87" t="str">
        <f>IF(ISERROR(FIND('112'!$M$9,G267,1)),"",IF((AND(FIND('112'!$M$9,G267,1)&gt;=1,B267&lt;'112'!$K$9,$N267='112'!$I$6)),"x",""))</f>
        <v/>
      </c>
      <c r="V267" s="87" t="str">
        <f>IF(ISERROR(FIND('112'!$M$9,G267,1)),"",IF((AND(FIND('112'!$M$9,G267,1)&gt;=1,B267&lt;'112'!$K$9,$O267='112'!$I$6)),"x",""))</f>
        <v/>
      </c>
      <c r="W267" s="87" t="str">
        <f>IF(AND($B267&gt;='1331'!$I$9,$B267&lt;='1331'!$J$9,OR($N267=$W$7,$O267=$W$7)),"x","")</f>
        <v/>
      </c>
      <c r="X267" s="87" t="str">
        <f>IF(AND($N267=$W$7,$B267&lt;'1331'!$I$9),"x","")</f>
        <v/>
      </c>
      <c r="Y267" s="87" t="str">
        <f>IF(AND($O267=$W$7,$B267&lt;'1331'!$I$9),"x","")</f>
        <v/>
      </c>
      <c r="Z267" s="87" t="str">
        <f>IF(AND('341-CT'!$H$9=H267,OR(LEFT(N267,3)=$Z$7,LEFT(O267,3)=$Z$7)),"x","")</f>
        <v/>
      </c>
      <c r="AA267" s="87" t="str">
        <f>IF(OR(TH!N267=TH!$AA$7,O267=TH!$AA$7),"x","")</f>
        <v/>
      </c>
      <c r="AB267" s="87" t="str">
        <f>IF(AND(OR(N267="131",O267="131"),H267='131-CT'!$H$9),"x","")</f>
        <v/>
      </c>
      <c r="AC267" s="87"/>
      <c r="AD267" s="87" t="str">
        <f>IF(AND(MONTH(E267)='IN-NX'!$J$5,'IN-NX'!$D$7=D267),"x","")</f>
        <v/>
      </c>
      <c r="AE267" s="87" t="str">
        <f>IF(AND(OR(LEFT(TH!N267,2)="15",LEFT(TH!O267,2)="15"),'152-CT'!$J$8=TH!F267),"x","")</f>
        <v/>
      </c>
      <c r="AF267" s="87" t="str">
        <f>IF(AND(OR(LEFT(TH!N267,2)="15",LEFT(TH!O267,2)="15"),'THE KHO'!$E$7=TH!F267),"x","")</f>
        <v/>
      </c>
      <c r="AG267" s="87" t="str">
        <f>IF(AND(N267="1521",MONTH(C267)='BK NL'!$M$11),"x","")</f>
        <v/>
      </c>
    </row>
    <row r="268" spans="1:33" ht="15.75" customHeight="1">
      <c r="A268" s="399" t="str">
        <f>IF(B268&lt;&gt;"",IF(AND(B268&gt;=_TM1,B268&lt;=_TM2,OR(TH!N268="1111",TH!O268="1111")),TH!D268,""),"")</f>
        <v>C42</v>
      </c>
      <c r="B268" s="63">
        <f>IF(C268&lt;&gt;"",MONTH(C268),"")</f>
        <v>1</v>
      </c>
      <c r="C268" s="64">
        <v>42400</v>
      </c>
      <c r="D268" s="64" t="s">
        <v>994</v>
      </c>
      <c r="E268" s="64">
        <v>42400</v>
      </c>
      <c r="F268" s="67" t="s">
        <v>875</v>
      </c>
      <c r="G268" s="362" t="s">
        <v>925</v>
      </c>
      <c r="H268" s="75" t="s">
        <v>926</v>
      </c>
      <c r="I268" s="518"/>
      <c r="J268" s="518"/>
      <c r="K268" s="509"/>
      <c r="L268" s="518"/>
      <c r="M268" s="65">
        <v>197003</v>
      </c>
      <c r="N268" s="66" t="s">
        <v>9</v>
      </c>
      <c r="O268" s="66" t="s">
        <v>63</v>
      </c>
      <c r="P268" s="87" t="str">
        <f>IF(AND('331-CT'!$E$7=TH!H268,OR(N268="331",O268="331")),"x","")</f>
        <v/>
      </c>
      <c r="Q268" s="87" t="str">
        <f>IF(AND(B268='111'!$L$11,OR($N268=$Q$7,$O268=$Q$7)),"x","")</f>
        <v>x</v>
      </c>
      <c r="R268" s="87" t="str">
        <f>IF(AND($N268=$Q$7,$B268&lt;'111'!$L$11),"x","")</f>
        <v/>
      </c>
      <c r="S268" s="87" t="str">
        <f>IF(AND($O268=$Q$7,$B268&lt;'111'!$L$11),"x","")</f>
        <v/>
      </c>
      <c r="T268" s="87" t="str">
        <f>IF(ISERROR(FIND('112'!$M$9,G268,1)),"",IF((AND(FIND('112'!$M$9,G268,1)&gt;=1,B268='112'!$K$9,OR($N268='112'!$I$6,$O268='112'!$I$6))),"x",""))</f>
        <v/>
      </c>
      <c r="U268" s="87" t="str">
        <f>IF(ISERROR(FIND('112'!$M$9,G268,1)),"",IF((AND(FIND('112'!$M$9,G268,1)&gt;=1,B268&lt;'112'!$K$9,$N268='112'!$I$6)),"x",""))</f>
        <v/>
      </c>
      <c r="V268" s="87" t="str">
        <f>IF(ISERROR(FIND('112'!$M$9,G268,1)),"",IF((AND(FIND('112'!$M$9,G268,1)&gt;=1,B268&lt;'112'!$K$9,$O268='112'!$I$6)),"x",""))</f>
        <v/>
      </c>
      <c r="W268" s="87" t="str">
        <f>IF(AND($B268&gt;='1331'!$I$9,$B268&lt;='1331'!$J$9,OR($N268=$W$7,$O268=$W$7)),"x","")</f>
        <v>x</v>
      </c>
      <c r="X268" s="87" t="str">
        <f>IF(AND($N268=$W$7,$B268&lt;'1331'!$I$9),"x","")</f>
        <v/>
      </c>
      <c r="Y268" s="87" t="str">
        <f>IF(AND($O268=$W$7,$B268&lt;'1331'!$I$9),"x","")</f>
        <v/>
      </c>
      <c r="Z268" s="87" t="str">
        <f>IF(AND('341-CT'!$H$9=H268,OR(LEFT(N268,3)=$Z$7,LEFT(O268,3)=$Z$7)),"x","")</f>
        <v/>
      </c>
      <c r="AA268" s="87" t="str">
        <f>IF(OR(TH!N268=TH!$AA$7,O268=TH!$AA$7),"x","")</f>
        <v/>
      </c>
      <c r="AB268" s="87" t="str">
        <f>IF(AND(OR(N268="131",O268="131"),H268='131-CT'!$H$9),"x","")</f>
        <v/>
      </c>
      <c r="AC268" s="87"/>
      <c r="AD268" s="87" t="str">
        <f>IF(AND(MONTH(E268)='IN-NX'!$J$5,'IN-NX'!$D$7=D268),"x","")</f>
        <v/>
      </c>
      <c r="AE268" s="87" t="str">
        <f>IF(AND(OR(LEFT(TH!N268,2)="15",LEFT(TH!O268,2)="15"),'152-CT'!$J$8=TH!F268),"x","")</f>
        <v/>
      </c>
      <c r="AF268" s="87" t="str">
        <f>IF(AND(OR(LEFT(TH!N268,2)="15",LEFT(TH!O268,2)="15"),'THE KHO'!$E$7=TH!F268),"x","")</f>
        <v/>
      </c>
      <c r="AG268" s="87" t="str">
        <f>IF(AND(N268="1521",MONTH(C268)='BK NL'!$M$11),"x","")</f>
        <v/>
      </c>
    </row>
    <row r="269" spans="1:33" ht="15.75" customHeight="1">
      <c r="A269" s="399" t="str">
        <f>IF(B269&lt;&gt;"",IF(AND(B269&gt;=_TM1,B269&lt;=_TM2,OR(TH!N269="1111",TH!O269="1111")),TH!D269,""),"")</f>
        <v>C43</v>
      </c>
      <c r="B269" s="63">
        <f>IF(C269&lt;&gt;"",MONTH(C269),"")</f>
        <v>1</v>
      </c>
      <c r="C269" s="64">
        <v>42400</v>
      </c>
      <c r="D269" s="64" t="s">
        <v>995</v>
      </c>
      <c r="E269" s="64">
        <v>42400</v>
      </c>
      <c r="F269" s="67" t="s">
        <v>876</v>
      </c>
      <c r="G269" s="362" t="s">
        <v>927</v>
      </c>
      <c r="H269" s="75" t="s">
        <v>928</v>
      </c>
      <c r="I269" s="518"/>
      <c r="J269" s="518"/>
      <c r="K269" s="509"/>
      <c r="L269" s="518"/>
      <c r="M269" s="65">
        <v>354533</v>
      </c>
      <c r="N269" s="66" t="s">
        <v>101</v>
      </c>
      <c r="O269" s="66" t="s">
        <v>63</v>
      </c>
      <c r="P269" s="87" t="str">
        <f>IF(AND('331-CT'!$E$7=TH!H269,OR(N269="331",O269="331")),"x","")</f>
        <v/>
      </c>
      <c r="Q269" s="87" t="str">
        <f>IF(AND(B269='111'!$L$11,OR($N269=$Q$7,$O269=$Q$7)),"x","")</f>
        <v>x</v>
      </c>
      <c r="R269" s="87" t="str">
        <f>IF(AND($N269=$Q$7,$B269&lt;'111'!$L$11),"x","")</f>
        <v/>
      </c>
      <c r="S269" s="87" t="str">
        <f>IF(AND($O269=$Q$7,$B269&lt;'111'!$L$11),"x","")</f>
        <v/>
      </c>
      <c r="T269" s="87" t="str">
        <f>IF(ISERROR(FIND('112'!$M$9,G269,1)),"",IF((AND(FIND('112'!$M$9,G269,1)&gt;=1,B269='112'!$K$9,OR($N269='112'!$I$6,$O269='112'!$I$6))),"x",""))</f>
        <v/>
      </c>
      <c r="U269" s="87" t="str">
        <f>IF(ISERROR(FIND('112'!$M$9,G269,1)),"",IF((AND(FIND('112'!$M$9,G269,1)&gt;=1,B269&lt;'112'!$K$9,$N269='112'!$I$6)),"x",""))</f>
        <v/>
      </c>
      <c r="V269" s="87" t="str">
        <f>IF(ISERROR(FIND('112'!$M$9,G269,1)),"",IF((AND(FIND('112'!$M$9,G269,1)&gt;=1,B269&lt;'112'!$K$9,$O269='112'!$I$6)),"x",""))</f>
        <v/>
      </c>
      <c r="W269" s="87" t="str">
        <f>IF(AND($B269&gt;='1331'!$I$9,$B269&lt;='1331'!$J$9,OR($N269=$W$7,$O269=$W$7)),"x","")</f>
        <v/>
      </c>
      <c r="X269" s="87" t="str">
        <f>IF(AND($N269=$W$7,$B269&lt;'1331'!$I$9),"x","")</f>
        <v/>
      </c>
      <c r="Y269" s="87" t="str">
        <f>IF(AND($O269=$W$7,$B269&lt;'1331'!$I$9),"x","")</f>
        <v/>
      </c>
      <c r="Z269" s="87" t="str">
        <f>IF(AND('341-CT'!$H$9=H269,OR(LEFT(N269,3)=$Z$7,LEFT(O269,3)=$Z$7)),"x","")</f>
        <v/>
      </c>
      <c r="AA269" s="87" t="str">
        <f>IF(OR(TH!N269=TH!$AA$7,O269=TH!$AA$7),"x","")</f>
        <v/>
      </c>
      <c r="AB269" s="87" t="str">
        <f>IF(AND(OR(N269="131",O269="131"),H269='131-CT'!$H$9),"x","")</f>
        <v/>
      </c>
      <c r="AC269" s="87"/>
      <c r="AD269" s="87" t="str">
        <f>IF(AND(MONTH(E269)='IN-NX'!$J$5,'IN-NX'!$D$7=D269),"x","")</f>
        <v/>
      </c>
      <c r="AE269" s="87" t="str">
        <f>IF(AND(OR(LEFT(TH!N269,2)="15",LEFT(TH!O269,2)="15"),'152-CT'!$J$8=TH!F269),"x","")</f>
        <v/>
      </c>
      <c r="AF269" s="87" t="str">
        <f>IF(AND(OR(LEFT(TH!N269,2)="15",LEFT(TH!O269,2)="15"),'THE KHO'!$E$7=TH!F269),"x","")</f>
        <v/>
      </c>
      <c r="AG269" s="87" t="str">
        <f>IF(AND(N269="1521",MONTH(C269)='BK NL'!$M$11),"x","")</f>
        <v/>
      </c>
    </row>
    <row r="270" spans="1:33" ht="15.75" customHeight="1">
      <c r="A270" s="399" t="str">
        <f>IF(B270&lt;&gt;"",IF(AND(B270&gt;=_TM1,B270&lt;=_TM2,OR(TH!N270="1111",TH!O270="1111")),TH!D270,""),"")</f>
        <v>C43</v>
      </c>
      <c r="B270" s="63">
        <f>IF(C270&lt;&gt;"",MONTH(C270),"")</f>
        <v>1</v>
      </c>
      <c r="C270" s="64">
        <v>42400</v>
      </c>
      <c r="D270" s="64" t="s">
        <v>995</v>
      </c>
      <c r="E270" s="64">
        <v>42400</v>
      </c>
      <c r="F270" s="67" t="s">
        <v>877</v>
      </c>
      <c r="G270" s="362" t="s">
        <v>927</v>
      </c>
      <c r="H270" s="75" t="s">
        <v>928</v>
      </c>
      <c r="I270" s="518"/>
      <c r="J270" s="518"/>
      <c r="K270" s="509"/>
      <c r="L270" s="518"/>
      <c r="M270" s="65">
        <v>35453</v>
      </c>
      <c r="N270" s="66" t="s">
        <v>9</v>
      </c>
      <c r="O270" s="66" t="s">
        <v>63</v>
      </c>
      <c r="P270" s="87" t="str">
        <f>IF(AND('331-CT'!$E$7=TH!H270,OR(N270="331",O270="331")),"x","")</f>
        <v/>
      </c>
      <c r="Q270" s="87" t="str">
        <f>IF(AND(B270='111'!$L$11,OR($N270=$Q$7,$O270=$Q$7)),"x","")</f>
        <v>x</v>
      </c>
      <c r="R270" s="87" t="str">
        <f>IF(AND($N270=$Q$7,$B270&lt;'111'!$L$11),"x","")</f>
        <v/>
      </c>
      <c r="S270" s="87" t="str">
        <f>IF(AND($O270=$Q$7,$B270&lt;'111'!$L$11),"x","")</f>
        <v/>
      </c>
      <c r="T270" s="87" t="str">
        <f>IF(ISERROR(FIND('112'!$M$9,G270,1)),"",IF((AND(FIND('112'!$M$9,G270,1)&gt;=1,B270='112'!$K$9,OR($N270='112'!$I$6,$O270='112'!$I$6))),"x",""))</f>
        <v/>
      </c>
      <c r="U270" s="87" t="str">
        <f>IF(ISERROR(FIND('112'!$M$9,G270,1)),"",IF((AND(FIND('112'!$M$9,G270,1)&gt;=1,B270&lt;'112'!$K$9,$N270='112'!$I$6)),"x",""))</f>
        <v/>
      </c>
      <c r="V270" s="87" t="str">
        <f>IF(ISERROR(FIND('112'!$M$9,G270,1)),"",IF((AND(FIND('112'!$M$9,G270,1)&gt;=1,B270&lt;'112'!$K$9,$O270='112'!$I$6)),"x",""))</f>
        <v/>
      </c>
      <c r="W270" s="87" t="str">
        <f>IF(AND($B270&gt;='1331'!$I$9,$B270&lt;='1331'!$J$9,OR($N270=$W$7,$O270=$W$7)),"x","")</f>
        <v>x</v>
      </c>
      <c r="X270" s="87" t="str">
        <f>IF(AND($N270=$W$7,$B270&lt;'1331'!$I$9),"x","")</f>
        <v/>
      </c>
      <c r="Y270" s="87" t="str">
        <f>IF(AND($O270=$W$7,$B270&lt;'1331'!$I$9),"x","")</f>
        <v/>
      </c>
      <c r="Z270" s="87" t="str">
        <f>IF(AND('341-CT'!$H$9=H270,OR(LEFT(N270,3)=$Z$7,LEFT(O270,3)=$Z$7)),"x","")</f>
        <v/>
      </c>
      <c r="AA270" s="87" t="str">
        <f>IF(OR(TH!N270=TH!$AA$7,O270=TH!$AA$7),"x","")</f>
        <v/>
      </c>
      <c r="AB270" s="87" t="str">
        <f>IF(AND(OR(N270="131",O270="131"),H270='131-CT'!$H$9),"x","")</f>
        <v/>
      </c>
      <c r="AC270" s="87"/>
      <c r="AD270" s="87" t="str">
        <f>IF(AND(MONTH(E270)='IN-NX'!$J$5,'IN-NX'!$D$7=D270),"x","")</f>
        <v/>
      </c>
      <c r="AE270" s="87" t="str">
        <f>IF(AND(OR(LEFT(TH!N270,2)="15",LEFT(TH!O270,2)="15"),'152-CT'!$J$8=TH!F270),"x","")</f>
        <v/>
      </c>
      <c r="AF270" s="87" t="str">
        <f>IF(AND(OR(LEFT(TH!N270,2)="15",LEFT(TH!O270,2)="15"),'THE KHO'!$E$7=TH!F270),"x","")</f>
        <v/>
      </c>
      <c r="AG270" s="87" t="str">
        <f>IF(AND(N270="1521",MONTH(C270)='BK NL'!$M$11),"x","")</f>
        <v/>
      </c>
    </row>
    <row r="271" spans="1:33" ht="15.75" customHeight="1">
      <c r="A271" s="399" t="str">
        <f>IF(B271&lt;&gt;"",IF(AND(B271&gt;=_TM1,B271&lt;=_TM2,OR(TH!N271="1111",TH!O271="1111")),TH!D271,""),"")</f>
        <v>C44</v>
      </c>
      <c r="B271" s="63">
        <f>IF(C271&lt;&gt;"",MONTH(C271),"")</f>
        <v>1</v>
      </c>
      <c r="C271" s="64">
        <v>42400</v>
      </c>
      <c r="D271" s="64" t="s">
        <v>996</v>
      </c>
      <c r="E271" s="64">
        <v>42400</v>
      </c>
      <c r="F271" s="67" t="s">
        <v>878</v>
      </c>
      <c r="G271" s="362"/>
      <c r="H271" s="75" t="s">
        <v>929</v>
      </c>
      <c r="I271" s="518"/>
      <c r="J271" s="518"/>
      <c r="K271" s="509"/>
      <c r="L271" s="518"/>
      <c r="M271" s="65"/>
      <c r="N271" s="66" t="s">
        <v>643</v>
      </c>
      <c r="O271" s="66" t="s">
        <v>63</v>
      </c>
      <c r="P271" s="87" t="str">
        <f>IF(AND('331-CT'!$E$7=TH!H271,OR(N271="331",O271="331")),"x","")</f>
        <v/>
      </c>
      <c r="Q271" s="87" t="str">
        <f>IF(AND(B271='111'!$L$11,OR($N271=$Q$7,$O271=$Q$7)),"x","")</f>
        <v>x</v>
      </c>
      <c r="R271" s="87" t="str">
        <f>IF(AND($N271=$Q$7,$B271&lt;'111'!$L$11),"x","")</f>
        <v/>
      </c>
      <c r="S271" s="87" t="str">
        <f>IF(AND($O271=$Q$7,$B271&lt;'111'!$L$11),"x","")</f>
        <v/>
      </c>
      <c r="T271" s="87" t="str">
        <f>IF(ISERROR(FIND('112'!$M$9,G271,1)),"",IF((AND(FIND('112'!$M$9,G271,1)&gt;=1,B271='112'!$K$9,OR($N271='112'!$I$6,$O271='112'!$I$6))),"x",""))</f>
        <v/>
      </c>
      <c r="U271" s="87" t="str">
        <f>IF(ISERROR(FIND('112'!$M$9,G271,1)),"",IF((AND(FIND('112'!$M$9,G271,1)&gt;=1,B271&lt;'112'!$K$9,$N271='112'!$I$6)),"x",""))</f>
        <v/>
      </c>
      <c r="V271" s="87" t="str">
        <f>IF(ISERROR(FIND('112'!$M$9,G271,1)),"",IF((AND(FIND('112'!$M$9,G271,1)&gt;=1,B271&lt;'112'!$K$9,$O271='112'!$I$6)),"x",""))</f>
        <v/>
      </c>
      <c r="W271" s="87" t="str">
        <f>IF(AND($B271&gt;='1331'!$I$9,$B271&lt;='1331'!$J$9,OR($N271=$W$7,$O271=$W$7)),"x","")</f>
        <v/>
      </c>
      <c r="X271" s="87" t="str">
        <f>IF(AND($N271=$W$7,$B271&lt;'1331'!$I$9),"x","")</f>
        <v/>
      </c>
      <c r="Y271" s="87" t="str">
        <f>IF(AND($O271=$W$7,$B271&lt;'1331'!$I$9),"x","")</f>
        <v/>
      </c>
      <c r="Z271" s="87" t="str">
        <f>IF(AND('341-CT'!$H$9=H271,OR(LEFT(N271,3)=$Z$7,LEFT(O271,3)=$Z$7)),"x","")</f>
        <v/>
      </c>
      <c r="AA271" s="87" t="str">
        <f>IF(OR(TH!N271=TH!$AA$7,O271=TH!$AA$7),"x","")</f>
        <v/>
      </c>
      <c r="AB271" s="87" t="str">
        <f>IF(AND(OR(N271="131",O271="131"),H271='131-CT'!$H$9),"x","")</f>
        <v/>
      </c>
      <c r="AC271" s="87"/>
      <c r="AD271" s="87" t="str">
        <f>IF(AND(MONTH(E271)='IN-NX'!$J$5,'IN-NX'!$D$7=D271),"x","")</f>
        <v/>
      </c>
      <c r="AE271" s="87" t="str">
        <f>IF(AND(OR(LEFT(TH!N271,2)="15",LEFT(TH!O271,2)="15"),'152-CT'!$J$8=TH!F271),"x","")</f>
        <v/>
      </c>
      <c r="AF271" s="87" t="str">
        <f>IF(AND(OR(LEFT(TH!N271,2)="15",LEFT(TH!O271,2)="15"),'THE KHO'!$E$7=TH!F271),"x","")</f>
        <v/>
      </c>
      <c r="AG271" s="87" t="str">
        <f>IF(AND(N271="1521",MONTH(C271)='BK NL'!$M$11),"x","")</f>
        <v/>
      </c>
    </row>
    <row r="272" spans="1:33" ht="15.75" customHeight="1">
      <c r="A272" s="399" t="str">
        <f>IF(B272&lt;&gt;"",IF(AND(B272&gt;=_TM1,B272&lt;=_TM2,OR(TH!N272="1111",TH!O272="1111")),TH!D272,""),"")</f>
        <v/>
      </c>
      <c r="B272" s="63" t="str">
        <f t="shared" ref="B268:B309" si="9">IF(C272&lt;&gt;"",MONTH(C272),"")</f>
        <v/>
      </c>
      <c r="C272" s="64"/>
      <c r="D272" s="64"/>
      <c r="E272" s="64"/>
      <c r="F272" s="67"/>
      <c r="G272" s="362"/>
      <c r="H272" s="76"/>
      <c r="I272" s="521"/>
      <c r="J272" s="521"/>
      <c r="K272" s="512"/>
      <c r="L272" s="521"/>
      <c r="M272" s="65"/>
      <c r="N272" s="66"/>
      <c r="O272" s="66"/>
      <c r="P272" s="87" t="str">
        <f>IF(AND('331-CT'!$E$7=TH!H272,OR(N272="331",O272="331")),"x","")</f>
        <v/>
      </c>
      <c r="Q272" s="87" t="str">
        <f>IF(AND(B272='111'!$L$11,OR($N272=$Q$7,$O272=$Q$7)),"x","")</f>
        <v/>
      </c>
      <c r="R272" s="87" t="str">
        <f>IF(AND($N272=$Q$7,$B272&lt;'111'!$L$11),"x","")</f>
        <v/>
      </c>
      <c r="S272" s="87" t="str">
        <f>IF(AND($O272=$Q$7,$B272&lt;'111'!$L$11),"x","")</f>
        <v/>
      </c>
      <c r="T272" s="87" t="str">
        <f>IF(ISERROR(FIND('112'!$M$9,G272,1)),"",IF((AND(FIND('112'!$M$9,G272,1)&gt;=1,B272='112'!$K$9,OR($N272='112'!$I$6,$O272='112'!$I$6))),"x",""))</f>
        <v/>
      </c>
      <c r="U272" s="87" t="str">
        <f>IF(ISERROR(FIND('112'!$M$9,G272,1)),"",IF((AND(FIND('112'!$M$9,G272,1)&gt;=1,B272&lt;'112'!$K$9,$N272='112'!$I$6)),"x",""))</f>
        <v/>
      </c>
      <c r="V272" s="87" t="str">
        <f>IF(ISERROR(FIND('112'!$M$9,G272,1)),"",IF((AND(FIND('112'!$M$9,G272,1)&gt;=1,B272&lt;'112'!$K$9,$O272='112'!$I$6)),"x",""))</f>
        <v/>
      </c>
      <c r="W272" s="87" t="str">
        <f>IF(AND($B272&gt;='1331'!$I$9,$B272&lt;='1331'!$J$9,OR($N272=$W$7,$O272=$W$7)),"x","")</f>
        <v/>
      </c>
      <c r="X272" s="87" t="str">
        <f>IF(AND($N272=$W$7,$B272&lt;'1331'!$I$9),"x","")</f>
        <v/>
      </c>
      <c r="Y272" s="87" t="str">
        <f>IF(AND($O272=$W$7,$B272&lt;'1331'!$I$9),"x","")</f>
        <v/>
      </c>
      <c r="Z272" s="87" t="str">
        <f>IF(AND('341-CT'!$H$9=H272,OR(LEFT(N272,3)=$Z$7,LEFT(O272,3)=$Z$7)),"x","")</f>
        <v/>
      </c>
      <c r="AA272" s="87" t="str">
        <f>IF(OR(TH!N272=TH!$AA$7,O272=TH!$AA$7),"x","")</f>
        <v/>
      </c>
      <c r="AB272" s="87" t="str">
        <f>IF(AND(OR(N272="131",O272="131"),H272='131-CT'!$H$9),"x","")</f>
        <v/>
      </c>
      <c r="AC272" s="87"/>
      <c r="AD272" s="87" t="str">
        <f>IF(AND(MONTH(E272)='IN-NX'!$J$5,'IN-NX'!$D$7=D272),"x","")</f>
        <v/>
      </c>
      <c r="AE272" s="87" t="str">
        <f>IF(AND(OR(LEFT(TH!N272,2)="15",LEFT(TH!O272,2)="15"),'152-CT'!$J$8=TH!F272),"x","")</f>
        <v/>
      </c>
      <c r="AF272" s="87" t="str">
        <f>IF(AND(OR(LEFT(TH!N272,2)="15",LEFT(TH!O272,2)="15"),'THE KHO'!$E$7=TH!F272),"x","")</f>
        <v/>
      </c>
      <c r="AG272" s="87" t="str">
        <f>IF(AND(N272="1521",MONTH(C272)='BK NL'!$M$11),"x","")</f>
        <v/>
      </c>
    </row>
    <row r="273" spans="1:33" ht="15.75" customHeight="1">
      <c r="A273" s="399" t="str">
        <f>IF(B273&lt;&gt;"",IF(AND(B273&gt;=_TM1,B273&lt;=_TM2,OR(TH!N273="1111",TH!O273="1111")),TH!D273,""),"")</f>
        <v/>
      </c>
      <c r="B273" s="63" t="str">
        <f t="shared" si="9"/>
        <v/>
      </c>
      <c r="C273" s="64"/>
      <c r="D273" s="64"/>
      <c r="E273" s="64"/>
      <c r="F273" s="67"/>
      <c r="G273" s="362"/>
      <c r="H273" s="75"/>
      <c r="I273" s="518"/>
      <c r="J273" s="518"/>
      <c r="K273" s="509"/>
      <c r="L273" s="518"/>
      <c r="M273" s="65"/>
      <c r="N273" s="66"/>
      <c r="O273" s="66"/>
      <c r="P273" s="87" t="str">
        <f>IF(AND('331-CT'!$E$7=TH!H273,OR(N273="331",O273="331")),"x","")</f>
        <v/>
      </c>
      <c r="Q273" s="87" t="str">
        <f>IF(AND(B273='111'!$L$11,OR($N273=$Q$7,$O273=$Q$7)),"x","")</f>
        <v/>
      </c>
      <c r="R273" s="87" t="str">
        <f>IF(AND($N273=$Q$7,$B273&lt;'111'!$L$11),"x","")</f>
        <v/>
      </c>
      <c r="S273" s="87" t="str">
        <f>IF(AND($O273=$Q$7,$B273&lt;'111'!$L$11),"x","")</f>
        <v/>
      </c>
      <c r="T273" s="87" t="str">
        <f>IF(ISERROR(FIND('112'!$M$9,G273,1)),"",IF((AND(FIND('112'!$M$9,G273,1)&gt;=1,B273='112'!$K$9,OR($N273='112'!$I$6,$O273='112'!$I$6))),"x",""))</f>
        <v/>
      </c>
      <c r="U273" s="87" t="str">
        <f>IF(ISERROR(FIND('112'!$M$9,G273,1)),"",IF((AND(FIND('112'!$M$9,G273,1)&gt;=1,B273&lt;'112'!$K$9,$N273='112'!$I$6)),"x",""))</f>
        <v/>
      </c>
      <c r="V273" s="87" t="str">
        <f>IF(ISERROR(FIND('112'!$M$9,G273,1)),"",IF((AND(FIND('112'!$M$9,G273,1)&gt;=1,B273&lt;'112'!$K$9,$O273='112'!$I$6)),"x",""))</f>
        <v/>
      </c>
      <c r="W273" s="87" t="str">
        <f>IF(AND($B273&gt;='1331'!$I$9,$B273&lt;='1331'!$J$9,OR($N273=$W$7,$O273=$W$7)),"x","")</f>
        <v/>
      </c>
      <c r="X273" s="87" t="str">
        <f>IF(AND($N273=$W$7,$B273&lt;'1331'!$I$9),"x","")</f>
        <v/>
      </c>
      <c r="Y273" s="87" t="str">
        <f>IF(AND($O273=$W$7,$B273&lt;'1331'!$I$9),"x","")</f>
        <v/>
      </c>
      <c r="Z273" s="87" t="str">
        <f>IF(AND('341-CT'!$H$9=H273,OR(LEFT(N273,3)=$Z$7,LEFT(O273,3)=$Z$7)),"x","")</f>
        <v/>
      </c>
      <c r="AA273" s="87" t="str">
        <f>IF(OR(TH!N273=TH!$AA$7,O273=TH!$AA$7),"x","")</f>
        <v/>
      </c>
      <c r="AB273" s="87" t="str">
        <f>IF(AND(OR(N273="131",O273="131"),H273='131-CT'!$H$9),"x","")</f>
        <v/>
      </c>
      <c r="AC273" s="87"/>
      <c r="AD273" s="87" t="str">
        <f>IF(AND(MONTH(E273)='IN-NX'!$J$5,'IN-NX'!$D$7=D273),"x","")</f>
        <v/>
      </c>
      <c r="AE273" s="87" t="str">
        <f>IF(AND(OR(LEFT(TH!N273,2)="15",LEFT(TH!O273,2)="15"),'152-CT'!$J$8=TH!F273),"x","")</f>
        <v/>
      </c>
      <c r="AF273" s="87" t="str">
        <f>IF(AND(OR(LEFT(TH!N273,2)="15",LEFT(TH!O273,2)="15"),'THE KHO'!$E$7=TH!F273),"x","")</f>
        <v/>
      </c>
      <c r="AG273" s="87" t="str">
        <f>IF(AND(N273="1521",MONTH(C273)='BK NL'!$M$11),"x","")</f>
        <v/>
      </c>
    </row>
    <row r="274" spans="1:33" ht="15.75" customHeight="1">
      <c r="A274" s="399" t="str">
        <f>IF(B274&lt;&gt;"",IF(AND(B274&gt;=_TM1,B274&lt;=_TM2,OR(TH!N274="1111",TH!O274="1111")),TH!D274,""),"")</f>
        <v/>
      </c>
      <c r="B274" s="63" t="str">
        <f t="shared" si="9"/>
        <v/>
      </c>
      <c r="C274" s="64"/>
      <c r="D274" s="64"/>
      <c r="E274" s="64"/>
      <c r="F274" s="67"/>
      <c r="G274" s="362"/>
      <c r="H274" s="75"/>
      <c r="I274" s="518"/>
      <c r="J274" s="518"/>
      <c r="K274" s="509"/>
      <c r="L274" s="518"/>
      <c r="M274" s="65"/>
      <c r="N274" s="66"/>
      <c r="O274" s="66"/>
      <c r="P274" s="87" t="str">
        <f>IF(AND('331-CT'!$E$7=TH!H274,OR(N274="331",O274="331")),"x","")</f>
        <v/>
      </c>
      <c r="Q274" s="87" t="str">
        <f>IF(AND(B274='111'!$L$11,OR($N274=$Q$7,$O274=$Q$7)),"x","")</f>
        <v/>
      </c>
      <c r="R274" s="87" t="str">
        <f>IF(AND($N274=$Q$7,$B274&lt;'111'!$L$11),"x","")</f>
        <v/>
      </c>
      <c r="S274" s="87" t="str">
        <f>IF(AND($O274=$Q$7,$B274&lt;'111'!$L$11),"x","")</f>
        <v/>
      </c>
      <c r="T274" s="87" t="str">
        <f>IF(ISERROR(FIND('112'!$M$9,G274,1)),"",IF((AND(FIND('112'!$M$9,G274,1)&gt;=1,B274='112'!$K$9,OR($N274='112'!$I$6,$O274='112'!$I$6))),"x",""))</f>
        <v/>
      </c>
      <c r="U274" s="87" t="str">
        <f>IF(ISERROR(FIND('112'!$M$9,G274,1)),"",IF((AND(FIND('112'!$M$9,G274,1)&gt;=1,B274&lt;'112'!$K$9,$N274='112'!$I$6)),"x",""))</f>
        <v/>
      </c>
      <c r="V274" s="87" t="str">
        <f>IF(ISERROR(FIND('112'!$M$9,G274,1)),"",IF((AND(FIND('112'!$M$9,G274,1)&gt;=1,B274&lt;'112'!$K$9,$O274='112'!$I$6)),"x",""))</f>
        <v/>
      </c>
      <c r="W274" s="87" t="str">
        <f>IF(AND($B274&gt;='1331'!$I$9,$B274&lt;='1331'!$J$9,OR($N274=$W$7,$O274=$W$7)),"x","")</f>
        <v/>
      </c>
      <c r="X274" s="87" t="str">
        <f>IF(AND($N274=$W$7,$B274&lt;'1331'!$I$9),"x","")</f>
        <v/>
      </c>
      <c r="Y274" s="87" t="str">
        <f>IF(AND($O274=$W$7,$B274&lt;'1331'!$I$9),"x","")</f>
        <v/>
      </c>
      <c r="Z274" s="87" t="str">
        <f>IF(AND('341-CT'!$H$9=H274,OR(LEFT(N274,3)=$Z$7,LEFT(O274,3)=$Z$7)),"x","")</f>
        <v/>
      </c>
      <c r="AA274" s="87" t="str">
        <f>IF(OR(TH!N274=TH!$AA$7,O274=TH!$AA$7),"x","")</f>
        <v/>
      </c>
      <c r="AB274" s="87" t="str">
        <f>IF(AND(OR(N274="131",O274="131"),H274='131-CT'!$H$9),"x","")</f>
        <v/>
      </c>
      <c r="AC274" s="87"/>
      <c r="AD274" s="87" t="str">
        <f>IF(AND(MONTH(E274)='IN-NX'!$J$5,'IN-NX'!$D$7=D274),"x","")</f>
        <v/>
      </c>
      <c r="AE274" s="87" t="str">
        <f>IF(AND(OR(LEFT(TH!N274,2)="15",LEFT(TH!O274,2)="15"),'152-CT'!$J$8=TH!F274),"x","")</f>
        <v/>
      </c>
      <c r="AF274" s="87" t="str">
        <f>IF(AND(OR(LEFT(TH!N274,2)="15",LEFT(TH!O274,2)="15"),'THE KHO'!$E$7=TH!F274),"x","")</f>
        <v/>
      </c>
      <c r="AG274" s="87" t="str">
        <f>IF(AND(N274="1521",MONTH(C274)='BK NL'!$M$11),"x","")</f>
        <v/>
      </c>
    </row>
    <row r="275" spans="1:33" ht="15.75" customHeight="1">
      <c r="A275" s="399" t="str">
        <f>IF(B275&lt;&gt;"",IF(AND(B275&gt;=_TM1,B275&lt;=_TM2,OR(TH!N275="1111",TH!O275="1111")),TH!D275,""),"")</f>
        <v/>
      </c>
      <c r="B275" s="63" t="str">
        <f t="shared" si="9"/>
        <v/>
      </c>
      <c r="C275" s="64"/>
      <c r="D275" s="64"/>
      <c r="E275" s="64"/>
      <c r="F275" s="67"/>
      <c r="G275" s="362"/>
      <c r="H275" s="75"/>
      <c r="I275" s="518"/>
      <c r="J275" s="518"/>
      <c r="K275" s="509"/>
      <c r="L275" s="518"/>
      <c r="M275" s="65"/>
      <c r="N275" s="66"/>
      <c r="O275" s="66"/>
      <c r="P275" s="87" t="str">
        <f>IF(AND('331-CT'!$E$7=TH!H275,OR(N275="331",O275="331")),"x","")</f>
        <v/>
      </c>
      <c r="Q275" s="87" t="str">
        <f>IF(AND(B275='111'!$L$11,OR($N275=$Q$7,$O275=$Q$7)),"x","")</f>
        <v/>
      </c>
      <c r="R275" s="87" t="str">
        <f>IF(AND($N275=$Q$7,$B275&lt;'111'!$L$11),"x","")</f>
        <v/>
      </c>
      <c r="S275" s="87" t="str">
        <f>IF(AND($O275=$Q$7,$B275&lt;'111'!$L$11),"x","")</f>
        <v/>
      </c>
      <c r="T275" s="87" t="str">
        <f>IF(ISERROR(FIND('112'!$M$9,G275,1)),"",IF((AND(FIND('112'!$M$9,G275,1)&gt;=1,B275='112'!$K$9,OR($N275='112'!$I$6,$O275='112'!$I$6))),"x",""))</f>
        <v/>
      </c>
      <c r="U275" s="87" t="str">
        <f>IF(ISERROR(FIND('112'!$M$9,G275,1)),"",IF((AND(FIND('112'!$M$9,G275,1)&gt;=1,B275&lt;'112'!$K$9,$N275='112'!$I$6)),"x",""))</f>
        <v/>
      </c>
      <c r="V275" s="87" t="str">
        <f>IF(ISERROR(FIND('112'!$M$9,G275,1)),"",IF((AND(FIND('112'!$M$9,G275,1)&gt;=1,B275&lt;'112'!$K$9,$O275='112'!$I$6)),"x",""))</f>
        <v/>
      </c>
      <c r="W275" s="87" t="str">
        <f>IF(AND($B275&gt;='1331'!$I$9,$B275&lt;='1331'!$J$9,OR($N275=$W$7,$O275=$W$7)),"x","")</f>
        <v/>
      </c>
      <c r="X275" s="87" t="str">
        <f>IF(AND($N275=$W$7,$B275&lt;'1331'!$I$9),"x","")</f>
        <v/>
      </c>
      <c r="Y275" s="87" t="str">
        <f>IF(AND($O275=$W$7,$B275&lt;'1331'!$I$9),"x","")</f>
        <v/>
      </c>
      <c r="Z275" s="87" t="str">
        <f>IF(AND('341-CT'!$H$9=H275,OR(LEFT(N275,3)=$Z$7,LEFT(O275,3)=$Z$7)),"x","")</f>
        <v/>
      </c>
      <c r="AA275" s="87" t="str">
        <f>IF(OR(TH!N275=TH!$AA$7,O275=TH!$AA$7),"x","")</f>
        <v/>
      </c>
      <c r="AB275" s="87" t="str">
        <f>IF(AND(OR(N275="131",O275="131"),H275='131-CT'!$H$9),"x","")</f>
        <v/>
      </c>
      <c r="AC275" s="87"/>
      <c r="AD275" s="87" t="str">
        <f>IF(AND(MONTH(E275)='IN-NX'!$J$5,'IN-NX'!$D$7=D275),"x","")</f>
        <v/>
      </c>
      <c r="AE275" s="87" t="str">
        <f>IF(AND(OR(LEFT(TH!N275,2)="15",LEFT(TH!O275,2)="15"),'152-CT'!$J$8=TH!F275),"x","")</f>
        <v/>
      </c>
      <c r="AF275" s="87" t="str">
        <f>IF(AND(OR(LEFT(TH!N275,2)="15",LEFT(TH!O275,2)="15"),'THE KHO'!$E$7=TH!F275),"x","")</f>
        <v/>
      </c>
      <c r="AG275" s="87" t="str">
        <f>IF(AND(N275="1521",MONTH(C275)='BK NL'!$M$11),"x","")</f>
        <v/>
      </c>
    </row>
    <row r="276" spans="1:33" ht="15.75" customHeight="1">
      <c r="A276" s="399" t="str">
        <f>IF(B276&lt;&gt;"",IF(AND(B276&gt;=_TM1,B276&lt;=_TM2,OR(TH!N276="1111",TH!O276="1111")),TH!D276,""),"")</f>
        <v/>
      </c>
      <c r="B276" s="63" t="str">
        <f t="shared" si="9"/>
        <v/>
      </c>
      <c r="C276" s="64"/>
      <c r="D276" s="64"/>
      <c r="E276" s="64"/>
      <c r="F276" s="67"/>
      <c r="G276" s="362"/>
      <c r="H276" s="75"/>
      <c r="I276" s="518"/>
      <c r="J276" s="518"/>
      <c r="K276" s="509"/>
      <c r="L276" s="518"/>
      <c r="M276" s="65"/>
      <c r="N276" s="66"/>
      <c r="O276" s="66"/>
      <c r="P276" s="87" t="str">
        <f>IF(AND('331-CT'!$E$7=TH!H276,OR(N276="331",O276="331")),"x","")</f>
        <v/>
      </c>
      <c r="Q276" s="87" t="str">
        <f>IF(AND(B276='111'!$L$11,OR($N276=$Q$7,$O276=$Q$7)),"x","")</f>
        <v/>
      </c>
      <c r="R276" s="87" t="str">
        <f>IF(AND($N276=$Q$7,$B276&lt;'111'!$L$11),"x","")</f>
        <v/>
      </c>
      <c r="S276" s="87" t="str">
        <f>IF(AND($O276=$Q$7,$B276&lt;'111'!$L$11),"x","")</f>
        <v/>
      </c>
      <c r="T276" s="87" t="str">
        <f>IF(ISERROR(FIND('112'!$M$9,G276,1)),"",IF((AND(FIND('112'!$M$9,G276,1)&gt;=1,B276='112'!$K$9,OR($N276='112'!$I$6,$O276='112'!$I$6))),"x",""))</f>
        <v/>
      </c>
      <c r="U276" s="87" t="str">
        <f>IF(ISERROR(FIND('112'!$M$9,G276,1)),"",IF((AND(FIND('112'!$M$9,G276,1)&gt;=1,B276&lt;'112'!$K$9,$N276='112'!$I$6)),"x",""))</f>
        <v/>
      </c>
      <c r="V276" s="87" t="str">
        <f>IF(ISERROR(FIND('112'!$M$9,G276,1)),"",IF((AND(FIND('112'!$M$9,G276,1)&gt;=1,B276&lt;'112'!$K$9,$O276='112'!$I$6)),"x",""))</f>
        <v/>
      </c>
      <c r="W276" s="87" t="str">
        <f>IF(AND($B276&gt;='1331'!$I$9,$B276&lt;='1331'!$J$9,OR($N276=$W$7,$O276=$W$7)),"x","")</f>
        <v/>
      </c>
      <c r="X276" s="87" t="str">
        <f>IF(AND($N276=$W$7,$B276&lt;'1331'!$I$9),"x","")</f>
        <v/>
      </c>
      <c r="Y276" s="87" t="str">
        <f>IF(AND($O276=$W$7,$B276&lt;'1331'!$I$9),"x","")</f>
        <v/>
      </c>
      <c r="Z276" s="87" t="str">
        <f>IF(AND('341-CT'!$H$9=H276,OR(LEFT(N276,3)=$Z$7,LEFT(O276,3)=$Z$7)),"x","")</f>
        <v/>
      </c>
      <c r="AA276" s="87" t="str">
        <f>IF(OR(TH!N276=TH!$AA$7,O276=TH!$AA$7),"x","")</f>
        <v/>
      </c>
      <c r="AB276" s="87" t="str">
        <f>IF(AND(OR(N276="131",O276="131"),H276='131-CT'!$H$9),"x","")</f>
        <v/>
      </c>
      <c r="AC276" s="87"/>
      <c r="AD276" s="87" t="str">
        <f>IF(AND(MONTH(E276)='IN-NX'!$J$5,'IN-NX'!$D$7=D276),"x","")</f>
        <v/>
      </c>
      <c r="AE276" s="87" t="str">
        <f>IF(AND(OR(LEFT(TH!N276,2)="15",LEFT(TH!O276,2)="15"),'152-CT'!$J$8=TH!F276),"x","")</f>
        <v/>
      </c>
      <c r="AF276" s="87" t="str">
        <f>IF(AND(OR(LEFT(TH!N276,2)="15",LEFT(TH!O276,2)="15"),'THE KHO'!$E$7=TH!F276),"x","")</f>
        <v/>
      </c>
      <c r="AG276" s="87" t="str">
        <f>IF(AND(N276="1521",MONTH(C276)='BK NL'!$M$11),"x","")</f>
        <v/>
      </c>
    </row>
    <row r="277" spans="1:33" ht="15.75" customHeight="1">
      <c r="A277" s="399" t="str">
        <f>IF(B277&lt;&gt;"",IF(AND(B277&gt;=_TM1,B277&lt;=_TM2,OR(TH!N277="1111",TH!O277="1111")),TH!D277,""),"")</f>
        <v/>
      </c>
      <c r="B277" s="63" t="str">
        <f t="shared" si="9"/>
        <v/>
      </c>
      <c r="C277" s="64"/>
      <c r="D277" s="64"/>
      <c r="E277" s="64"/>
      <c r="F277" s="70"/>
      <c r="G277" s="362"/>
      <c r="H277" s="75"/>
      <c r="I277" s="518"/>
      <c r="J277" s="518"/>
      <c r="K277" s="509"/>
      <c r="L277" s="518"/>
      <c r="M277" s="65"/>
      <c r="N277" s="66"/>
      <c r="O277" s="66"/>
      <c r="P277" s="87" t="str">
        <f>IF(AND('331-CT'!$E$7=TH!H277,OR(N277="331",O277="331")),"x","")</f>
        <v/>
      </c>
      <c r="Q277" s="87" t="str">
        <f>IF(AND(B277='111'!$L$11,OR($N277=$Q$7,$O277=$Q$7)),"x","")</f>
        <v/>
      </c>
      <c r="R277" s="87" t="str">
        <f>IF(AND($N277=$Q$7,$B277&lt;'111'!$L$11),"x","")</f>
        <v/>
      </c>
      <c r="S277" s="87" t="str">
        <f>IF(AND($O277=$Q$7,$B277&lt;'111'!$L$11),"x","")</f>
        <v/>
      </c>
      <c r="T277" s="87" t="str">
        <f>IF(ISERROR(FIND('112'!$M$9,G277,1)),"",IF((AND(FIND('112'!$M$9,G277,1)&gt;=1,B277='112'!$K$9,OR($N277='112'!$I$6,$O277='112'!$I$6))),"x",""))</f>
        <v/>
      </c>
      <c r="U277" s="87" t="str">
        <f>IF(ISERROR(FIND('112'!$M$9,G277,1)),"",IF((AND(FIND('112'!$M$9,G277,1)&gt;=1,B277&lt;'112'!$K$9,$N277='112'!$I$6)),"x",""))</f>
        <v/>
      </c>
      <c r="V277" s="87" t="str">
        <f>IF(ISERROR(FIND('112'!$M$9,G277,1)),"",IF((AND(FIND('112'!$M$9,G277,1)&gt;=1,B277&lt;'112'!$K$9,$O277='112'!$I$6)),"x",""))</f>
        <v/>
      </c>
      <c r="W277" s="87" t="str">
        <f>IF(AND($B277&gt;='1331'!$I$9,$B277&lt;='1331'!$J$9,OR($N277=$W$7,$O277=$W$7)),"x","")</f>
        <v/>
      </c>
      <c r="X277" s="87" t="str">
        <f>IF(AND($N277=$W$7,$B277&lt;'1331'!$I$9),"x","")</f>
        <v/>
      </c>
      <c r="Y277" s="87" t="str">
        <f>IF(AND($O277=$W$7,$B277&lt;'1331'!$I$9),"x","")</f>
        <v/>
      </c>
      <c r="Z277" s="87" t="str">
        <f>IF(AND('341-CT'!$H$9=H277,OR(LEFT(N277,3)=$Z$7,LEFT(O277,3)=$Z$7)),"x","")</f>
        <v/>
      </c>
      <c r="AA277" s="87" t="str">
        <f>IF(OR(TH!N277=TH!$AA$7,O277=TH!$AA$7),"x","")</f>
        <v/>
      </c>
      <c r="AB277" s="87" t="str">
        <f>IF(AND(OR(N277="131",O277="131"),H277='131-CT'!$H$9),"x","")</f>
        <v/>
      </c>
      <c r="AC277" s="87"/>
      <c r="AD277" s="87" t="str">
        <f>IF(AND(MONTH(E277)='IN-NX'!$J$5,'IN-NX'!$D$7=D277),"x","")</f>
        <v/>
      </c>
      <c r="AE277" s="87" t="str">
        <f>IF(AND(OR(LEFT(TH!N277,2)="15",LEFT(TH!O277,2)="15"),'152-CT'!$J$8=TH!F277),"x","")</f>
        <v/>
      </c>
      <c r="AF277" s="87" t="str">
        <f>IF(AND(OR(LEFT(TH!N277,2)="15",LEFT(TH!O277,2)="15"),'THE KHO'!$E$7=TH!F277),"x","")</f>
        <v/>
      </c>
      <c r="AG277" s="87" t="str">
        <f>IF(AND(N277="1521",MONTH(C277)='BK NL'!$M$11),"x","")</f>
        <v/>
      </c>
    </row>
    <row r="278" spans="1:33" ht="15.75" customHeight="1">
      <c r="A278" s="399" t="str">
        <f>IF(B278&lt;&gt;"",IF(AND(B278&gt;=_TM1,B278&lt;=_TM2,OR(TH!N278="1111",TH!O278="1111")),TH!D278,""),"")</f>
        <v/>
      </c>
      <c r="B278" s="63" t="str">
        <f t="shared" si="9"/>
        <v/>
      </c>
      <c r="C278" s="64"/>
      <c r="D278" s="64"/>
      <c r="E278" s="64"/>
      <c r="F278" s="67"/>
      <c r="G278" s="362"/>
      <c r="H278" s="75"/>
      <c r="I278" s="518"/>
      <c r="J278" s="518"/>
      <c r="K278" s="509"/>
      <c r="L278" s="518"/>
      <c r="M278" s="65"/>
      <c r="N278" s="66"/>
      <c r="O278" s="66"/>
      <c r="P278" s="87" t="str">
        <f>IF(AND('331-CT'!$E$7=TH!H278,OR(N278="331",O278="331")),"x","")</f>
        <v/>
      </c>
      <c r="Q278" s="87" t="str">
        <f>IF(AND(B278='111'!$L$11,OR($N278=$Q$7,$O278=$Q$7)),"x","")</f>
        <v/>
      </c>
      <c r="R278" s="87" t="str">
        <f>IF(AND($N278=$Q$7,$B278&lt;'111'!$L$11),"x","")</f>
        <v/>
      </c>
      <c r="S278" s="87" t="str">
        <f>IF(AND($O278=$Q$7,$B278&lt;'111'!$L$11),"x","")</f>
        <v/>
      </c>
      <c r="T278" s="87" t="str">
        <f>IF(ISERROR(FIND('112'!$M$9,G278,1)),"",IF((AND(FIND('112'!$M$9,G278,1)&gt;=1,B278='112'!$K$9,OR($N278='112'!$I$6,$O278='112'!$I$6))),"x",""))</f>
        <v/>
      </c>
      <c r="U278" s="87" t="str">
        <f>IF(ISERROR(FIND('112'!$M$9,G278,1)),"",IF((AND(FIND('112'!$M$9,G278,1)&gt;=1,B278&lt;'112'!$K$9,$N278='112'!$I$6)),"x",""))</f>
        <v/>
      </c>
      <c r="V278" s="87" t="str">
        <f>IF(ISERROR(FIND('112'!$M$9,G278,1)),"",IF((AND(FIND('112'!$M$9,G278,1)&gt;=1,B278&lt;'112'!$K$9,$O278='112'!$I$6)),"x",""))</f>
        <v/>
      </c>
      <c r="W278" s="87" t="str">
        <f>IF(AND($B278&gt;='1331'!$I$9,$B278&lt;='1331'!$J$9,OR($N278=$W$7,$O278=$W$7)),"x","")</f>
        <v/>
      </c>
      <c r="X278" s="87" t="str">
        <f>IF(AND($N278=$W$7,$B278&lt;'1331'!$I$9),"x","")</f>
        <v/>
      </c>
      <c r="Y278" s="87" t="str">
        <f>IF(AND($O278=$W$7,$B278&lt;'1331'!$I$9),"x","")</f>
        <v/>
      </c>
      <c r="Z278" s="87" t="str">
        <f>IF(AND('341-CT'!$H$9=H278,OR(LEFT(N278,3)=$Z$7,LEFT(O278,3)=$Z$7)),"x","")</f>
        <v/>
      </c>
      <c r="AA278" s="87" t="str">
        <f>IF(OR(TH!N278=TH!$AA$7,O278=TH!$AA$7),"x","")</f>
        <v/>
      </c>
      <c r="AB278" s="87" t="str">
        <f>IF(AND(OR(N278="131",O278="131"),H278='131-CT'!$H$9),"x","")</f>
        <v/>
      </c>
      <c r="AC278" s="87"/>
      <c r="AD278" s="87" t="str">
        <f>IF(AND(MONTH(E278)='IN-NX'!$J$5,'IN-NX'!$D$7=D278),"x","")</f>
        <v/>
      </c>
      <c r="AE278" s="87" t="str">
        <f>IF(AND(OR(LEFT(TH!N278,2)="15",LEFT(TH!O278,2)="15"),'152-CT'!$J$8=TH!F278),"x","")</f>
        <v/>
      </c>
      <c r="AF278" s="87" t="str">
        <f>IF(AND(OR(LEFT(TH!N278,2)="15",LEFT(TH!O278,2)="15"),'THE KHO'!$E$7=TH!F278),"x","")</f>
        <v/>
      </c>
      <c r="AG278" s="87" t="str">
        <f>IF(AND(N278="1521",MONTH(C278)='BK NL'!$M$11),"x","")</f>
        <v/>
      </c>
    </row>
    <row r="279" spans="1:33" ht="15.75" customHeight="1">
      <c r="A279" s="399" t="str">
        <f>IF(B279&lt;&gt;"",IF(AND(B279&gt;=_TM1,B279&lt;=_TM2,OR(TH!N279="1111",TH!O279="1111")),TH!D279,""),"")</f>
        <v/>
      </c>
      <c r="B279" s="63" t="str">
        <f t="shared" si="9"/>
        <v/>
      </c>
      <c r="C279" s="64"/>
      <c r="D279" s="64"/>
      <c r="E279" s="64"/>
      <c r="F279" s="67"/>
      <c r="G279" s="362"/>
      <c r="H279" s="75"/>
      <c r="I279" s="518"/>
      <c r="J279" s="518"/>
      <c r="K279" s="509"/>
      <c r="L279" s="518"/>
      <c r="M279" s="65"/>
      <c r="N279" s="66"/>
      <c r="O279" s="66"/>
      <c r="P279" s="87" t="str">
        <f>IF(AND('331-CT'!$E$7=TH!H279,OR(N279="331",O279="331")),"x","")</f>
        <v/>
      </c>
      <c r="Q279" s="87" t="str">
        <f>IF(AND(B279='111'!$L$11,OR($N279=$Q$7,$O279=$Q$7)),"x","")</f>
        <v/>
      </c>
      <c r="R279" s="87" t="str">
        <f>IF(AND($N279=$Q$7,$B279&lt;'111'!$L$11),"x","")</f>
        <v/>
      </c>
      <c r="S279" s="87" t="str">
        <f>IF(AND($O279=$Q$7,$B279&lt;'111'!$L$11),"x","")</f>
        <v/>
      </c>
      <c r="T279" s="87" t="str">
        <f>IF(ISERROR(FIND('112'!$M$9,G279,1)),"",IF((AND(FIND('112'!$M$9,G279,1)&gt;=1,B279='112'!$K$9,OR($N279='112'!$I$6,$O279='112'!$I$6))),"x",""))</f>
        <v/>
      </c>
      <c r="U279" s="87" t="str">
        <f>IF(ISERROR(FIND('112'!$M$9,G279,1)),"",IF((AND(FIND('112'!$M$9,G279,1)&gt;=1,B279&lt;'112'!$K$9,$N279='112'!$I$6)),"x",""))</f>
        <v/>
      </c>
      <c r="V279" s="87" t="str">
        <f>IF(ISERROR(FIND('112'!$M$9,G279,1)),"",IF((AND(FIND('112'!$M$9,G279,1)&gt;=1,B279&lt;'112'!$K$9,$O279='112'!$I$6)),"x",""))</f>
        <v/>
      </c>
      <c r="W279" s="87" t="str">
        <f>IF(AND($B279&gt;='1331'!$I$9,$B279&lt;='1331'!$J$9,OR($N279=$W$7,$O279=$W$7)),"x","")</f>
        <v/>
      </c>
      <c r="X279" s="87" t="str">
        <f>IF(AND($N279=$W$7,$B279&lt;'1331'!$I$9),"x","")</f>
        <v/>
      </c>
      <c r="Y279" s="87" t="str">
        <f>IF(AND($O279=$W$7,$B279&lt;'1331'!$I$9),"x","")</f>
        <v/>
      </c>
      <c r="Z279" s="87" t="str">
        <f>IF(AND('341-CT'!$H$9=H279,OR(LEFT(N279,3)=$Z$7,LEFT(O279,3)=$Z$7)),"x","")</f>
        <v/>
      </c>
      <c r="AA279" s="87" t="str">
        <f>IF(OR(TH!N279=TH!$AA$7,O279=TH!$AA$7),"x","")</f>
        <v/>
      </c>
      <c r="AB279" s="87" t="str">
        <f>IF(AND(OR(N279="131",O279="131"),H279='131-CT'!$H$9),"x","")</f>
        <v/>
      </c>
      <c r="AC279" s="87"/>
      <c r="AD279" s="87" t="str">
        <f>IF(AND(MONTH(E279)='IN-NX'!$J$5,'IN-NX'!$D$7=D279),"x","")</f>
        <v/>
      </c>
      <c r="AE279" s="87" t="str">
        <f>IF(AND(OR(LEFT(TH!N279,2)="15",LEFT(TH!O279,2)="15"),'152-CT'!$J$8=TH!F279),"x","")</f>
        <v/>
      </c>
      <c r="AF279" s="87" t="str">
        <f>IF(AND(OR(LEFT(TH!N279,2)="15",LEFT(TH!O279,2)="15"),'THE KHO'!$E$7=TH!F279),"x","")</f>
        <v/>
      </c>
      <c r="AG279" s="87" t="str">
        <f>IF(AND(N279="1521",MONTH(C279)='BK NL'!$M$11),"x","")</f>
        <v/>
      </c>
    </row>
    <row r="280" spans="1:33" ht="15.75" customHeight="1">
      <c r="A280" s="399" t="str">
        <f>IF(B280&lt;&gt;"",IF(AND(B280&gt;=_TM1,B280&lt;=_TM2,OR(TH!N280="1111",TH!O280="1111")),TH!D280,""),"")</f>
        <v/>
      </c>
      <c r="B280" s="63" t="str">
        <f t="shared" si="9"/>
        <v/>
      </c>
      <c r="C280" s="64"/>
      <c r="D280" s="64"/>
      <c r="E280" s="64"/>
      <c r="F280" s="67"/>
      <c r="G280" s="362"/>
      <c r="H280" s="75"/>
      <c r="I280" s="518"/>
      <c r="J280" s="518"/>
      <c r="K280" s="509"/>
      <c r="L280" s="518"/>
      <c r="M280" s="65"/>
      <c r="N280" s="66"/>
      <c r="O280" s="66"/>
      <c r="P280" s="87" t="str">
        <f>IF(AND('331-CT'!$E$7=TH!H280,OR(N280="331",O280="331")),"x","")</f>
        <v/>
      </c>
      <c r="Q280" s="87" t="str">
        <f>IF(AND(B280='111'!$L$11,OR($N280=$Q$7,$O280=$Q$7)),"x","")</f>
        <v/>
      </c>
      <c r="R280" s="87" t="str">
        <f>IF(AND($N280=$Q$7,$B280&lt;'111'!$L$11),"x","")</f>
        <v/>
      </c>
      <c r="S280" s="87" t="str">
        <f>IF(AND($O280=$Q$7,$B280&lt;'111'!$L$11),"x","")</f>
        <v/>
      </c>
      <c r="T280" s="87" t="str">
        <f>IF(ISERROR(FIND('112'!$M$9,G280,1)),"",IF((AND(FIND('112'!$M$9,G280,1)&gt;=1,B280='112'!$K$9,OR($N280='112'!$I$6,$O280='112'!$I$6))),"x",""))</f>
        <v/>
      </c>
      <c r="U280" s="87" t="str">
        <f>IF(ISERROR(FIND('112'!$M$9,G280,1)),"",IF((AND(FIND('112'!$M$9,G280,1)&gt;=1,B280&lt;'112'!$K$9,$N280='112'!$I$6)),"x",""))</f>
        <v/>
      </c>
      <c r="V280" s="87" t="str">
        <f>IF(ISERROR(FIND('112'!$M$9,G280,1)),"",IF((AND(FIND('112'!$M$9,G280,1)&gt;=1,B280&lt;'112'!$K$9,$O280='112'!$I$6)),"x",""))</f>
        <v/>
      </c>
      <c r="W280" s="87" t="str">
        <f>IF(AND($B280&gt;='1331'!$I$9,$B280&lt;='1331'!$J$9,OR($N280=$W$7,$O280=$W$7)),"x","")</f>
        <v/>
      </c>
      <c r="X280" s="87" t="str">
        <f>IF(AND($N280=$W$7,$B280&lt;'1331'!$I$9),"x","")</f>
        <v/>
      </c>
      <c r="Y280" s="87" t="str">
        <f>IF(AND($O280=$W$7,$B280&lt;'1331'!$I$9),"x","")</f>
        <v/>
      </c>
      <c r="Z280" s="87" t="str">
        <f>IF(AND('341-CT'!$H$9=H280,OR(LEFT(N280,3)=$Z$7,LEFT(O280,3)=$Z$7)),"x","")</f>
        <v/>
      </c>
      <c r="AA280" s="87" t="str">
        <f>IF(OR(TH!N280=TH!$AA$7,O280=TH!$AA$7),"x","")</f>
        <v/>
      </c>
      <c r="AB280" s="87" t="str">
        <f>IF(AND(OR(N280="131",O280="131"),H280='131-CT'!$H$9),"x","")</f>
        <v/>
      </c>
      <c r="AC280" s="87"/>
      <c r="AD280" s="87" t="str">
        <f>IF(AND(MONTH(E280)='IN-NX'!$J$5,'IN-NX'!$D$7=D280),"x","")</f>
        <v/>
      </c>
      <c r="AE280" s="87" t="str">
        <f>IF(AND(OR(LEFT(TH!N280,2)="15",LEFT(TH!O280,2)="15"),'152-CT'!$J$8=TH!F280),"x","")</f>
        <v/>
      </c>
      <c r="AF280" s="87" t="str">
        <f>IF(AND(OR(LEFT(TH!N280,2)="15",LEFT(TH!O280,2)="15"),'THE KHO'!$E$7=TH!F280),"x","")</f>
        <v/>
      </c>
      <c r="AG280" s="87" t="str">
        <f>IF(AND(N280="1521",MONTH(C280)='BK NL'!$M$11),"x","")</f>
        <v/>
      </c>
    </row>
    <row r="281" spans="1:33" ht="15.75" customHeight="1">
      <c r="A281" s="399" t="str">
        <f>IF(B281&lt;&gt;"",IF(AND(B281&gt;=_TM1,B281&lt;=_TM2,OR(TH!N281="1111",TH!O281="1111")),TH!D281,""),"")</f>
        <v/>
      </c>
      <c r="B281" s="63" t="str">
        <f t="shared" si="9"/>
        <v/>
      </c>
      <c r="C281" s="64"/>
      <c r="D281" s="64"/>
      <c r="E281" s="64"/>
      <c r="F281" s="67"/>
      <c r="G281" s="362"/>
      <c r="H281" s="75"/>
      <c r="I281" s="518"/>
      <c r="J281" s="518"/>
      <c r="K281" s="509"/>
      <c r="L281" s="518"/>
      <c r="M281" s="65"/>
      <c r="N281" s="66"/>
      <c r="O281" s="66"/>
      <c r="P281" s="87" t="str">
        <f>IF(AND('331-CT'!$E$7=TH!H281,OR(N281="331",O281="331")),"x","")</f>
        <v/>
      </c>
      <c r="Q281" s="87" t="str">
        <f>IF(AND(B281='111'!$L$11,OR($N281=$Q$7,$O281=$Q$7)),"x","")</f>
        <v/>
      </c>
      <c r="R281" s="87" t="str">
        <f>IF(AND($N281=$Q$7,$B281&lt;'111'!$L$11),"x","")</f>
        <v/>
      </c>
      <c r="S281" s="87" t="str">
        <f>IF(AND($O281=$Q$7,$B281&lt;'111'!$L$11),"x","")</f>
        <v/>
      </c>
      <c r="T281" s="87" t="str">
        <f>IF(ISERROR(FIND('112'!$M$9,G281,1)),"",IF((AND(FIND('112'!$M$9,G281,1)&gt;=1,B281='112'!$K$9,OR($N281='112'!$I$6,$O281='112'!$I$6))),"x",""))</f>
        <v/>
      </c>
      <c r="U281" s="87" t="str">
        <f>IF(ISERROR(FIND('112'!$M$9,G281,1)),"",IF((AND(FIND('112'!$M$9,G281,1)&gt;=1,B281&lt;'112'!$K$9,$N281='112'!$I$6)),"x",""))</f>
        <v/>
      </c>
      <c r="V281" s="87" t="str">
        <f>IF(ISERROR(FIND('112'!$M$9,G281,1)),"",IF((AND(FIND('112'!$M$9,G281,1)&gt;=1,B281&lt;'112'!$K$9,$O281='112'!$I$6)),"x",""))</f>
        <v/>
      </c>
      <c r="W281" s="87" t="str">
        <f>IF(AND($B281&gt;='1331'!$I$9,$B281&lt;='1331'!$J$9,OR($N281=$W$7,$O281=$W$7)),"x","")</f>
        <v/>
      </c>
      <c r="X281" s="87" t="str">
        <f>IF(AND($N281=$W$7,$B281&lt;'1331'!$I$9),"x","")</f>
        <v/>
      </c>
      <c r="Y281" s="87" t="str">
        <f>IF(AND($O281=$W$7,$B281&lt;'1331'!$I$9),"x","")</f>
        <v/>
      </c>
      <c r="Z281" s="87" t="str">
        <f>IF(AND('341-CT'!$H$9=H281,OR(LEFT(N281,3)=$Z$7,LEFT(O281,3)=$Z$7)),"x","")</f>
        <v/>
      </c>
      <c r="AA281" s="87" t="str">
        <f>IF(OR(TH!N281=TH!$AA$7,O281=TH!$AA$7),"x","")</f>
        <v/>
      </c>
      <c r="AB281" s="87" t="str">
        <f>IF(AND(OR(N281="131",O281="131"),H281='131-CT'!$H$9),"x","")</f>
        <v/>
      </c>
      <c r="AC281" s="87"/>
      <c r="AD281" s="87" t="str">
        <f>IF(AND(MONTH(E281)='IN-NX'!$J$5,'IN-NX'!$D$7=D281),"x","")</f>
        <v/>
      </c>
      <c r="AE281" s="87" t="str">
        <f>IF(AND(OR(LEFT(TH!N281,2)="15",LEFT(TH!O281,2)="15"),'152-CT'!$J$8=TH!F281),"x","")</f>
        <v/>
      </c>
      <c r="AF281" s="87" t="str">
        <f>IF(AND(OR(LEFT(TH!N281,2)="15",LEFT(TH!O281,2)="15"),'THE KHO'!$E$7=TH!F281),"x","")</f>
        <v/>
      </c>
      <c r="AG281" s="87" t="str">
        <f>IF(AND(N281="1521",MONTH(C281)='BK NL'!$M$11),"x","")</f>
        <v/>
      </c>
    </row>
    <row r="282" spans="1:33" ht="15.75" customHeight="1">
      <c r="A282" s="399" t="str">
        <f>IF(B282&lt;&gt;"",IF(AND(B282&gt;=_TM1,B282&lt;=_TM2,OR(TH!N282="1111",TH!O282="1111")),TH!D282,""),"")</f>
        <v/>
      </c>
      <c r="B282" s="63" t="str">
        <f t="shared" si="9"/>
        <v/>
      </c>
      <c r="C282" s="64"/>
      <c r="D282" s="64"/>
      <c r="E282" s="64"/>
      <c r="F282" s="67"/>
      <c r="G282" s="376"/>
      <c r="H282" s="75"/>
      <c r="I282" s="518"/>
      <c r="J282" s="518"/>
      <c r="K282" s="509"/>
      <c r="L282" s="518"/>
      <c r="M282" s="65"/>
      <c r="N282" s="66"/>
      <c r="O282" s="66"/>
      <c r="P282" s="87" t="str">
        <f>IF(AND('331-CT'!$E$7=TH!H282,OR(N282="331",O282="331")),"x","")</f>
        <v/>
      </c>
      <c r="Q282" s="87" t="str">
        <f>IF(AND(B282='111'!$L$11,OR($N282=$Q$7,$O282=$Q$7)),"x","")</f>
        <v/>
      </c>
      <c r="R282" s="87" t="str">
        <f>IF(AND($N282=$Q$7,$B282&lt;'111'!$L$11),"x","")</f>
        <v/>
      </c>
      <c r="S282" s="87" t="str">
        <f>IF(AND($O282=$Q$7,$B282&lt;'111'!$L$11),"x","")</f>
        <v/>
      </c>
      <c r="T282" s="87" t="str">
        <f>IF(ISERROR(FIND('112'!$M$9,G282,1)),"",IF((AND(FIND('112'!$M$9,G282,1)&gt;=1,B282='112'!$K$9,OR($N282='112'!$I$6,$O282='112'!$I$6))),"x",""))</f>
        <v/>
      </c>
      <c r="U282" s="87" t="str">
        <f>IF(ISERROR(FIND('112'!$M$9,G282,1)),"",IF((AND(FIND('112'!$M$9,G282,1)&gt;=1,B282&lt;'112'!$K$9,$N282='112'!$I$6)),"x",""))</f>
        <v/>
      </c>
      <c r="V282" s="87" t="str">
        <f>IF(ISERROR(FIND('112'!$M$9,G282,1)),"",IF((AND(FIND('112'!$M$9,G282,1)&gt;=1,B282&lt;'112'!$K$9,$O282='112'!$I$6)),"x",""))</f>
        <v/>
      </c>
      <c r="W282" s="87" t="str">
        <f>IF(AND($B282&gt;='1331'!$I$9,$B282&lt;='1331'!$J$9,OR($N282=$W$7,$O282=$W$7)),"x","")</f>
        <v/>
      </c>
      <c r="X282" s="87" t="str">
        <f>IF(AND($N282=$W$7,$B282&lt;'1331'!$I$9),"x","")</f>
        <v/>
      </c>
      <c r="Y282" s="87" t="str">
        <f>IF(AND($O282=$W$7,$B282&lt;'1331'!$I$9),"x","")</f>
        <v/>
      </c>
      <c r="Z282" s="87" t="str">
        <f>IF(AND('341-CT'!$H$9=H282,OR(LEFT(N282,3)=$Z$7,LEFT(O282,3)=$Z$7)),"x","")</f>
        <v/>
      </c>
      <c r="AA282" s="87" t="str">
        <f>IF(OR(TH!N282=TH!$AA$7,O282=TH!$AA$7),"x","")</f>
        <v/>
      </c>
      <c r="AB282" s="87" t="str">
        <f>IF(AND(OR(N282="131",O282="131"),H282='131-CT'!$H$9),"x","")</f>
        <v/>
      </c>
      <c r="AC282" s="87"/>
      <c r="AD282" s="87" t="str">
        <f>IF(AND(MONTH(E282)='IN-NX'!$J$5,'IN-NX'!$D$7=D282),"x","")</f>
        <v/>
      </c>
      <c r="AE282" s="87" t="str">
        <f>IF(AND(OR(LEFT(TH!N282,2)="15",LEFT(TH!O282,2)="15"),'152-CT'!$J$8=TH!F282),"x","")</f>
        <v/>
      </c>
      <c r="AF282" s="87" t="str">
        <f>IF(AND(OR(LEFT(TH!N282,2)="15",LEFT(TH!O282,2)="15"),'THE KHO'!$E$7=TH!F282),"x","")</f>
        <v/>
      </c>
      <c r="AG282" s="87" t="str">
        <f>IF(AND(N282="1521",MONTH(C282)='BK NL'!$M$11),"x","")</f>
        <v/>
      </c>
    </row>
    <row r="283" spans="1:33" ht="15.75" customHeight="1">
      <c r="A283" s="399" t="str">
        <f>IF(B283&lt;&gt;"",IF(AND(B283&gt;=_TM1,B283&lt;=_TM2,OR(TH!N283="1111",TH!O283="1111")),TH!D283,""),"")</f>
        <v/>
      </c>
      <c r="B283" s="63" t="str">
        <f t="shared" si="9"/>
        <v/>
      </c>
      <c r="C283" s="64"/>
      <c r="D283" s="64"/>
      <c r="E283" s="64"/>
      <c r="F283" s="67"/>
      <c r="G283" s="376"/>
      <c r="H283" s="75"/>
      <c r="I283" s="518"/>
      <c r="J283" s="518"/>
      <c r="K283" s="509"/>
      <c r="L283" s="518"/>
      <c r="M283" s="65"/>
      <c r="N283" s="66"/>
      <c r="O283" s="66"/>
      <c r="P283" s="87" t="str">
        <f>IF(AND('331-CT'!$E$7=TH!H283,OR(N283="331",O283="331")),"x","")</f>
        <v/>
      </c>
      <c r="Q283" s="87" t="str">
        <f>IF(AND(B283='111'!$L$11,OR($N283=$Q$7,$O283=$Q$7)),"x","")</f>
        <v/>
      </c>
      <c r="R283" s="87" t="str">
        <f>IF(AND($N283=$Q$7,$B283&lt;'111'!$L$11),"x","")</f>
        <v/>
      </c>
      <c r="S283" s="87" t="str">
        <f>IF(AND($O283=$Q$7,$B283&lt;'111'!$L$11),"x","")</f>
        <v/>
      </c>
      <c r="T283" s="87" t="str">
        <f>IF(ISERROR(FIND('112'!$M$9,G283,1)),"",IF((AND(FIND('112'!$M$9,G283,1)&gt;=1,B283='112'!$K$9,OR($N283='112'!$I$6,$O283='112'!$I$6))),"x",""))</f>
        <v/>
      </c>
      <c r="U283" s="87" t="str">
        <f>IF(ISERROR(FIND('112'!$M$9,G283,1)),"",IF((AND(FIND('112'!$M$9,G283,1)&gt;=1,B283&lt;'112'!$K$9,$N283='112'!$I$6)),"x",""))</f>
        <v/>
      </c>
      <c r="V283" s="87" t="str">
        <f>IF(ISERROR(FIND('112'!$M$9,G283,1)),"",IF((AND(FIND('112'!$M$9,G283,1)&gt;=1,B283&lt;'112'!$K$9,$O283='112'!$I$6)),"x",""))</f>
        <v/>
      </c>
      <c r="W283" s="87" t="str">
        <f>IF(AND($B283&gt;='1331'!$I$9,$B283&lt;='1331'!$J$9,OR($N283=$W$7,$O283=$W$7)),"x","")</f>
        <v/>
      </c>
      <c r="X283" s="87" t="str">
        <f>IF(AND($N283=$W$7,$B283&lt;'1331'!$I$9),"x","")</f>
        <v/>
      </c>
      <c r="Y283" s="87" t="str">
        <f>IF(AND($O283=$W$7,$B283&lt;'1331'!$I$9),"x","")</f>
        <v/>
      </c>
      <c r="Z283" s="87" t="str">
        <f>IF(AND('341-CT'!$H$9=H283,OR(LEFT(N283,3)=$Z$7,LEFT(O283,3)=$Z$7)),"x","")</f>
        <v/>
      </c>
      <c r="AA283" s="87" t="str">
        <f>IF(OR(TH!N283=TH!$AA$7,O283=TH!$AA$7),"x","")</f>
        <v/>
      </c>
      <c r="AB283" s="87" t="str">
        <f>IF(AND(OR(N283="131",O283="131"),H283='131-CT'!$H$9),"x","")</f>
        <v/>
      </c>
      <c r="AC283" s="87"/>
      <c r="AD283" s="87" t="str">
        <f>IF(AND(MONTH(E283)='IN-NX'!$J$5,'IN-NX'!$D$7=D283),"x","")</f>
        <v/>
      </c>
      <c r="AE283" s="87" t="str">
        <f>IF(AND(OR(LEFT(TH!N283,2)="15",LEFT(TH!O283,2)="15"),'152-CT'!$J$8=TH!F283),"x","")</f>
        <v/>
      </c>
      <c r="AF283" s="87" t="str">
        <f>IF(AND(OR(LEFT(TH!N283,2)="15",LEFT(TH!O283,2)="15"),'THE KHO'!$E$7=TH!F283),"x","")</f>
        <v/>
      </c>
      <c r="AG283" s="87" t="str">
        <f>IF(AND(N283="1521",MONTH(C283)='BK NL'!$M$11),"x","")</f>
        <v/>
      </c>
    </row>
    <row r="284" spans="1:33" ht="15.75" customHeight="1">
      <c r="A284" s="399" t="str">
        <f>IF(B284&lt;&gt;"",IF(AND(B284&gt;=_TM1,B284&lt;=_TM2,OR(TH!N284="1111",TH!O284="1111")),TH!D284,""),"")</f>
        <v/>
      </c>
      <c r="B284" s="63" t="str">
        <f t="shared" si="9"/>
        <v/>
      </c>
      <c r="C284" s="64"/>
      <c r="D284" s="64"/>
      <c r="E284" s="64"/>
      <c r="F284" s="67"/>
      <c r="G284" s="362"/>
      <c r="H284" s="75"/>
      <c r="I284" s="518"/>
      <c r="J284" s="518"/>
      <c r="K284" s="509"/>
      <c r="L284" s="518"/>
      <c r="M284" s="65"/>
      <c r="N284" s="66"/>
      <c r="O284" s="66"/>
      <c r="P284" s="87" t="str">
        <f>IF(AND('331-CT'!$E$7=TH!H284,OR(N284="331",O284="331")),"x","")</f>
        <v/>
      </c>
      <c r="Q284" s="87" t="str">
        <f>IF(AND(B284='111'!$L$11,OR($N284=$Q$7,$O284=$Q$7)),"x","")</f>
        <v/>
      </c>
      <c r="R284" s="87" t="str">
        <f>IF(AND($N284=$Q$7,$B284&lt;'111'!$L$11),"x","")</f>
        <v/>
      </c>
      <c r="S284" s="87" t="str">
        <f>IF(AND($O284=$Q$7,$B284&lt;'111'!$L$11),"x","")</f>
        <v/>
      </c>
      <c r="T284" s="87" t="str">
        <f>IF(ISERROR(FIND('112'!$M$9,G284,1)),"",IF((AND(FIND('112'!$M$9,G284,1)&gt;=1,B284='112'!$K$9,OR($N284='112'!$I$6,$O284='112'!$I$6))),"x",""))</f>
        <v/>
      </c>
      <c r="U284" s="87" t="str">
        <f>IF(ISERROR(FIND('112'!$M$9,G284,1)),"",IF((AND(FIND('112'!$M$9,G284,1)&gt;=1,B284&lt;'112'!$K$9,$N284='112'!$I$6)),"x",""))</f>
        <v/>
      </c>
      <c r="V284" s="87" t="str">
        <f>IF(ISERROR(FIND('112'!$M$9,G284,1)),"",IF((AND(FIND('112'!$M$9,G284,1)&gt;=1,B284&lt;'112'!$K$9,$O284='112'!$I$6)),"x",""))</f>
        <v/>
      </c>
      <c r="W284" s="87" t="str">
        <f>IF(AND($B284&gt;='1331'!$I$9,$B284&lt;='1331'!$J$9,OR($N284=$W$7,$O284=$W$7)),"x","")</f>
        <v/>
      </c>
      <c r="X284" s="87" t="str">
        <f>IF(AND($N284=$W$7,$B284&lt;'1331'!$I$9),"x","")</f>
        <v/>
      </c>
      <c r="Y284" s="87" t="str">
        <f>IF(AND($O284=$W$7,$B284&lt;'1331'!$I$9),"x","")</f>
        <v/>
      </c>
      <c r="Z284" s="87" t="str">
        <f>IF(AND('341-CT'!$H$9=H284,OR(LEFT(N284,3)=$Z$7,LEFT(O284,3)=$Z$7)),"x","")</f>
        <v/>
      </c>
      <c r="AA284" s="87" t="str">
        <f>IF(OR(TH!N284=TH!$AA$7,O284=TH!$AA$7),"x","")</f>
        <v/>
      </c>
      <c r="AB284" s="87" t="str">
        <f>IF(AND(OR(N284="131",O284="131"),H284='131-CT'!$H$9),"x","")</f>
        <v/>
      </c>
      <c r="AC284" s="87"/>
      <c r="AD284" s="87" t="str">
        <f>IF(AND(MONTH(E284)='IN-NX'!$J$5,'IN-NX'!$D$7=D284),"x","")</f>
        <v/>
      </c>
      <c r="AE284" s="87" t="str">
        <f>IF(AND(OR(LEFT(TH!N284,2)="15",LEFT(TH!O284,2)="15"),'152-CT'!$J$8=TH!F284),"x","")</f>
        <v/>
      </c>
      <c r="AF284" s="87" t="str">
        <f>IF(AND(OR(LEFT(TH!N284,2)="15",LEFT(TH!O284,2)="15"),'THE KHO'!$E$7=TH!F284),"x","")</f>
        <v/>
      </c>
      <c r="AG284" s="87" t="str">
        <f>IF(AND(N284="1521",MONTH(C284)='BK NL'!$M$11),"x","")</f>
        <v/>
      </c>
    </row>
    <row r="285" spans="1:33" ht="15.75" customHeight="1">
      <c r="A285" s="399" t="str">
        <f>IF(B285&lt;&gt;"",IF(AND(B285&gt;=_TM1,B285&lt;=_TM2,OR(TH!N285="1111",TH!O285="1111")),TH!D285,""),"")</f>
        <v/>
      </c>
      <c r="B285" s="63" t="str">
        <f t="shared" si="9"/>
        <v/>
      </c>
      <c r="C285" s="64"/>
      <c r="D285" s="64"/>
      <c r="E285" s="64"/>
      <c r="F285" s="67"/>
      <c r="G285" s="362"/>
      <c r="H285" s="75"/>
      <c r="I285" s="518"/>
      <c r="J285" s="518"/>
      <c r="K285" s="509"/>
      <c r="L285" s="518"/>
      <c r="M285" s="65"/>
      <c r="N285" s="66"/>
      <c r="O285" s="66"/>
      <c r="P285" s="87" t="str">
        <f>IF(AND('331-CT'!$E$7=TH!H285,OR(N285="331",O285="331")),"x","")</f>
        <v/>
      </c>
      <c r="Q285" s="87" t="str">
        <f>IF(AND(B285='111'!$L$11,OR($N285=$Q$7,$O285=$Q$7)),"x","")</f>
        <v/>
      </c>
      <c r="R285" s="87" t="str">
        <f>IF(AND($N285=$Q$7,$B285&lt;'111'!$L$11),"x","")</f>
        <v/>
      </c>
      <c r="S285" s="87" t="str">
        <f>IF(AND($O285=$Q$7,$B285&lt;'111'!$L$11),"x","")</f>
        <v/>
      </c>
      <c r="T285" s="87" t="str">
        <f>IF(ISERROR(FIND('112'!$M$9,G285,1)),"",IF((AND(FIND('112'!$M$9,G285,1)&gt;=1,B285='112'!$K$9,OR($N285='112'!$I$6,$O285='112'!$I$6))),"x",""))</f>
        <v/>
      </c>
      <c r="U285" s="87" t="str">
        <f>IF(ISERROR(FIND('112'!$M$9,G285,1)),"",IF((AND(FIND('112'!$M$9,G285,1)&gt;=1,B285&lt;'112'!$K$9,$N285='112'!$I$6)),"x",""))</f>
        <v/>
      </c>
      <c r="V285" s="87" t="str">
        <f>IF(ISERROR(FIND('112'!$M$9,G285,1)),"",IF((AND(FIND('112'!$M$9,G285,1)&gt;=1,B285&lt;'112'!$K$9,$O285='112'!$I$6)),"x",""))</f>
        <v/>
      </c>
      <c r="W285" s="87" t="str">
        <f>IF(AND($B285&gt;='1331'!$I$9,$B285&lt;='1331'!$J$9,OR($N285=$W$7,$O285=$W$7)),"x","")</f>
        <v/>
      </c>
      <c r="X285" s="87" t="str">
        <f>IF(AND($N285=$W$7,$B285&lt;'1331'!$I$9),"x","")</f>
        <v/>
      </c>
      <c r="Y285" s="87" t="str">
        <f>IF(AND($O285=$W$7,$B285&lt;'1331'!$I$9),"x","")</f>
        <v/>
      </c>
      <c r="Z285" s="87" t="str">
        <f>IF(AND('341-CT'!$H$9=H285,OR(LEFT(N285,3)=$Z$7,LEFT(O285,3)=$Z$7)),"x","")</f>
        <v/>
      </c>
      <c r="AA285" s="87" t="str">
        <f>IF(OR(TH!N285=TH!$AA$7,O285=TH!$AA$7),"x","")</f>
        <v/>
      </c>
      <c r="AB285" s="87" t="str">
        <f>IF(AND(OR(N285="131",O285="131"),H285='131-CT'!$H$9),"x","")</f>
        <v/>
      </c>
      <c r="AC285" s="87"/>
      <c r="AD285" s="87" t="str">
        <f>IF(AND(MONTH(E285)='IN-NX'!$J$5,'IN-NX'!$D$7=D285),"x","")</f>
        <v/>
      </c>
      <c r="AE285" s="87" t="str">
        <f>IF(AND(OR(LEFT(TH!N285,2)="15",LEFT(TH!O285,2)="15"),'152-CT'!$J$8=TH!F285),"x","")</f>
        <v/>
      </c>
      <c r="AF285" s="87" t="str">
        <f>IF(AND(OR(LEFT(TH!N285,2)="15",LEFT(TH!O285,2)="15"),'THE KHO'!$E$7=TH!F285),"x","")</f>
        <v/>
      </c>
      <c r="AG285" s="87" t="str">
        <f>IF(AND(N285="1521",MONTH(C285)='BK NL'!$M$11),"x","")</f>
        <v/>
      </c>
    </row>
    <row r="286" spans="1:33" ht="15.75" customHeight="1">
      <c r="A286" s="399" t="str">
        <f>IF(B286&lt;&gt;"",IF(AND(B286&gt;=_TM1,B286&lt;=_TM2,OR(TH!N286="1111",TH!O286="1111")),TH!D286,""),"")</f>
        <v/>
      </c>
      <c r="B286" s="63" t="str">
        <f t="shared" si="9"/>
        <v/>
      </c>
      <c r="C286" s="64"/>
      <c r="D286" s="64"/>
      <c r="E286" s="64"/>
      <c r="F286" s="67"/>
      <c r="G286" s="362"/>
      <c r="H286" s="75"/>
      <c r="I286" s="518"/>
      <c r="J286" s="518"/>
      <c r="K286" s="509"/>
      <c r="L286" s="518"/>
      <c r="M286" s="65"/>
      <c r="N286" s="66"/>
      <c r="O286" s="66"/>
      <c r="P286" s="87" t="str">
        <f>IF(AND('331-CT'!$E$7=TH!H286,OR(N286="331",O286="331")),"x","")</f>
        <v/>
      </c>
      <c r="Q286" s="87" t="str">
        <f>IF(AND(B286='111'!$L$11,OR($N286=$Q$7,$O286=$Q$7)),"x","")</f>
        <v/>
      </c>
      <c r="R286" s="87" t="str">
        <f>IF(AND($N286=$Q$7,$B286&lt;'111'!$L$11),"x","")</f>
        <v/>
      </c>
      <c r="S286" s="87" t="str">
        <f>IF(AND($O286=$Q$7,$B286&lt;'111'!$L$11),"x","")</f>
        <v/>
      </c>
      <c r="T286" s="87" t="str">
        <f>IF(ISERROR(FIND('112'!$M$9,G286,1)),"",IF((AND(FIND('112'!$M$9,G286,1)&gt;=1,B286='112'!$K$9,OR($N286='112'!$I$6,$O286='112'!$I$6))),"x",""))</f>
        <v/>
      </c>
      <c r="U286" s="87" t="str">
        <f>IF(ISERROR(FIND('112'!$M$9,G286,1)),"",IF((AND(FIND('112'!$M$9,G286,1)&gt;=1,B286&lt;'112'!$K$9,$N286='112'!$I$6)),"x",""))</f>
        <v/>
      </c>
      <c r="V286" s="87" t="str">
        <f>IF(ISERROR(FIND('112'!$M$9,G286,1)),"",IF((AND(FIND('112'!$M$9,G286,1)&gt;=1,B286&lt;'112'!$K$9,$O286='112'!$I$6)),"x",""))</f>
        <v/>
      </c>
      <c r="W286" s="87" t="str">
        <f>IF(AND($B286&gt;='1331'!$I$9,$B286&lt;='1331'!$J$9,OR($N286=$W$7,$O286=$W$7)),"x","")</f>
        <v/>
      </c>
      <c r="X286" s="87" t="str">
        <f>IF(AND($N286=$W$7,$B286&lt;'1331'!$I$9),"x","")</f>
        <v/>
      </c>
      <c r="Y286" s="87" t="str">
        <f>IF(AND($O286=$W$7,$B286&lt;'1331'!$I$9),"x","")</f>
        <v/>
      </c>
      <c r="Z286" s="87" t="str">
        <f>IF(AND('341-CT'!$H$9=H286,OR(LEFT(N286,3)=$Z$7,LEFT(O286,3)=$Z$7)),"x","")</f>
        <v/>
      </c>
      <c r="AA286" s="87" t="str">
        <f>IF(OR(TH!N286=TH!$AA$7,O286=TH!$AA$7),"x","")</f>
        <v/>
      </c>
      <c r="AB286" s="87" t="str">
        <f>IF(AND(OR(N286="131",O286="131"),H286='131-CT'!$H$9),"x","")</f>
        <v/>
      </c>
      <c r="AC286" s="87"/>
      <c r="AD286" s="87" t="str">
        <f>IF(AND(MONTH(E286)='IN-NX'!$J$5,'IN-NX'!$D$7=D286),"x","")</f>
        <v/>
      </c>
      <c r="AE286" s="87" t="str">
        <f>IF(AND(OR(LEFT(TH!N286,2)="15",LEFT(TH!O286,2)="15"),'152-CT'!$J$8=TH!F286),"x","")</f>
        <v/>
      </c>
      <c r="AF286" s="87" t="str">
        <f>IF(AND(OR(LEFT(TH!N286,2)="15",LEFT(TH!O286,2)="15"),'THE KHO'!$E$7=TH!F286),"x","")</f>
        <v/>
      </c>
      <c r="AG286" s="87" t="str">
        <f>IF(AND(N286="1521",MONTH(C286)='BK NL'!$M$11),"x","")</f>
        <v/>
      </c>
    </row>
    <row r="287" spans="1:33" ht="15.75" customHeight="1">
      <c r="A287" s="399" t="str">
        <f>IF(B287&lt;&gt;"",IF(AND(B287&gt;=_TM1,B287&lt;=_TM2,OR(TH!N287="1111",TH!O287="1111")),TH!D287,""),"")</f>
        <v/>
      </c>
      <c r="B287" s="63" t="str">
        <f t="shared" si="9"/>
        <v/>
      </c>
      <c r="C287" s="64"/>
      <c r="D287" s="64"/>
      <c r="E287" s="64"/>
      <c r="F287" s="67"/>
      <c r="G287" s="362"/>
      <c r="H287" s="409"/>
      <c r="I287" s="522"/>
      <c r="J287" s="522"/>
      <c r="K287" s="513"/>
      <c r="L287" s="522"/>
      <c r="M287" s="65"/>
      <c r="N287" s="66"/>
      <c r="O287" s="66"/>
      <c r="P287" s="87" t="str">
        <f>IF(AND('331-CT'!$E$7=TH!H287,OR(N287="331",O287="331")),"x","")</f>
        <v/>
      </c>
      <c r="Q287" s="87" t="str">
        <f>IF(AND(B287='111'!$L$11,OR($N287=$Q$7,$O287=$Q$7)),"x","")</f>
        <v/>
      </c>
      <c r="R287" s="87" t="str">
        <f>IF(AND($N287=$Q$7,$B287&lt;'111'!$L$11),"x","")</f>
        <v/>
      </c>
      <c r="S287" s="87" t="str">
        <f>IF(AND($O287=$Q$7,$B287&lt;'111'!$L$11),"x","")</f>
        <v/>
      </c>
      <c r="T287" s="87" t="str">
        <f>IF(ISERROR(FIND('112'!$M$9,G287,1)),"",IF((AND(FIND('112'!$M$9,G287,1)&gt;=1,B287='112'!$K$9,OR($N287='112'!$I$6,$O287='112'!$I$6))),"x",""))</f>
        <v/>
      </c>
      <c r="U287" s="87" t="str">
        <f>IF(ISERROR(FIND('112'!$M$9,G287,1)),"",IF((AND(FIND('112'!$M$9,G287,1)&gt;=1,B287&lt;'112'!$K$9,$N287='112'!$I$6)),"x",""))</f>
        <v/>
      </c>
      <c r="V287" s="87" t="str">
        <f>IF(ISERROR(FIND('112'!$M$9,G287,1)),"",IF((AND(FIND('112'!$M$9,G287,1)&gt;=1,B287&lt;'112'!$K$9,$O287='112'!$I$6)),"x",""))</f>
        <v/>
      </c>
      <c r="W287" s="87" t="str">
        <f>IF(AND($B287&gt;='1331'!$I$9,$B287&lt;='1331'!$J$9,OR($N287=$W$7,$O287=$W$7)),"x","")</f>
        <v/>
      </c>
      <c r="X287" s="87" t="str">
        <f>IF(AND($N287=$W$7,$B287&lt;'1331'!$I$9),"x","")</f>
        <v/>
      </c>
      <c r="Y287" s="87" t="str">
        <f>IF(AND($O287=$W$7,$B287&lt;'1331'!$I$9),"x","")</f>
        <v/>
      </c>
      <c r="Z287" s="87" t="str">
        <f>IF(AND('341-CT'!$H$9=H287,OR(LEFT(N287,3)=$Z$7,LEFT(O287,3)=$Z$7)),"x","")</f>
        <v/>
      </c>
      <c r="AA287" s="87" t="str">
        <f>IF(OR(TH!N287=TH!$AA$7,O287=TH!$AA$7),"x","")</f>
        <v/>
      </c>
      <c r="AB287" s="87" t="str">
        <f>IF(AND(OR(N287="131",O287="131"),H287='131-CT'!$H$9),"x","")</f>
        <v/>
      </c>
      <c r="AC287" s="87"/>
      <c r="AD287" s="87" t="str">
        <f>IF(AND(MONTH(E287)='IN-NX'!$J$5,'IN-NX'!$D$7=D287),"x","")</f>
        <v/>
      </c>
      <c r="AE287" s="87" t="str">
        <f>IF(AND(OR(LEFT(TH!N287,2)="15",LEFT(TH!O287,2)="15"),'152-CT'!$J$8=TH!F287),"x","")</f>
        <v/>
      </c>
      <c r="AF287" s="87" t="str">
        <f>IF(AND(OR(LEFT(TH!N287,2)="15",LEFT(TH!O287,2)="15"),'THE KHO'!$E$7=TH!F287),"x","")</f>
        <v/>
      </c>
      <c r="AG287" s="87" t="str">
        <f>IF(AND(N287="1521",MONTH(C287)='BK NL'!$M$11),"x","")</f>
        <v/>
      </c>
    </row>
    <row r="288" spans="1:33" ht="15.75" customHeight="1">
      <c r="A288" s="399" t="str">
        <f>IF(B288&lt;&gt;"",IF(AND(B288&gt;=_TM1,B288&lt;=_TM2,OR(TH!N288="1111",TH!O288="1111")),TH!D288,""),"")</f>
        <v/>
      </c>
      <c r="B288" s="63" t="str">
        <f t="shared" si="9"/>
        <v/>
      </c>
      <c r="C288" s="64"/>
      <c r="D288" s="64"/>
      <c r="E288" s="64"/>
      <c r="F288" s="67"/>
      <c r="G288" s="362"/>
      <c r="H288" s="75"/>
      <c r="I288" s="518"/>
      <c r="J288" s="518"/>
      <c r="K288" s="509"/>
      <c r="L288" s="518"/>
      <c r="M288" s="65"/>
      <c r="N288" s="66"/>
      <c r="O288" s="66"/>
      <c r="P288" s="87" t="str">
        <f>IF(AND('331-CT'!$E$7=TH!H288,OR(N288="331",O288="331")),"x","")</f>
        <v/>
      </c>
      <c r="Q288" s="87" t="str">
        <f>IF(AND(B288='111'!$L$11,OR($N288=$Q$7,$O288=$Q$7)),"x","")</f>
        <v/>
      </c>
      <c r="R288" s="87" t="str">
        <f>IF(AND($N288=$Q$7,$B288&lt;'111'!$L$11),"x","")</f>
        <v/>
      </c>
      <c r="S288" s="87" t="str">
        <f>IF(AND($O288=$Q$7,$B288&lt;'111'!$L$11),"x","")</f>
        <v/>
      </c>
      <c r="T288" s="87" t="str">
        <f>IF(ISERROR(FIND('112'!$M$9,G288,1)),"",IF((AND(FIND('112'!$M$9,G288,1)&gt;=1,B288='112'!$K$9,OR($N288='112'!$I$6,$O288='112'!$I$6))),"x",""))</f>
        <v/>
      </c>
      <c r="U288" s="87" t="str">
        <f>IF(ISERROR(FIND('112'!$M$9,G288,1)),"",IF((AND(FIND('112'!$M$9,G288,1)&gt;=1,B288&lt;'112'!$K$9,$N288='112'!$I$6)),"x",""))</f>
        <v/>
      </c>
      <c r="V288" s="87" t="str">
        <f>IF(ISERROR(FIND('112'!$M$9,G288,1)),"",IF((AND(FIND('112'!$M$9,G288,1)&gt;=1,B288&lt;'112'!$K$9,$O288='112'!$I$6)),"x",""))</f>
        <v/>
      </c>
      <c r="W288" s="87" t="str">
        <f>IF(AND($B288&gt;='1331'!$I$9,$B288&lt;='1331'!$J$9,OR($N288=$W$7,$O288=$W$7)),"x","")</f>
        <v/>
      </c>
      <c r="X288" s="87" t="str">
        <f>IF(AND($N288=$W$7,$B288&lt;'1331'!$I$9),"x","")</f>
        <v/>
      </c>
      <c r="Y288" s="87" t="str">
        <f>IF(AND($O288=$W$7,$B288&lt;'1331'!$I$9),"x","")</f>
        <v/>
      </c>
      <c r="Z288" s="87" t="str">
        <f>IF(AND('341-CT'!$H$9=H288,OR(LEFT(N288,3)=$Z$7,LEFT(O288,3)=$Z$7)),"x","")</f>
        <v/>
      </c>
      <c r="AA288" s="87" t="str">
        <f>IF(OR(TH!N288=TH!$AA$7,O288=TH!$AA$7),"x","")</f>
        <v/>
      </c>
      <c r="AB288" s="87" t="str">
        <f>IF(AND(OR(N288="131",O288="131"),H288='131-CT'!$H$9),"x","")</f>
        <v/>
      </c>
      <c r="AC288" s="87"/>
      <c r="AD288" s="87" t="str">
        <f>IF(AND(MONTH(E288)='IN-NX'!$J$5,'IN-NX'!$D$7=D288),"x","")</f>
        <v/>
      </c>
      <c r="AE288" s="87" t="str">
        <f>IF(AND(OR(LEFT(TH!N288,2)="15",LEFT(TH!O288,2)="15"),'152-CT'!$J$8=TH!F288),"x","")</f>
        <v/>
      </c>
      <c r="AF288" s="87" t="str">
        <f>IF(AND(OR(LEFT(TH!N288,2)="15",LEFT(TH!O288,2)="15"),'THE KHO'!$E$7=TH!F288),"x","")</f>
        <v/>
      </c>
      <c r="AG288" s="87" t="str">
        <f>IF(AND(N288="1521",MONTH(C288)='BK NL'!$M$11),"x","")</f>
        <v/>
      </c>
    </row>
    <row r="289" spans="1:33" ht="15.75" customHeight="1">
      <c r="A289" s="399" t="str">
        <f>IF(B289&lt;&gt;"",IF(AND(B289&gt;=_TM1,B289&lt;=_TM2,OR(TH!N289="1111",TH!O289="1111")),TH!D289,""),"")</f>
        <v/>
      </c>
      <c r="B289" s="63" t="str">
        <f t="shared" si="9"/>
        <v/>
      </c>
      <c r="C289" s="64"/>
      <c r="D289" s="64"/>
      <c r="E289" s="64"/>
      <c r="F289" s="67"/>
      <c r="G289" s="362"/>
      <c r="H289" s="75"/>
      <c r="I289" s="518"/>
      <c r="J289" s="518"/>
      <c r="K289" s="509"/>
      <c r="L289" s="518"/>
      <c r="M289" s="65"/>
      <c r="N289" s="66"/>
      <c r="O289" s="66"/>
      <c r="P289" s="87" t="str">
        <f>IF(AND('331-CT'!$E$7=TH!H289,OR(N289="331",O289="331")),"x","")</f>
        <v/>
      </c>
      <c r="Q289" s="87" t="str">
        <f>IF(AND(B289='111'!$L$11,OR($N289=$Q$7,$O289=$Q$7)),"x","")</f>
        <v/>
      </c>
      <c r="R289" s="87" t="str">
        <f>IF(AND($N289=$Q$7,$B289&lt;'111'!$L$11),"x","")</f>
        <v/>
      </c>
      <c r="S289" s="87" t="str">
        <f>IF(AND($O289=$Q$7,$B289&lt;'111'!$L$11),"x","")</f>
        <v/>
      </c>
      <c r="T289" s="87" t="str">
        <f>IF(ISERROR(FIND('112'!$M$9,G289,1)),"",IF((AND(FIND('112'!$M$9,G289,1)&gt;=1,B289='112'!$K$9,OR($N289='112'!$I$6,$O289='112'!$I$6))),"x",""))</f>
        <v/>
      </c>
      <c r="U289" s="87" t="str">
        <f>IF(ISERROR(FIND('112'!$M$9,G289,1)),"",IF((AND(FIND('112'!$M$9,G289,1)&gt;=1,B289&lt;'112'!$K$9,$N289='112'!$I$6)),"x",""))</f>
        <v/>
      </c>
      <c r="V289" s="87" t="str">
        <f>IF(ISERROR(FIND('112'!$M$9,G289,1)),"",IF((AND(FIND('112'!$M$9,G289,1)&gt;=1,B289&lt;'112'!$K$9,$O289='112'!$I$6)),"x",""))</f>
        <v/>
      </c>
      <c r="W289" s="87" t="str">
        <f>IF(AND($B289&gt;='1331'!$I$9,$B289&lt;='1331'!$J$9,OR($N289=$W$7,$O289=$W$7)),"x","")</f>
        <v/>
      </c>
      <c r="X289" s="87" t="str">
        <f>IF(AND($N289=$W$7,$B289&lt;'1331'!$I$9),"x","")</f>
        <v/>
      </c>
      <c r="Y289" s="87" t="str">
        <f>IF(AND($O289=$W$7,$B289&lt;'1331'!$I$9),"x","")</f>
        <v/>
      </c>
      <c r="Z289" s="87" t="str">
        <f>IF(AND('341-CT'!$H$9=H289,OR(LEFT(N289,3)=$Z$7,LEFT(O289,3)=$Z$7)),"x","")</f>
        <v/>
      </c>
      <c r="AA289" s="87" t="str">
        <f>IF(OR(TH!N289=TH!$AA$7,O289=TH!$AA$7),"x","")</f>
        <v/>
      </c>
      <c r="AB289" s="87" t="str">
        <f>IF(AND(OR(N289="131",O289="131"),H289='131-CT'!$H$9),"x","")</f>
        <v/>
      </c>
      <c r="AC289" s="87"/>
      <c r="AD289" s="87" t="str">
        <f>IF(AND(MONTH(E289)='IN-NX'!$J$5,'IN-NX'!$D$7=D289),"x","")</f>
        <v/>
      </c>
      <c r="AE289" s="87" t="str">
        <f>IF(AND(OR(LEFT(TH!N289,2)="15",LEFT(TH!O289,2)="15"),'152-CT'!$J$8=TH!F289),"x","")</f>
        <v/>
      </c>
      <c r="AF289" s="87" t="str">
        <f>IF(AND(OR(LEFT(TH!N289,2)="15",LEFT(TH!O289,2)="15"),'THE KHO'!$E$7=TH!F289),"x","")</f>
        <v/>
      </c>
      <c r="AG289" s="87" t="str">
        <f>IF(AND(N289="1521",MONTH(C289)='BK NL'!$M$11),"x","")</f>
        <v/>
      </c>
    </row>
    <row r="290" spans="1:33" ht="15.75" customHeight="1">
      <c r="A290" s="399" t="str">
        <f>IF(B290&lt;&gt;"",IF(AND(B290&gt;=_TM1,B290&lt;=_TM2,OR(TH!N290="1111",TH!O290="1111")),TH!D290,""),"")</f>
        <v/>
      </c>
      <c r="B290" s="63" t="str">
        <f t="shared" si="9"/>
        <v/>
      </c>
      <c r="C290" s="64"/>
      <c r="D290" s="64"/>
      <c r="E290" s="64"/>
      <c r="F290" s="67"/>
      <c r="G290" s="362"/>
      <c r="H290" s="75"/>
      <c r="I290" s="518"/>
      <c r="J290" s="518"/>
      <c r="K290" s="509"/>
      <c r="L290" s="518"/>
      <c r="M290" s="65"/>
      <c r="N290" s="66"/>
      <c r="O290" s="66"/>
      <c r="P290" s="87" t="str">
        <f>IF(AND('331-CT'!$E$7=TH!H290,OR(N290="331",O290="331")),"x","")</f>
        <v/>
      </c>
      <c r="Q290" s="87" t="str">
        <f>IF(AND(B290='111'!$L$11,OR($N290=$Q$7,$O290=$Q$7)),"x","")</f>
        <v/>
      </c>
      <c r="R290" s="87" t="str">
        <f>IF(AND($N290=$Q$7,$B290&lt;'111'!$L$11),"x","")</f>
        <v/>
      </c>
      <c r="S290" s="87" t="str">
        <f>IF(AND($O290=$Q$7,$B290&lt;'111'!$L$11),"x","")</f>
        <v/>
      </c>
      <c r="T290" s="87" t="str">
        <f>IF(ISERROR(FIND('112'!$M$9,G290,1)),"",IF((AND(FIND('112'!$M$9,G290,1)&gt;=1,B290='112'!$K$9,OR($N290='112'!$I$6,$O290='112'!$I$6))),"x",""))</f>
        <v/>
      </c>
      <c r="U290" s="87" t="str">
        <f>IF(ISERROR(FIND('112'!$M$9,G290,1)),"",IF((AND(FIND('112'!$M$9,G290,1)&gt;=1,B290&lt;'112'!$K$9,$N290='112'!$I$6)),"x",""))</f>
        <v/>
      </c>
      <c r="V290" s="87" t="str">
        <f>IF(ISERROR(FIND('112'!$M$9,G290,1)),"",IF((AND(FIND('112'!$M$9,G290,1)&gt;=1,B290&lt;'112'!$K$9,$O290='112'!$I$6)),"x",""))</f>
        <v/>
      </c>
      <c r="W290" s="87" t="str">
        <f>IF(AND($B290&gt;='1331'!$I$9,$B290&lt;='1331'!$J$9,OR($N290=$W$7,$O290=$W$7)),"x","")</f>
        <v/>
      </c>
      <c r="X290" s="87" t="str">
        <f>IF(AND($N290=$W$7,$B290&lt;'1331'!$I$9),"x","")</f>
        <v/>
      </c>
      <c r="Y290" s="87" t="str">
        <f>IF(AND($O290=$W$7,$B290&lt;'1331'!$I$9),"x","")</f>
        <v/>
      </c>
      <c r="Z290" s="87" t="str">
        <f>IF(AND('341-CT'!$H$9=H290,OR(LEFT(N290,3)=$Z$7,LEFT(O290,3)=$Z$7)),"x","")</f>
        <v/>
      </c>
      <c r="AA290" s="87" t="str">
        <f>IF(OR(TH!N290=TH!$AA$7,O290=TH!$AA$7),"x","")</f>
        <v/>
      </c>
      <c r="AB290" s="87" t="str">
        <f>IF(AND(OR(N290="131",O290="131"),H290='131-CT'!$H$9),"x","")</f>
        <v/>
      </c>
      <c r="AC290" s="87"/>
      <c r="AD290" s="87" t="str">
        <f>IF(AND(MONTH(E290)='IN-NX'!$J$5,'IN-NX'!$D$7=D290),"x","")</f>
        <v/>
      </c>
      <c r="AE290" s="87" t="str">
        <f>IF(AND(OR(LEFT(TH!N290,2)="15",LEFT(TH!O290,2)="15"),'152-CT'!$J$8=TH!F290),"x","")</f>
        <v/>
      </c>
      <c r="AF290" s="87" t="str">
        <f>IF(AND(OR(LEFT(TH!N290,2)="15",LEFT(TH!O290,2)="15"),'THE KHO'!$E$7=TH!F290),"x","")</f>
        <v/>
      </c>
      <c r="AG290" s="87" t="str">
        <f>IF(AND(N290="1521",MONTH(C290)='BK NL'!$M$11),"x","")</f>
        <v/>
      </c>
    </row>
    <row r="291" spans="1:33" ht="15.75" customHeight="1">
      <c r="A291" s="399" t="str">
        <f>IF(B291&lt;&gt;"",IF(AND(B291&gt;=_TM1,B291&lt;=_TM2,OR(TH!N291="1111",TH!O291="1111")),TH!D291,""),"")</f>
        <v/>
      </c>
      <c r="B291" s="63" t="str">
        <f t="shared" si="9"/>
        <v/>
      </c>
      <c r="C291" s="64"/>
      <c r="D291" s="64"/>
      <c r="E291" s="64"/>
      <c r="F291" s="67"/>
      <c r="G291" s="362"/>
      <c r="H291" s="75"/>
      <c r="I291" s="518"/>
      <c r="J291" s="518"/>
      <c r="K291" s="509"/>
      <c r="L291" s="518"/>
      <c r="M291" s="65"/>
      <c r="N291" s="66"/>
      <c r="O291" s="66"/>
      <c r="P291" s="87" t="str">
        <f>IF(AND('331-CT'!$E$7=TH!H291,OR(N291="331",O291="331")),"x","")</f>
        <v/>
      </c>
      <c r="Q291" s="87" t="str">
        <f>IF(AND(B291='111'!$L$11,OR($N291=$Q$7,$O291=$Q$7)),"x","")</f>
        <v/>
      </c>
      <c r="R291" s="87" t="str">
        <f>IF(AND($N291=$Q$7,$B291&lt;'111'!$L$11),"x","")</f>
        <v/>
      </c>
      <c r="S291" s="87" t="str">
        <f>IF(AND($O291=$Q$7,$B291&lt;'111'!$L$11),"x","")</f>
        <v/>
      </c>
      <c r="T291" s="87" t="str">
        <f>IF(ISERROR(FIND('112'!$M$9,G291,1)),"",IF((AND(FIND('112'!$M$9,G291,1)&gt;=1,B291='112'!$K$9,OR($N291='112'!$I$6,$O291='112'!$I$6))),"x",""))</f>
        <v/>
      </c>
      <c r="U291" s="87" t="str">
        <f>IF(ISERROR(FIND('112'!$M$9,G291,1)),"",IF((AND(FIND('112'!$M$9,G291,1)&gt;=1,B291&lt;'112'!$K$9,$N291='112'!$I$6)),"x",""))</f>
        <v/>
      </c>
      <c r="V291" s="87" t="str">
        <f>IF(ISERROR(FIND('112'!$M$9,G291,1)),"",IF((AND(FIND('112'!$M$9,G291,1)&gt;=1,B291&lt;'112'!$K$9,$O291='112'!$I$6)),"x",""))</f>
        <v/>
      </c>
      <c r="W291" s="87" t="str">
        <f>IF(AND($B291&gt;='1331'!$I$9,$B291&lt;='1331'!$J$9,OR($N291=$W$7,$O291=$W$7)),"x","")</f>
        <v/>
      </c>
      <c r="X291" s="87" t="str">
        <f>IF(AND($N291=$W$7,$B291&lt;'1331'!$I$9),"x","")</f>
        <v/>
      </c>
      <c r="Y291" s="87" t="str">
        <f>IF(AND($O291=$W$7,$B291&lt;'1331'!$I$9),"x","")</f>
        <v/>
      </c>
      <c r="Z291" s="87" t="str">
        <f>IF(AND('341-CT'!$H$9=H291,OR(LEFT(N291,3)=$Z$7,LEFT(O291,3)=$Z$7)),"x","")</f>
        <v/>
      </c>
      <c r="AA291" s="87" t="str">
        <f>IF(OR(TH!N291=TH!$AA$7,O291=TH!$AA$7),"x","")</f>
        <v/>
      </c>
      <c r="AB291" s="87" t="str">
        <f>IF(AND(OR(N291="131",O291="131"),H291='131-CT'!$H$9),"x","")</f>
        <v/>
      </c>
      <c r="AC291" s="87"/>
      <c r="AD291" s="87" t="str">
        <f>IF(AND(MONTH(E291)='IN-NX'!$J$5,'IN-NX'!$D$7=D291),"x","")</f>
        <v/>
      </c>
      <c r="AE291" s="87" t="str">
        <f>IF(AND(OR(LEFT(TH!N291,2)="15",LEFT(TH!O291,2)="15"),'152-CT'!$J$8=TH!F291),"x","")</f>
        <v/>
      </c>
      <c r="AF291" s="87" t="str">
        <f>IF(AND(OR(LEFT(TH!N291,2)="15",LEFT(TH!O291,2)="15"),'THE KHO'!$E$7=TH!F291),"x","")</f>
        <v/>
      </c>
      <c r="AG291" s="87" t="str">
        <f>IF(AND(N291="1521",MONTH(C291)='BK NL'!$M$11),"x","")</f>
        <v/>
      </c>
    </row>
    <row r="292" spans="1:33" ht="15.75" customHeight="1">
      <c r="A292" s="399" t="str">
        <f>IF(B292&lt;&gt;"",IF(AND(B292&gt;=_TM1,B292&lt;=_TM2,OR(TH!N292="1111",TH!O292="1111")),TH!D292,""),"")</f>
        <v/>
      </c>
      <c r="B292" s="63" t="str">
        <f t="shared" si="9"/>
        <v/>
      </c>
      <c r="C292" s="64"/>
      <c r="D292" s="64"/>
      <c r="E292" s="64"/>
      <c r="F292" s="67"/>
      <c r="G292" s="362"/>
      <c r="H292" s="75"/>
      <c r="I292" s="518"/>
      <c r="J292" s="518"/>
      <c r="K292" s="509"/>
      <c r="L292" s="518"/>
      <c r="M292" s="65"/>
      <c r="N292" s="66"/>
      <c r="O292" s="66"/>
      <c r="P292" s="87" t="str">
        <f>IF(AND('331-CT'!$E$7=TH!H292,OR(N292="331",O292="331")),"x","")</f>
        <v/>
      </c>
      <c r="Q292" s="87" t="str">
        <f>IF(AND(B292='111'!$L$11,OR($N292=$Q$7,$O292=$Q$7)),"x","")</f>
        <v/>
      </c>
      <c r="R292" s="87" t="str">
        <f>IF(AND($N292=$Q$7,$B292&lt;'111'!$L$11),"x","")</f>
        <v/>
      </c>
      <c r="S292" s="87" t="str">
        <f>IF(AND($O292=$Q$7,$B292&lt;'111'!$L$11),"x","")</f>
        <v/>
      </c>
      <c r="T292" s="87" t="str">
        <f>IF(ISERROR(FIND('112'!$M$9,G292,1)),"",IF((AND(FIND('112'!$M$9,G292,1)&gt;=1,B292='112'!$K$9,OR($N292='112'!$I$6,$O292='112'!$I$6))),"x",""))</f>
        <v/>
      </c>
      <c r="U292" s="87" t="str">
        <f>IF(ISERROR(FIND('112'!$M$9,G292,1)),"",IF((AND(FIND('112'!$M$9,G292,1)&gt;=1,B292&lt;'112'!$K$9,$N292='112'!$I$6)),"x",""))</f>
        <v/>
      </c>
      <c r="V292" s="87" t="str">
        <f>IF(ISERROR(FIND('112'!$M$9,G292,1)),"",IF((AND(FIND('112'!$M$9,G292,1)&gt;=1,B292&lt;'112'!$K$9,$O292='112'!$I$6)),"x",""))</f>
        <v/>
      </c>
      <c r="W292" s="87" t="str">
        <f>IF(AND($B292&gt;='1331'!$I$9,$B292&lt;='1331'!$J$9,OR($N292=$W$7,$O292=$W$7)),"x","")</f>
        <v/>
      </c>
      <c r="X292" s="87" t="str">
        <f>IF(AND($N292=$W$7,$B292&lt;'1331'!$I$9),"x","")</f>
        <v/>
      </c>
      <c r="Y292" s="87" t="str">
        <f>IF(AND($O292=$W$7,$B292&lt;'1331'!$I$9),"x","")</f>
        <v/>
      </c>
      <c r="Z292" s="87" t="str">
        <f>IF(AND('341-CT'!$H$9=H292,OR(LEFT(N292,3)=$Z$7,LEFT(O292,3)=$Z$7)),"x","")</f>
        <v/>
      </c>
      <c r="AA292" s="87" t="str">
        <f>IF(OR(TH!N292=TH!$AA$7,O292=TH!$AA$7),"x","")</f>
        <v/>
      </c>
      <c r="AB292" s="87" t="str">
        <f>IF(AND(OR(N292="131",O292="131"),H292='131-CT'!$H$9),"x","")</f>
        <v/>
      </c>
      <c r="AC292" s="87"/>
      <c r="AD292" s="87" t="str">
        <f>IF(AND(MONTH(E292)='IN-NX'!$J$5,'IN-NX'!$D$7=D292),"x","")</f>
        <v/>
      </c>
      <c r="AE292" s="87" t="str">
        <f>IF(AND(OR(LEFT(TH!N292,2)="15",LEFT(TH!O292,2)="15"),'152-CT'!$J$8=TH!F292),"x","")</f>
        <v/>
      </c>
      <c r="AF292" s="87" t="str">
        <f>IF(AND(OR(LEFT(TH!N292,2)="15",LEFT(TH!O292,2)="15"),'THE KHO'!$E$7=TH!F292),"x","")</f>
        <v/>
      </c>
      <c r="AG292" s="87" t="str">
        <f>IF(AND(N292="1521",MONTH(C292)='BK NL'!$M$11),"x","")</f>
        <v/>
      </c>
    </row>
    <row r="293" spans="1:33" ht="15.75" customHeight="1">
      <c r="A293" s="399" t="str">
        <f>IF(B293&lt;&gt;"",IF(AND(B293&gt;=_TM1,B293&lt;=_TM2,OR(TH!N293="1111",TH!O293="1111")),TH!D293,""),"")</f>
        <v/>
      </c>
      <c r="B293" s="63" t="str">
        <f t="shared" si="9"/>
        <v/>
      </c>
      <c r="C293" s="64"/>
      <c r="D293" s="64"/>
      <c r="E293" s="64"/>
      <c r="F293" s="67"/>
      <c r="G293" s="362"/>
      <c r="H293" s="75"/>
      <c r="I293" s="518"/>
      <c r="J293" s="518"/>
      <c r="K293" s="509"/>
      <c r="L293" s="518"/>
      <c r="M293" s="65"/>
      <c r="N293" s="66"/>
      <c r="O293" s="66"/>
      <c r="P293" s="87" t="str">
        <f>IF(AND('331-CT'!$E$7=TH!H293,OR(N293="331",O293="331")),"x","")</f>
        <v/>
      </c>
      <c r="Q293" s="87" t="str">
        <f>IF(AND(B293='111'!$L$11,OR($N293=$Q$7,$O293=$Q$7)),"x","")</f>
        <v/>
      </c>
      <c r="R293" s="87" t="str">
        <f>IF(AND($N293=$Q$7,$B293&lt;'111'!$L$11),"x","")</f>
        <v/>
      </c>
      <c r="S293" s="87" t="str">
        <f>IF(AND($O293=$Q$7,$B293&lt;'111'!$L$11),"x","")</f>
        <v/>
      </c>
      <c r="T293" s="87" t="str">
        <f>IF(ISERROR(FIND('112'!$M$9,G293,1)),"",IF((AND(FIND('112'!$M$9,G293,1)&gt;=1,B293='112'!$K$9,OR($N293='112'!$I$6,$O293='112'!$I$6))),"x",""))</f>
        <v/>
      </c>
      <c r="U293" s="87" t="str">
        <f>IF(ISERROR(FIND('112'!$M$9,G293,1)),"",IF((AND(FIND('112'!$M$9,G293,1)&gt;=1,B293&lt;'112'!$K$9,$N293='112'!$I$6)),"x",""))</f>
        <v/>
      </c>
      <c r="V293" s="87" t="str">
        <f>IF(ISERROR(FIND('112'!$M$9,G293,1)),"",IF((AND(FIND('112'!$M$9,G293,1)&gt;=1,B293&lt;'112'!$K$9,$O293='112'!$I$6)),"x",""))</f>
        <v/>
      </c>
      <c r="W293" s="87" t="str">
        <f>IF(AND($B293&gt;='1331'!$I$9,$B293&lt;='1331'!$J$9,OR($N293=$W$7,$O293=$W$7)),"x","")</f>
        <v/>
      </c>
      <c r="X293" s="87" t="str">
        <f>IF(AND($N293=$W$7,$B293&lt;'1331'!$I$9),"x","")</f>
        <v/>
      </c>
      <c r="Y293" s="87" t="str">
        <f>IF(AND($O293=$W$7,$B293&lt;'1331'!$I$9),"x","")</f>
        <v/>
      </c>
      <c r="Z293" s="87" t="str">
        <f>IF(AND('341-CT'!$H$9=H293,OR(LEFT(N293,3)=$Z$7,LEFT(O293,3)=$Z$7)),"x","")</f>
        <v/>
      </c>
      <c r="AA293" s="87" t="str">
        <f>IF(OR(TH!N293=TH!$AA$7,O293=TH!$AA$7),"x","")</f>
        <v/>
      </c>
      <c r="AB293" s="87" t="str">
        <f>IF(AND(OR(N293="131",O293="131"),H293='131-CT'!$H$9),"x","")</f>
        <v/>
      </c>
      <c r="AC293" s="87"/>
      <c r="AD293" s="87" t="str">
        <f>IF(AND(MONTH(E293)='IN-NX'!$J$5,'IN-NX'!$D$7=D293),"x","")</f>
        <v/>
      </c>
      <c r="AE293" s="87" t="str">
        <f>IF(AND(OR(LEFT(TH!N293,2)="15",LEFT(TH!O293,2)="15"),'152-CT'!$J$8=TH!F293),"x","")</f>
        <v/>
      </c>
      <c r="AF293" s="87" t="str">
        <f>IF(AND(OR(LEFT(TH!N293,2)="15",LEFT(TH!O293,2)="15"),'THE KHO'!$E$7=TH!F293),"x","")</f>
        <v/>
      </c>
      <c r="AG293" s="87" t="str">
        <f>IF(AND(N293="1521",MONTH(C293)='BK NL'!$M$11),"x","")</f>
        <v/>
      </c>
    </row>
    <row r="294" spans="1:33" ht="15.75" customHeight="1">
      <c r="A294" s="399" t="str">
        <f>IF(B294&lt;&gt;"",IF(AND(B294&gt;=_TM1,B294&lt;=_TM2,OR(TH!N294="1111",TH!O294="1111")),TH!D294,""),"")</f>
        <v/>
      </c>
      <c r="B294" s="63" t="str">
        <f t="shared" si="9"/>
        <v/>
      </c>
      <c r="C294" s="64"/>
      <c r="D294" s="64"/>
      <c r="E294" s="64"/>
      <c r="F294" s="67"/>
      <c r="G294" s="362"/>
      <c r="H294" s="409"/>
      <c r="I294" s="522"/>
      <c r="J294" s="522"/>
      <c r="K294" s="513"/>
      <c r="L294" s="522"/>
      <c r="M294" s="65"/>
      <c r="N294" s="66"/>
      <c r="O294" s="66"/>
      <c r="P294" s="87" t="str">
        <f>IF(AND('331-CT'!$E$7=TH!H294,OR(N294="331",O294="331")),"x","")</f>
        <v/>
      </c>
      <c r="Q294" s="87" t="str">
        <f>IF(AND(B294='111'!$L$11,OR($N294=$Q$7,$O294=$Q$7)),"x","")</f>
        <v/>
      </c>
      <c r="R294" s="87" t="str">
        <f>IF(AND($N294=$Q$7,$B294&lt;'111'!$L$11),"x","")</f>
        <v/>
      </c>
      <c r="S294" s="87" t="str">
        <f>IF(AND($O294=$Q$7,$B294&lt;'111'!$L$11),"x","")</f>
        <v/>
      </c>
      <c r="T294" s="87" t="str">
        <f>IF(ISERROR(FIND('112'!$M$9,G294,1)),"",IF((AND(FIND('112'!$M$9,G294,1)&gt;=1,B294='112'!$K$9,OR($N294='112'!$I$6,$O294='112'!$I$6))),"x",""))</f>
        <v/>
      </c>
      <c r="U294" s="87" t="str">
        <f>IF(ISERROR(FIND('112'!$M$9,G294,1)),"",IF((AND(FIND('112'!$M$9,G294,1)&gt;=1,B294&lt;'112'!$K$9,$N294='112'!$I$6)),"x",""))</f>
        <v/>
      </c>
      <c r="V294" s="87" t="str">
        <f>IF(ISERROR(FIND('112'!$M$9,G294,1)),"",IF((AND(FIND('112'!$M$9,G294,1)&gt;=1,B294&lt;'112'!$K$9,$O294='112'!$I$6)),"x",""))</f>
        <v/>
      </c>
      <c r="W294" s="87" t="str">
        <f>IF(AND($B294&gt;='1331'!$I$9,$B294&lt;='1331'!$J$9,OR($N294=$W$7,$O294=$W$7)),"x","")</f>
        <v/>
      </c>
      <c r="X294" s="87" t="str">
        <f>IF(AND($N294=$W$7,$B294&lt;'1331'!$I$9),"x","")</f>
        <v/>
      </c>
      <c r="Y294" s="87" t="str">
        <f>IF(AND($O294=$W$7,$B294&lt;'1331'!$I$9),"x","")</f>
        <v/>
      </c>
      <c r="Z294" s="87" t="str">
        <f>IF(AND('341-CT'!$H$9=H294,OR(LEFT(N294,3)=$Z$7,LEFT(O294,3)=$Z$7)),"x","")</f>
        <v/>
      </c>
      <c r="AA294" s="87" t="str">
        <f>IF(OR(TH!N294=TH!$AA$7,O294=TH!$AA$7),"x","")</f>
        <v/>
      </c>
      <c r="AB294" s="87" t="str">
        <f>IF(AND(OR(N294="131",O294="131"),H294='131-CT'!$H$9),"x","")</f>
        <v/>
      </c>
      <c r="AC294" s="87"/>
      <c r="AD294" s="87" t="str">
        <f>IF(AND(MONTH(E294)='IN-NX'!$J$5,'IN-NX'!$D$7=D294),"x","")</f>
        <v/>
      </c>
      <c r="AE294" s="87" t="str">
        <f>IF(AND(OR(LEFT(TH!N294,2)="15",LEFT(TH!O294,2)="15"),'152-CT'!$J$8=TH!F294),"x","")</f>
        <v/>
      </c>
      <c r="AF294" s="87" t="str">
        <f>IF(AND(OR(LEFT(TH!N294,2)="15",LEFT(TH!O294,2)="15"),'THE KHO'!$E$7=TH!F294),"x","")</f>
        <v/>
      </c>
      <c r="AG294" s="87" t="str">
        <f>IF(AND(N294="1521",MONTH(C294)='BK NL'!$M$11),"x","")</f>
        <v/>
      </c>
    </row>
    <row r="295" spans="1:33" ht="15.75" customHeight="1">
      <c r="A295" s="399" t="str">
        <f>IF(B295&lt;&gt;"",IF(AND(B295&gt;=_TM1,B295&lt;=_TM2,OR(TH!N295="1111",TH!O295="1111")),TH!D295,""),"")</f>
        <v/>
      </c>
      <c r="B295" s="63" t="str">
        <f t="shared" si="9"/>
        <v/>
      </c>
      <c r="C295" s="64"/>
      <c r="D295" s="64"/>
      <c r="E295" s="64"/>
      <c r="F295" s="67"/>
      <c r="G295" s="362"/>
      <c r="H295" s="75"/>
      <c r="I295" s="518"/>
      <c r="J295" s="518"/>
      <c r="K295" s="509"/>
      <c r="L295" s="518"/>
      <c r="M295" s="65"/>
      <c r="N295" s="66"/>
      <c r="O295" s="66"/>
      <c r="P295" s="87" t="str">
        <f>IF(AND('331-CT'!$E$7=TH!H295,OR(N295="331",O295="331")),"x","")</f>
        <v/>
      </c>
      <c r="Q295" s="87" t="str">
        <f>IF(AND(B295='111'!$L$11,OR($N295=$Q$7,$O295=$Q$7)),"x","")</f>
        <v/>
      </c>
      <c r="R295" s="87" t="str">
        <f>IF(AND($N295=$Q$7,$B295&lt;'111'!$L$11),"x","")</f>
        <v/>
      </c>
      <c r="S295" s="87" t="str">
        <f>IF(AND($O295=$Q$7,$B295&lt;'111'!$L$11),"x","")</f>
        <v/>
      </c>
      <c r="T295" s="87" t="str">
        <f>IF(ISERROR(FIND('112'!$M$9,G295,1)),"",IF((AND(FIND('112'!$M$9,G295,1)&gt;=1,B295='112'!$K$9,OR($N295='112'!$I$6,$O295='112'!$I$6))),"x",""))</f>
        <v/>
      </c>
      <c r="U295" s="87" t="str">
        <f>IF(ISERROR(FIND('112'!$M$9,G295,1)),"",IF((AND(FIND('112'!$M$9,G295,1)&gt;=1,B295&lt;'112'!$K$9,$N295='112'!$I$6)),"x",""))</f>
        <v/>
      </c>
      <c r="V295" s="87" t="str">
        <f>IF(ISERROR(FIND('112'!$M$9,G295,1)),"",IF((AND(FIND('112'!$M$9,G295,1)&gt;=1,B295&lt;'112'!$K$9,$O295='112'!$I$6)),"x",""))</f>
        <v/>
      </c>
      <c r="W295" s="87" t="str">
        <f>IF(AND($B295&gt;='1331'!$I$9,$B295&lt;='1331'!$J$9,OR($N295=$W$7,$O295=$W$7)),"x","")</f>
        <v/>
      </c>
      <c r="X295" s="87" t="str">
        <f>IF(AND($N295=$W$7,$B295&lt;'1331'!$I$9),"x","")</f>
        <v/>
      </c>
      <c r="Y295" s="87" t="str">
        <f>IF(AND($O295=$W$7,$B295&lt;'1331'!$I$9),"x","")</f>
        <v/>
      </c>
      <c r="Z295" s="87" t="str">
        <f>IF(AND('341-CT'!$H$9=H295,OR(LEFT(N295,3)=$Z$7,LEFT(O295,3)=$Z$7)),"x","")</f>
        <v/>
      </c>
      <c r="AA295" s="87" t="str">
        <f>IF(OR(TH!N295=TH!$AA$7,O295=TH!$AA$7),"x","")</f>
        <v/>
      </c>
      <c r="AB295" s="87" t="str">
        <f>IF(AND(OR(N295="131",O295="131"),H295='131-CT'!$H$9),"x","")</f>
        <v/>
      </c>
      <c r="AC295" s="87"/>
      <c r="AD295" s="87" t="str">
        <f>IF(AND(MONTH(E295)='IN-NX'!$J$5,'IN-NX'!$D$7=D295),"x","")</f>
        <v/>
      </c>
      <c r="AE295" s="87" t="str">
        <f>IF(AND(OR(LEFT(TH!N295,2)="15",LEFT(TH!O295,2)="15"),'152-CT'!$J$8=TH!F295),"x","")</f>
        <v/>
      </c>
      <c r="AF295" s="87" t="str">
        <f>IF(AND(OR(LEFT(TH!N295,2)="15",LEFT(TH!O295,2)="15"),'THE KHO'!$E$7=TH!F295),"x","")</f>
        <v/>
      </c>
      <c r="AG295" s="87" t="str">
        <f>IF(AND(N295="1521",MONTH(C295)='BK NL'!$M$11),"x","")</f>
        <v/>
      </c>
    </row>
    <row r="296" spans="1:33" ht="15.75" customHeight="1">
      <c r="A296" s="399" t="str">
        <f>IF(B296&lt;&gt;"",IF(AND(B296&gt;=_TM1,B296&lt;=_TM2,OR(TH!N296="1111",TH!O296="1111")),TH!D296,""),"")</f>
        <v/>
      </c>
      <c r="B296" s="63" t="str">
        <f t="shared" si="9"/>
        <v/>
      </c>
      <c r="C296" s="64"/>
      <c r="D296" s="64"/>
      <c r="E296" s="64"/>
      <c r="F296" s="67"/>
      <c r="G296" s="362"/>
      <c r="H296" s="75"/>
      <c r="I296" s="518"/>
      <c r="J296" s="518"/>
      <c r="K296" s="509"/>
      <c r="L296" s="518"/>
      <c r="M296" s="65"/>
      <c r="N296" s="66"/>
      <c r="O296" s="66"/>
      <c r="P296" s="87" t="str">
        <f>IF(AND('331-CT'!$E$7=TH!H296,OR(N296="331",O296="331")),"x","")</f>
        <v/>
      </c>
      <c r="Q296" s="87" t="str">
        <f>IF(AND(B296='111'!$L$11,OR($N296=$Q$7,$O296=$Q$7)),"x","")</f>
        <v/>
      </c>
      <c r="R296" s="87" t="str">
        <f>IF(AND($N296=$Q$7,$B296&lt;'111'!$L$11),"x","")</f>
        <v/>
      </c>
      <c r="S296" s="87" t="str">
        <f>IF(AND($O296=$Q$7,$B296&lt;'111'!$L$11),"x","")</f>
        <v/>
      </c>
      <c r="T296" s="87" t="str">
        <f>IF(ISERROR(FIND('112'!$M$9,G296,1)),"",IF((AND(FIND('112'!$M$9,G296,1)&gt;=1,B296='112'!$K$9,OR($N296='112'!$I$6,$O296='112'!$I$6))),"x",""))</f>
        <v/>
      </c>
      <c r="U296" s="87" t="str">
        <f>IF(ISERROR(FIND('112'!$M$9,G296,1)),"",IF((AND(FIND('112'!$M$9,G296,1)&gt;=1,B296&lt;'112'!$K$9,$N296='112'!$I$6)),"x",""))</f>
        <v/>
      </c>
      <c r="V296" s="87" t="str">
        <f>IF(ISERROR(FIND('112'!$M$9,G296,1)),"",IF((AND(FIND('112'!$M$9,G296,1)&gt;=1,B296&lt;'112'!$K$9,$O296='112'!$I$6)),"x",""))</f>
        <v/>
      </c>
      <c r="W296" s="87" t="str">
        <f>IF(AND($B296&gt;='1331'!$I$9,$B296&lt;='1331'!$J$9,OR($N296=$W$7,$O296=$W$7)),"x","")</f>
        <v/>
      </c>
      <c r="X296" s="87" t="str">
        <f>IF(AND($N296=$W$7,$B296&lt;'1331'!$I$9),"x","")</f>
        <v/>
      </c>
      <c r="Y296" s="87" t="str">
        <f>IF(AND($O296=$W$7,$B296&lt;'1331'!$I$9),"x","")</f>
        <v/>
      </c>
      <c r="Z296" s="87" t="str">
        <f>IF(AND('341-CT'!$H$9=H296,OR(LEFT(N296,3)=$Z$7,LEFT(O296,3)=$Z$7)),"x","")</f>
        <v/>
      </c>
      <c r="AA296" s="87" t="str">
        <f>IF(OR(TH!N296=TH!$AA$7,O296=TH!$AA$7),"x","")</f>
        <v/>
      </c>
      <c r="AB296" s="87" t="str">
        <f>IF(AND(OR(N296="131",O296="131"),H296='131-CT'!$H$9),"x","")</f>
        <v/>
      </c>
      <c r="AC296" s="87"/>
      <c r="AD296" s="87" t="str">
        <f>IF(AND(MONTH(E296)='IN-NX'!$J$5,'IN-NX'!$D$7=D296),"x","")</f>
        <v/>
      </c>
      <c r="AE296" s="87" t="str">
        <f>IF(AND(OR(LEFT(TH!N296,2)="15",LEFT(TH!O296,2)="15"),'152-CT'!$J$8=TH!F296),"x","")</f>
        <v/>
      </c>
      <c r="AF296" s="87" t="str">
        <f>IF(AND(OR(LEFT(TH!N296,2)="15",LEFT(TH!O296,2)="15"),'THE KHO'!$E$7=TH!F296),"x","")</f>
        <v/>
      </c>
      <c r="AG296" s="87" t="str">
        <f>IF(AND(N296="1521",MONTH(C296)='BK NL'!$M$11),"x","")</f>
        <v/>
      </c>
    </row>
    <row r="297" spans="1:33" ht="15.75" customHeight="1">
      <c r="A297" s="399" t="str">
        <f>IF(B297&lt;&gt;"",IF(AND(B297&gt;=_TM1,B297&lt;=_TM2,OR(TH!N297="1111",TH!O297="1111")),TH!D297,""),"")</f>
        <v/>
      </c>
      <c r="B297" s="63" t="str">
        <f t="shared" si="9"/>
        <v/>
      </c>
      <c r="C297" s="64"/>
      <c r="D297" s="64"/>
      <c r="E297" s="64"/>
      <c r="F297" s="67"/>
      <c r="G297" s="362"/>
      <c r="H297" s="409"/>
      <c r="I297" s="522"/>
      <c r="J297" s="522"/>
      <c r="K297" s="513"/>
      <c r="L297" s="522"/>
      <c r="M297" s="65"/>
      <c r="N297" s="66"/>
      <c r="O297" s="66"/>
      <c r="P297" s="87" t="str">
        <f>IF(AND('331-CT'!$E$7=TH!H297,OR(N297="331",O297="331")),"x","")</f>
        <v/>
      </c>
      <c r="Q297" s="87" t="str">
        <f>IF(AND(B297='111'!$L$11,OR($N297=$Q$7,$O297=$Q$7)),"x","")</f>
        <v/>
      </c>
      <c r="R297" s="87" t="str">
        <f>IF(AND($N297=$Q$7,$B297&lt;'111'!$L$11),"x","")</f>
        <v/>
      </c>
      <c r="S297" s="87" t="str">
        <f>IF(AND($O297=$Q$7,$B297&lt;'111'!$L$11),"x","")</f>
        <v/>
      </c>
      <c r="T297" s="87" t="str">
        <f>IF(ISERROR(FIND('112'!$M$9,G297,1)),"",IF((AND(FIND('112'!$M$9,G297,1)&gt;=1,B297='112'!$K$9,OR($N297='112'!$I$6,$O297='112'!$I$6))),"x",""))</f>
        <v/>
      </c>
      <c r="U297" s="87" t="str">
        <f>IF(ISERROR(FIND('112'!$M$9,G297,1)),"",IF((AND(FIND('112'!$M$9,G297,1)&gt;=1,B297&lt;'112'!$K$9,$N297='112'!$I$6)),"x",""))</f>
        <v/>
      </c>
      <c r="V297" s="87" t="str">
        <f>IF(ISERROR(FIND('112'!$M$9,G297,1)),"",IF((AND(FIND('112'!$M$9,G297,1)&gt;=1,B297&lt;'112'!$K$9,$O297='112'!$I$6)),"x",""))</f>
        <v/>
      </c>
      <c r="W297" s="87" t="str">
        <f>IF(AND($B297&gt;='1331'!$I$9,$B297&lt;='1331'!$J$9,OR($N297=$W$7,$O297=$W$7)),"x","")</f>
        <v/>
      </c>
      <c r="X297" s="87" t="str">
        <f>IF(AND($N297=$W$7,$B297&lt;'1331'!$I$9),"x","")</f>
        <v/>
      </c>
      <c r="Y297" s="87" t="str">
        <f>IF(AND($O297=$W$7,$B297&lt;'1331'!$I$9),"x","")</f>
        <v/>
      </c>
      <c r="Z297" s="87" t="str">
        <f>IF(AND('341-CT'!$H$9=H297,OR(LEFT(N297,3)=$Z$7,LEFT(O297,3)=$Z$7)),"x","")</f>
        <v/>
      </c>
      <c r="AA297" s="87" t="str">
        <f>IF(OR(TH!N297=TH!$AA$7,O297=TH!$AA$7),"x","")</f>
        <v/>
      </c>
      <c r="AB297" s="87" t="str">
        <f>IF(AND(OR(N297="131",O297="131"),H297='131-CT'!$H$9),"x","")</f>
        <v/>
      </c>
      <c r="AC297" s="87"/>
      <c r="AD297" s="87" t="str">
        <f>IF(AND(MONTH(E297)='IN-NX'!$J$5,'IN-NX'!$D$7=D297),"x","")</f>
        <v/>
      </c>
      <c r="AE297" s="87" t="str">
        <f>IF(AND(OR(LEFT(TH!N297,2)="15",LEFT(TH!O297,2)="15"),'152-CT'!$J$8=TH!F297),"x","")</f>
        <v/>
      </c>
      <c r="AF297" s="87" t="str">
        <f>IF(AND(OR(LEFT(TH!N297,2)="15",LEFT(TH!O297,2)="15"),'THE KHO'!$E$7=TH!F297),"x","")</f>
        <v/>
      </c>
      <c r="AG297" s="87" t="str">
        <f>IF(AND(N297="1521",MONTH(C297)='BK NL'!$M$11),"x","")</f>
        <v/>
      </c>
    </row>
    <row r="298" spans="1:33" ht="15.75" customHeight="1">
      <c r="A298" s="399" t="str">
        <f>IF(B298&lt;&gt;"",IF(AND(B298&gt;=_TM1,B298&lt;=_TM2,OR(TH!N298="1111",TH!O298="1111")),TH!D298,""),"")</f>
        <v/>
      </c>
      <c r="B298" s="63" t="str">
        <f t="shared" si="9"/>
        <v/>
      </c>
      <c r="C298" s="64"/>
      <c r="D298" s="64"/>
      <c r="E298" s="64"/>
      <c r="F298" s="67"/>
      <c r="G298" s="362"/>
      <c r="H298" s="75"/>
      <c r="I298" s="518"/>
      <c r="J298" s="518"/>
      <c r="K298" s="509"/>
      <c r="L298" s="518"/>
      <c r="M298" s="65"/>
      <c r="N298" s="66"/>
      <c r="O298" s="66"/>
      <c r="P298" s="87" t="str">
        <f>IF(AND('331-CT'!$E$7=TH!H298,OR(N298="331",O298="331")),"x","")</f>
        <v/>
      </c>
      <c r="Q298" s="87" t="str">
        <f>IF(AND(B298='111'!$L$11,OR($N298=$Q$7,$O298=$Q$7)),"x","")</f>
        <v/>
      </c>
      <c r="R298" s="87" t="str">
        <f>IF(AND($N298=$Q$7,$B298&lt;'111'!$L$11),"x","")</f>
        <v/>
      </c>
      <c r="S298" s="87" t="str">
        <f>IF(AND($O298=$Q$7,$B298&lt;'111'!$L$11),"x","")</f>
        <v/>
      </c>
      <c r="T298" s="87" t="str">
        <f>IF(ISERROR(FIND('112'!$M$9,G298,1)),"",IF((AND(FIND('112'!$M$9,G298,1)&gt;=1,B298='112'!$K$9,OR($N298='112'!$I$6,$O298='112'!$I$6))),"x",""))</f>
        <v/>
      </c>
      <c r="U298" s="87" t="str">
        <f>IF(ISERROR(FIND('112'!$M$9,G298,1)),"",IF((AND(FIND('112'!$M$9,G298,1)&gt;=1,B298&lt;'112'!$K$9,$N298='112'!$I$6)),"x",""))</f>
        <v/>
      </c>
      <c r="V298" s="87" t="str">
        <f>IF(ISERROR(FIND('112'!$M$9,G298,1)),"",IF((AND(FIND('112'!$M$9,G298,1)&gt;=1,B298&lt;'112'!$K$9,$O298='112'!$I$6)),"x",""))</f>
        <v/>
      </c>
      <c r="W298" s="87" t="str">
        <f>IF(AND($B298&gt;='1331'!$I$9,$B298&lt;='1331'!$J$9,OR($N298=$W$7,$O298=$W$7)),"x","")</f>
        <v/>
      </c>
      <c r="X298" s="87" t="str">
        <f>IF(AND($N298=$W$7,$B298&lt;'1331'!$I$9),"x","")</f>
        <v/>
      </c>
      <c r="Y298" s="87" t="str">
        <f>IF(AND($O298=$W$7,$B298&lt;'1331'!$I$9),"x","")</f>
        <v/>
      </c>
      <c r="Z298" s="87" t="str">
        <f>IF(AND('341-CT'!$H$9=H298,OR(LEFT(N298,3)=$Z$7,LEFT(O298,3)=$Z$7)),"x","")</f>
        <v/>
      </c>
      <c r="AA298" s="87" t="str">
        <f>IF(OR(TH!N298=TH!$AA$7,O298=TH!$AA$7),"x","")</f>
        <v/>
      </c>
      <c r="AB298" s="87" t="str">
        <f>IF(AND(OR(N298="131",O298="131"),H298='131-CT'!$H$9),"x","")</f>
        <v/>
      </c>
      <c r="AC298" s="87"/>
      <c r="AD298" s="87" t="str">
        <f>IF(AND(MONTH(E298)='IN-NX'!$J$5,'IN-NX'!$D$7=D298),"x","")</f>
        <v/>
      </c>
      <c r="AE298" s="87" t="str">
        <f>IF(AND(OR(LEFT(TH!N298,2)="15",LEFT(TH!O298,2)="15"),'152-CT'!$J$8=TH!F298),"x","")</f>
        <v/>
      </c>
      <c r="AF298" s="87" t="str">
        <f>IF(AND(OR(LEFT(TH!N298,2)="15",LEFT(TH!O298,2)="15"),'THE KHO'!$E$7=TH!F298),"x","")</f>
        <v/>
      </c>
      <c r="AG298" s="87" t="str">
        <f>IF(AND(N298="1521",MONTH(C298)='BK NL'!$M$11),"x","")</f>
        <v/>
      </c>
    </row>
    <row r="299" spans="1:33" ht="15.75" customHeight="1">
      <c r="A299" s="399" t="str">
        <f>IF(B299&lt;&gt;"",IF(AND(B299&gt;=_TM1,B299&lt;=_TM2,OR(TH!N299="1111",TH!O299="1111")),TH!D299,""),"")</f>
        <v/>
      </c>
      <c r="B299" s="63" t="str">
        <f t="shared" si="9"/>
        <v/>
      </c>
      <c r="C299" s="64"/>
      <c r="D299" s="64"/>
      <c r="E299" s="64"/>
      <c r="F299" s="67"/>
      <c r="G299" s="362"/>
      <c r="H299" s="75"/>
      <c r="I299" s="518"/>
      <c r="J299" s="518"/>
      <c r="K299" s="509"/>
      <c r="L299" s="518"/>
      <c r="M299" s="65"/>
      <c r="N299" s="66"/>
      <c r="O299" s="66"/>
      <c r="P299" s="87" t="str">
        <f>IF(AND('331-CT'!$E$7=TH!H299,OR(N299="331",O299="331")),"x","")</f>
        <v/>
      </c>
      <c r="Q299" s="87" t="str">
        <f>IF(AND(B299='111'!$L$11,OR($N299=$Q$7,$O299=$Q$7)),"x","")</f>
        <v/>
      </c>
      <c r="R299" s="87" t="str">
        <f>IF(AND($N299=$Q$7,$B299&lt;'111'!$L$11),"x","")</f>
        <v/>
      </c>
      <c r="S299" s="87" t="str">
        <f>IF(AND($O299=$Q$7,$B299&lt;'111'!$L$11),"x","")</f>
        <v/>
      </c>
      <c r="T299" s="87" t="str">
        <f>IF(ISERROR(FIND('112'!$M$9,G299,1)),"",IF((AND(FIND('112'!$M$9,G299,1)&gt;=1,B299='112'!$K$9,OR($N299='112'!$I$6,$O299='112'!$I$6))),"x",""))</f>
        <v/>
      </c>
      <c r="U299" s="87" t="str">
        <f>IF(ISERROR(FIND('112'!$M$9,G299,1)),"",IF((AND(FIND('112'!$M$9,G299,1)&gt;=1,B299&lt;'112'!$K$9,$N299='112'!$I$6)),"x",""))</f>
        <v/>
      </c>
      <c r="V299" s="87" t="str">
        <f>IF(ISERROR(FIND('112'!$M$9,G299,1)),"",IF((AND(FIND('112'!$M$9,G299,1)&gt;=1,B299&lt;'112'!$K$9,$O299='112'!$I$6)),"x",""))</f>
        <v/>
      </c>
      <c r="W299" s="87" t="str">
        <f>IF(AND($B299&gt;='1331'!$I$9,$B299&lt;='1331'!$J$9,OR($N299=$W$7,$O299=$W$7)),"x","")</f>
        <v/>
      </c>
      <c r="X299" s="87" t="str">
        <f>IF(AND($N299=$W$7,$B299&lt;'1331'!$I$9),"x","")</f>
        <v/>
      </c>
      <c r="Y299" s="87" t="str">
        <f>IF(AND($O299=$W$7,$B299&lt;'1331'!$I$9),"x","")</f>
        <v/>
      </c>
      <c r="Z299" s="87" t="str">
        <f>IF(AND('341-CT'!$H$9=H299,OR(LEFT(N299,3)=$Z$7,LEFT(O299,3)=$Z$7)),"x","")</f>
        <v/>
      </c>
      <c r="AA299" s="87" t="str">
        <f>IF(OR(TH!N299=TH!$AA$7,O299=TH!$AA$7),"x","")</f>
        <v/>
      </c>
      <c r="AB299" s="87" t="str">
        <f>IF(AND(OR(N299="131",O299="131"),H299='131-CT'!$H$9),"x","")</f>
        <v/>
      </c>
      <c r="AC299" s="87"/>
      <c r="AD299" s="87" t="str">
        <f>IF(AND(MONTH(E299)='IN-NX'!$J$5,'IN-NX'!$D$7=D299),"x","")</f>
        <v/>
      </c>
      <c r="AE299" s="87" t="str">
        <f>IF(AND(OR(LEFT(TH!N299,2)="15",LEFT(TH!O299,2)="15"),'152-CT'!$J$8=TH!F299),"x","")</f>
        <v/>
      </c>
      <c r="AF299" s="87" t="str">
        <f>IF(AND(OR(LEFT(TH!N299,2)="15",LEFT(TH!O299,2)="15"),'THE KHO'!$E$7=TH!F299),"x","")</f>
        <v/>
      </c>
      <c r="AG299" s="87" t="str">
        <f>IF(AND(N299="1521",MONTH(C299)='BK NL'!$M$11),"x","")</f>
        <v/>
      </c>
    </row>
    <row r="300" spans="1:33" ht="15.75" customHeight="1">
      <c r="A300" s="399" t="str">
        <f>IF(B300&lt;&gt;"",IF(AND(B300&gt;=_TM1,B300&lt;=_TM2,OR(TH!N300="1111",TH!O300="1111")),TH!D300,""),"")</f>
        <v/>
      </c>
      <c r="B300" s="63" t="str">
        <f t="shared" si="9"/>
        <v/>
      </c>
      <c r="C300" s="64"/>
      <c r="D300" s="64"/>
      <c r="E300" s="64"/>
      <c r="F300" s="67"/>
      <c r="G300" s="362"/>
      <c r="H300" s="409"/>
      <c r="I300" s="522"/>
      <c r="J300" s="522"/>
      <c r="K300" s="513"/>
      <c r="L300" s="522"/>
      <c r="M300" s="65"/>
      <c r="N300" s="66"/>
      <c r="O300" s="66"/>
      <c r="P300" s="87" t="str">
        <f>IF(AND('331-CT'!$E$7=TH!H300,OR(N300="331",O300="331")),"x","")</f>
        <v/>
      </c>
      <c r="Q300" s="87" t="str">
        <f>IF(AND(B300='111'!$L$11,OR($N300=$Q$7,$O300=$Q$7)),"x","")</f>
        <v/>
      </c>
      <c r="R300" s="87" t="str">
        <f>IF(AND($N300=$Q$7,$B300&lt;'111'!$L$11),"x","")</f>
        <v/>
      </c>
      <c r="S300" s="87" t="str">
        <f>IF(AND($O300=$Q$7,$B300&lt;'111'!$L$11),"x","")</f>
        <v/>
      </c>
      <c r="T300" s="87" t="str">
        <f>IF(ISERROR(FIND('112'!$M$9,G300,1)),"",IF((AND(FIND('112'!$M$9,G300,1)&gt;=1,B300='112'!$K$9,OR($N300='112'!$I$6,$O300='112'!$I$6))),"x",""))</f>
        <v/>
      </c>
      <c r="U300" s="87" t="str">
        <f>IF(ISERROR(FIND('112'!$M$9,G300,1)),"",IF((AND(FIND('112'!$M$9,G300,1)&gt;=1,B300&lt;'112'!$K$9,$N300='112'!$I$6)),"x",""))</f>
        <v/>
      </c>
      <c r="V300" s="87" t="str">
        <f>IF(ISERROR(FIND('112'!$M$9,G300,1)),"",IF((AND(FIND('112'!$M$9,G300,1)&gt;=1,B300&lt;'112'!$K$9,$O300='112'!$I$6)),"x",""))</f>
        <v/>
      </c>
      <c r="W300" s="87" t="str">
        <f>IF(AND($B300&gt;='1331'!$I$9,$B300&lt;='1331'!$J$9,OR($N300=$W$7,$O300=$W$7)),"x","")</f>
        <v/>
      </c>
      <c r="X300" s="87" t="str">
        <f>IF(AND($N300=$W$7,$B300&lt;'1331'!$I$9),"x","")</f>
        <v/>
      </c>
      <c r="Y300" s="87" t="str">
        <f>IF(AND($O300=$W$7,$B300&lt;'1331'!$I$9),"x","")</f>
        <v/>
      </c>
      <c r="Z300" s="87" t="str">
        <f>IF(AND('341-CT'!$H$9=H300,OR(LEFT(N300,3)=$Z$7,LEFT(O300,3)=$Z$7)),"x","")</f>
        <v/>
      </c>
      <c r="AA300" s="87" t="str">
        <f>IF(OR(TH!N300=TH!$AA$7,O300=TH!$AA$7),"x","")</f>
        <v/>
      </c>
      <c r="AB300" s="87" t="str">
        <f>IF(AND(OR(N300="131",O300="131"),H300='131-CT'!$H$9),"x","")</f>
        <v/>
      </c>
      <c r="AC300" s="87"/>
      <c r="AD300" s="87" t="str">
        <f>IF(AND(MONTH(E300)='IN-NX'!$J$5,'IN-NX'!$D$7=D300),"x","")</f>
        <v/>
      </c>
      <c r="AE300" s="87" t="str">
        <f>IF(AND(OR(LEFT(TH!N300,2)="15",LEFT(TH!O300,2)="15"),'152-CT'!$J$8=TH!F300),"x","")</f>
        <v/>
      </c>
      <c r="AF300" s="87" t="str">
        <f>IF(AND(OR(LEFT(TH!N300,2)="15",LEFT(TH!O300,2)="15"),'THE KHO'!$E$7=TH!F300),"x","")</f>
        <v/>
      </c>
      <c r="AG300" s="87" t="str">
        <f>IF(AND(N300="1521",MONTH(C300)='BK NL'!$M$11),"x","")</f>
        <v/>
      </c>
    </row>
    <row r="301" spans="1:33" ht="15.75" customHeight="1">
      <c r="A301" s="399" t="str">
        <f>IF(B301&lt;&gt;"",IF(AND(B301&gt;=_TM1,B301&lt;=_TM2,OR(TH!N301="1111",TH!O301="1111")),TH!D301,""),"")</f>
        <v/>
      </c>
      <c r="B301" s="63" t="str">
        <f t="shared" si="9"/>
        <v/>
      </c>
      <c r="C301" s="64"/>
      <c r="D301" s="64"/>
      <c r="E301" s="64"/>
      <c r="F301" s="67"/>
      <c r="G301" s="362"/>
      <c r="H301" s="75"/>
      <c r="I301" s="518"/>
      <c r="J301" s="518"/>
      <c r="K301" s="509"/>
      <c r="L301" s="518"/>
      <c r="M301" s="65"/>
      <c r="N301" s="66"/>
      <c r="O301" s="66"/>
      <c r="P301" s="87" t="str">
        <f>IF(AND('331-CT'!$E$7=TH!H301,OR(N301="331",O301="331")),"x","")</f>
        <v/>
      </c>
      <c r="Q301" s="87" t="str">
        <f>IF(AND(B301='111'!$L$11,OR($N301=$Q$7,$O301=$Q$7)),"x","")</f>
        <v/>
      </c>
      <c r="R301" s="87" t="str">
        <f>IF(AND($N301=$Q$7,$B301&lt;'111'!$L$11),"x","")</f>
        <v/>
      </c>
      <c r="S301" s="87" t="str">
        <f>IF(AND($O301=$Q$7,$B301&lt;'111'!$L$11),"x","")</f>
        <v/>
      </c>
      <c r="T301" s="87" t="str">
        <f>IF(ISERROR(FIND('112'!$M$9,G301,1)),"",IF((AND(FIND('112'!$M$9,G301,1)&gt;=1,B301='112'!$K$9,OR($N301='112'!$I$6,$O301='112'!$I$6))),"x",""))</f>
        <v/>
      </c>
      <c r="U301" s="87" t="str">
        <f>IF(ISERROR(FIND('112'!$M$9,G301,1)),"",IF((AND(FIND('112'!$M$9,G301,1)&gt;=1,B301&lt;'112'!$K$9,$N301='112'!$I$6)),"x",""))</f>
        <v/>
      </c>
      <c r="V301" s="87" t="str">
        <f>IF(ISERROR(FIND('112'!$M$9,G301,1)),"",IF((AND(FIND('112'!$M$9,G301,1)&gt;=1,B301&lt;'112'!$K$9,$O301='112'!$I$6)),"x",""))</f>
        <v/>
      </c>
      <c r="W301" s="87" t="str">
        <f>IF(AND($B301&gt;='1331'!$I$9,$B301&lt;='1331'!$J$9,OR($N301=$W$7,$O301=$W$7)),"x","")</f>
        <v/>
      </c>
      <c r="X301" s="87" t="str">
        <f>IF(AND($N301=$W$7,$B301&lt;'1331'!$I$9),"x","")</f>
        <v/>
      </c>
      <c r="Y301" s="87" t="str">
        <f>IF(AND($O301=$W$7,$B301&lt;'1331'!$I$9),"x","")</f>
        <v/>
      </c>
      <c r="Z301" s="87" t="str">
        <f>IF(AND('341-CT'!$H$9=H301,OR(LEFT(N301,3)=$Z$7,LEFT(O301,3)=$Z$7)),"x","")</f>
        <v/>
      </c>
      <c r="AA301" s="87" t="str">
        <f>IF(OR(TH!N301=TH!$AA$7,O301=TH!$AA$7),"x","")</f>
        <v/>
      </c>
      <c r="AB301" s="87" t="str">
        <f>IF(AND(OR(N301="131",O301="131"),H301='131-CT'!$H$9),"x","")</f>
        <v/>
      </c>
      <c r="AC301" s="87"/>
      <c r="AD301" s="87" t="str">
        <f>IF(AND(MONTH(E301)='IN-NX'!$J$5,'IN-NX'!$D$7=D301),"x","")</f>
        <v/>
      </c>
      <c r="AE301" s="87" t="str">
        <f>IF(AND(OR(LEFT(TH!N301,2)="15",LEFT(TH!O301,2)="15"),'152-CT'!$J$8=TH!F301),"x","")</f>
        <v/>
      </c>
      <c r="AF301" s="87" t="str">
        <f>IF(AND(OR(LEFT(TH!N301,2)="15",LEFT(TH!O301,2)="15"),'THE KHO'!$E$7=TH!F301),"x","")</f>
        <v/>
      </c>
      <c r="AG301" s="87" t="str">
        <f>IF(AND(N301="1521",MONTH(C301)='BK NL'!$M$11),"x","")</f>
        <v/>
      </c>
    </row>
    <row r="302" spans="1:33" ht="15.75" customHeight="1">
      <c r="A302" s="399" t="str">
        <f>IF(B302&lt;&gt;"",IF(AND(B302&gt;=_TM1,B302&lt;=_TM2,OR(TH!N302="1111",TH!O302="1111")),TH!D302,""),"")</f>
        <v/>
      </c>
      <c r="B302" s="63" t="str">
        <f t="shared" si="9"/>
        <v/>
      </c>
      <c r="C302" s="64"/>
      <c r="D302" s="64"/>
      <c r="E302" s="64"/>
      <c r="F302" s="67"/>
      <c r="G302" s="362"/>
      <c r="H302" s="75"/>
      <c r="I302" s="518"/>
      <c r="J302" s="518"/>
      <c r="K302" s="509"/>
      <c r="L302" s="518"/>
      <c r="M302" s="65"/>
      <c r="N302" s="66"/>
      <c r="O302" s="66"/>
      <c r="P302" s="87" t="str">
        <f>IF(AND('331-CT'!$E$7=TH!H302,OR(N302="331",O302="331")),"x","")</f>
        <v/>
      </c>
      <c r="Q302" s="87" t="str">
        <f>IF(AND(B302='111'!$L$11,OR($N302=$Q$7,$O302=$Q$7)),"x","")</f>
        <v/>
      </c>
      <c r="R302" s="87" t="str">
        <f>IF(AND($N302=$Q$7,$B302&lt;'111'!$L$11),"x","")</f>
        <v/>
      </c>
      <c r="S302" s="87" t="str">
        <f>IF(AND($O302=$Q$7,$B302&lt;'111'!$L$11),"x","")</f>
        <v/>
      </c>
      <c r="T302" s="87" t="str">
        <f>IF(ISERROR(FIND('112'!$M$9,G302,1)),"",IF((AND(FIND('112'!$M$9,G302,1)&gt;=1,B302='112'!$K$9,OR($N302='112'!$I$6,$O302='112'!$I$6))),"x",""))</f>
        <v/>
      </c>
      <c r="U302" s="87" t="str">
        <f>IF(ISERROR(FIND('112'!$M$9,G302,1)),"",IF((AND(FIND('112'!$M$9,G302,1)&gt;=1,B302&lt;'112'!$K$9,$N302='112'!$I$6)),"x",""))</f>
        <v/>
      </c>
      <c r="V302" s="87" t="str">
        <f>IF(ISERROR(FIND('112'!$M$9,G302,1)),"",IF((AND(FIND('112'!$M$9,G302,1)&gt;=1,B302&lt;'112'!$K$9,$O302='112'!$I$6)),"x",""))</f>
        <v/>
      </c>
      <c r="W302" s="87" t="str">
        <f>IF(AND($B302&gt;='1331'!$I$9,$B302&lt;='1331'!$J$9,OR($N302=$W$7,$O302=$W$7)),"x","")</f>
        <v/>
      </c>
      <c r="X302" s="87" t="str">
        <f>IF(AND($N302=$W$7,$B302&lt;'1331'!$I$9),"x","")</f>
        <v/>
      </c>
      <c r="Y302" s="87" t="str">
        <f>IF(AND($O302=$W$7,$B302&lt;'1331'!$I$9),"x","")</f>
        <v/>
      </c>
      <c r="Z302" s="87" t="str">
        <f>IF(AND('341-CT'!$H$9=H302,OR(LEFT(N302,3)=$Z$7,LEFT(O302,3)=$Z$7)),"x","")</f>
        <v/>
      </c>
      <c r="AA302" s="87" t="str">
        <f>IF(OR(TH!N302=TH!$AA$7,O302=TH!$AA$7),"x","")</f>
        <v/>
      </c>
      <c r="AB302" s="87" t="str">
        <f>IF(AND(OR(N302="131",O302="131"),H302='131-CT'!$H$9),"x","")</f>
        <v/>
      </c>
      <c r="AC302" s="87"/>
      <c r="AD302" s="87" t="str">
        <f>IF(AND(MONTH(E302)='IN-NX'!$J$5,'IN-NX'!$D$7=D302),"x","")</f>
        <v/>
      </c>
      <c r="AE302" s="87" t="str">
        <f>IF(AND(OR(LEFT(TH!N302,2)="15",LEFT(TH!O302,2)="15"),'152-CT'!$J$8=TH!F302),"x","")</f>
        <v/>
      </c>
      <c r="AF302" s="87" t="str">
        <f>IF(AND(OR(LEFT(TH!N302,2)="15",LEFT(TH!O302,2)="15"),'THE KHO'!$E$7=TH!F302),"x","")</f>
        <v/>
      </c>
      <c r="AG302" s="87" t="str">
        <f>IF(AND(N302="1521",MONTH(C302)='BK NL'!$M$11),"x","")</f>
        <v/>
      </c>
    </row>
    <row r="303" spans="1:33" ht="15.75" customHeight="1">
      <c r="A303" s="399" t="str">
        <f>IF(B303&lt;&gt;"",IF(AND(B303&gt;=_TM1,B303&lt;=_TM2,OR(TH!N303="1111",TH!O303="1111")),TH!D303,""),"")</f>
        <v/>
      </c>
      <c r="B303" s="63" t="str">
        <f t="shared" si="9"/>
        <v/>
      </c>
      <c r="C303" s="64"/>
      <c r="D303" s="64"/>
      <c r="E303" s="64"/>
      <c r="F303" s="67"/>
      <c r="G303" s="362"/>
      <c r="H303" s="75"/>
      <c r="I303" s="518"/>
      <c r="J303" s="518"/>
      <c r="K303" s="509"/>
      <c r="L303" s="518"/>
      <c r="M303" s="65"/>
      <c r="N303" s="66"/>
      <c r="O303" s="66"/>
      <c r="P303" s="87" t="str">
        <f>IF(AND('331-CT'!$E$7=TH!H303,OR(N303="331",O303="331")),"x","")</f>
        <v/>
      </c>
      <c r="Q303" s="87" t="str">
        <f>IF(AND(B303='111'!$L$11,OR($N303=$Q$7,$O303=$Q$7)),"x","")</f>
        <v/>
      </c>
      <c r="R303" s="87" t="str">
        <f>IF(AND($N303=$Q$7,$B303&lt;'111'!$L$11),"x","")</f>
        <v/>
      </c>
      <c r="S303" s="87" t="str">
        <f>IF(AND($O303=$Q$7,$B303&lt;'111'!$L$11),"x","")</f>
        <v/>
      </c>
      <c r="T303" s="87" t="str">
        <f>IF(ISERROR(FIND('112'!$M$9,G303,1)),"",IF((AND(FIND('112'!$M$9,G303,1)&gt;=1,B303='112'!$K$9,OR($N303='112'!$I$6,$O303='112'!$I$6))),"x",""))</f>
        <v/>
      </c>
      <c r="U303" s="87" t="str">
        <f>IF(ISERROR(FIND('112'!$M$9,G303,1)),"",IF((AND(FIND('112'!$M$9,G303,1)&gt;=1,B303&lt;'112'!$K$9,$N303='112'!$I$6)),"x",""))</f>
        <v/>
      </c>
      <c r="V303" s="87" t="str">
        <f>IF(ISERROR(FIND('112'!$M$9,G303,1)),"",IF((AND(FIND('112'!$M$9,G303,1)&gt;=1,B303&lt;'112'!$K$9,$O303='112'!$I$6)),"x",""))</f>
        <v/>
      </c>
      <c r="W303" s="87" t="str">
        <f>IF(AND($B303&gt;='1331'!$I$9,$B303&lt;='1331'!$J$9,OR($N303=$W$7,$O303=$W$7)),"x","")</f>
        <v/>
      </c>
      <c r="X303" s="87" t="str">
        <f>IF(AND($N303=$W$7,$B303&lt;'1331'!$I$9),"x","")</f>
        <v/>
      </c>
      <c r="Y303" s="87" t="str">
        <f>IF(AND($O303=$W$7,$B303&lt;'1331'!$I$9),"x","")</f>
        <v/>
      </c>
      <c r="Z303" s="87" t="str">
        <f>IF(AND('341-CT'!$H$9=H303,OR(LEFT(N303,3)=$Z$7,LEFT(O303,3)=$Z$7)),"x","")</f>
        <v/>
      </c>
      <c r="AA303" s="87" t="str">
        <f>IF(OR(TH!N303=TH!$AA$7,O303=TH!$AA$7),"x","")</f>
        <v/>
      </c>
      <c r="AB303" s="87" t="str">
        <f>IF(AND(OR(N303="131",O303="131"),H303='131-CT'!$H$9),"x","")</f>
        <v/>
      </c>
      <c r="AC303" s="87"/>
      <c r="AD303" s="87" t="str">
        <f>IF(AND(MONTH(E303)='IN-NX'!$J$5,'IN-NX'!$D$7=D303),"x","")</f>
        <v/>
      </c>
      <c r="AE303" s="87" t="str">
        <f>IF(AND(OR(LEFT(TH!N303,2)="15",LEFT(TH!O303,2)="15"),'152-CT'!$J$8=TH!F303),"x","")</f>
        <v/>
      </c>
      <c r="AF303" s="87" t="str">
        <f>IF(AND(OR(LEFT(TH!N303,2)="15",LEFT(TH!O303,2)="15"),'THE KHO'!$E$7=TH!F303),"x","")</f>
        <v/>
      </c>
      <c r="AG303" s="87" t="str">
        <f>IF(AND(N303="1521",MONTH(C303)='BK NL'!$M$11),"x","")</f>
        <v/>
      </c>
    </row>
    <row r="304" spans="1:33" ht="15.75" customHeight="1">
      <c r="A304" s="399" t="str">
        <f>IF(B304&lt;&gt;"",IF(AND(B304&gt;=_TM1,B304&lt;=_TM2,OR(TH!N304="1111",TH!O304="1111")),TH!D304,""),"")</f>
        <v/>
      </c>
      <c r="B304" s="63" t="str">
        <f t="shared" si="9"/>
        <v/>
      </c>
      <c r="C304" s="64"/>
      <c r="D304" s="64"/>
      <c r="E304" s="64"/>
      <c r="F304" s="67"/>
      <c r="G304" s="362"/>
      <c r="H304" s="75"/>
      <c r="I304" s="518"/>
      <c r="J304" s="518"/>
      <c r="K304" s="509"/>
      <c r="L304" s="518"/>
      <c r="M304" s="65"/>
      <c r="N304" s="66"/>
      <c r="O304" s="66"/>
      <c r="P304" s="87" t="str">
        <f>IF(AND('331-CT'!$E$7=TH!H304,OR(N304="331",O304="331")),"x","")</f>
        <v/>
      </c>
      <c r="Q304" s="87" t="str">
        <f>IF(AND(B304='111'!$L$11,OR($N304=$Q$7,$O304=$Q$7)),"x","")</f>
        <v/>
      </c>
      <c r="R304" s="87" t="str">
        <f>IF(AND($N304=$Q$7,$B304&lt;'111'!$L$11),"x","")</f>
        <v/>
      </c>
      <c r="S304" s="87" t="str">
        <f>IF(AND($O304=$Q$7,$B304&lt;'111'!$L$11),"x","")</f>
        <v/>
      </c>
      <c r="T304" s="87" t="str">
        <f>IF(ISERROR(FIND('112'!$M$9,G304,1)),"",IF((AND(FIND('112'!$M$9,G304,1)&gt;=1,B304='112'!$K$9,OR($N304='112'!$I$6,$O304='112'!$I$6))),"x",""))</f>
        <v/>
      </c>
      <c r="U304" s="87" t="str">
        <f>IF(ISERROR(FIND('112'!$M$9,G304,1)),"",IF((AND(FIND('112'!$M$9,G304,1)&gt;=1,B304&lt;'112'!$K$9,$N304='112'!$I$6)),"x",""))</f>
        <v/>
      </c>
      <c r="V304" s="87" t="str">
        <f>IF(ISERROR(FIND('112'!$M$9,G304,1)),"",IF((AND(FIND('112'!$M$9,G304,1)&gt;=1,B304&lt;'112'!$K$9,$O304='112'!$I$6)),"x",""))</f>
        <v/>
      </c>
      <c r="W304" s="87" t="str">
        <f>IF(AND($B304&gt;='1331'!$I$9,$B304&lt;='1331'!$J$9,OR($N304=$W$7,$O304=$W$7)),"x","")</f>
        <v/>
      </c>
      <c r="X304" s="87" t="str">
        <f>IF(AND($N304=$W$7,$B304&lt;'1331'!$I$9),"x","")</f>
        <v/>
      </c>
      <c r="Y304" s="87" t="str">
        <f>IF(AND($O304=$W$7,$B304&lt;'1331'!$I$9),"x","")</f>
        <v/>
      </c>
      <c r="Z304" s="87" t="str">
        <f>IF(AND('341-CT'!$H$9=H304,OR(LEFT(N304,3)=$Z$7,LEFT(O304,3)=$Z$7)),"x","")</f>
        <v/>
      </c>
      <c r="AA304" s="87" t="str">
        <f>IF(OR(TH!N304=TH!$AA$7,O304=TH!$AA$7),"x","")</f>
        <v/>
      </c>
      <c r="AB304" s="87" t="str">
        <f>IF(AND(OR(N304="131",O304="131"),H304='131-CT'!$H$9),"x","")</f>
        <v/>
      </c>
      <c r="AC304" s="87"/>
      <c r="AD304" s="87" t="str">
        <f>IF(AND(MONTH(E304)='IN-NX'!$J$5,'IN-NX'!$D$7=D304),"x","")</f>
        <v/>
      </c>
      <c r="AE304" s="87" t="str">
        <f>IF(AND(OR(LEFT(TH!N304,2)="15",LEFT(TH!O304,2)="15"),'152-CT'!$J$8=TH!F304),"x","")</f>
        <v/>
      </c>
      <c r="AF304" s="87" t="str">
        <f>IF(AND(OR(LEFT(TH!N304,2)="15",LEFT(TH!O304,2)="15"),'THE KHO'!$E$7=TH!F304),"x","")</f>
        <v/>
      </c>
      <c r="AG304" s="87" t="str">
        <f>IF(AND(N304="1521",MONTH(C304)='BK NL'!$M$11),"x","")</f>
        <v/>
      </c>
    </row>
    <row r="305" spans="1:33" ht="15.75" customHeight="1">
      <c r="A305" s="399" t="str">
        <f>IF(B305&lt;&gt;"",IF(AND(B305&gt;=_TM1,B305&lt;=_TM2,OR(TH!N305="1111",TH!O305="1111")),TH!D305,""),"")</f>
        <v/>
      </c>
      <c r="B305" s="82" t="str">
        <f t="shared" si="9"/>
        <v/>
      </c>
      <c r="C305" s="83"/>
      <c r="D305" s="83"/>
      <c r="E305" s="83"/>
      <c r="F305" s="84"/>
      <c r="G305" s="377"/>
      <c r="H305" s="85"/>
      <c r="I305" s="516"/>
      <c r="J305" s="516"/>
      <c r="K305" s="507"/>
      <c r="L305" s="516"/>
      <c r="M305" s="86"/>
      <c r="N305" s="87"/>
      <c r="O305" s="87"/>
      <c r="P305" s="87" t="str">
        <f>IF(AND('331-CT'!$E$7=TH!H305,OR(N305="331",O305="331")),"x","")</f>
        <v/>
      </c>
      <c r="Q305" s="87" t="str">
        <f>IF(AND(B305='111'!$L$11,OR($N305=$Q$7,$O305=$Q$7)),"x","")</f>
        <v/>
      </c>
      <c r="R305" s="87" t="str">
        <f>IF(AND($N305=$Q$7,$B305&lt;'111'!$L$11),"x","")</f>
        <v/>
      </c>
      <c r="S305" s="87" t="str">
        <f>IF(AND($O305=$Q$7,$B305&lt;'111'!$L$11),"x","")</f>
        <v/>
      </c>
      <c r="T305" s="87" t="str">
        <f>IF(ISERROR(FIND('112'!$M$9,G305,1)),"",IF((AND(FIND('112'!$M$9,G305,1)&gt;=1,B305='112'!$K$9,OR($N305='112'!$I$6,$O305='112'!$I$6))),"x",""))</f>
        <v/>
      </c>
      <c r="U305" s="87" t="str">
        <f>IF(ISERROR(FIND('112'!$M$9,G305,1)),"",IF((AND(FIND('112'!$M$9,G305,1)&gt;=1,B305&lt;'112'!$K$9,$N305='112'!$I$6)),"x",""))</f>
        <v/>
      </c>
      <c r="V305" s="87" t="str">
        <f>IF(ISERROR(FIND('112'!$M$9,G305,1)),"",IF((AND(FIND('112'!$M$9,G305,1)&gt;=1,B305&lt;'112'!$K$9,$O305='112'!$I$6)),"x",""))</f>
        <v/>
      </c>
      <c r="W305" s="87" t="str">
        <f>IF(AND($B305&gt;='1331'!$I$9,$B305&lt;='1331'!$J$9,OR($N305=$W$7,$O305=$W$7)),"x","")</f>
        <v/>
      </c>
      <c r="X305" s="87" t="str">
        <f>IF(AND($N305=$W$7,$B305&lt;'1331'!$I$9),"x","")</f>
        <v/>
      </c>
      <c r="Y305" s="87" t="str">
        <f>IF(AND($O305=$W$7,$B305&lt;'1331'!$I$9),"x","")</f>
        <v/>
      </c>
      <c r="Z305" s="87" t="str">
        <f>IF(AND('341-CT'!$H$9=H305,OR(LEFT(N305,3)=$Z$7,LEFT(O305,3)=$Z$7)),"x","")</f>
        <v/>
      </c>
      <c r="AA305" s="87" t="str">
        <f>IF(OR(TH!N305=TH!$AA$7,O305=TH!$AA$7),"x","")</f>
        <v/>
      </c>
      <c r="AB305" s="87" t="str">
        <f>IF(AND(OR(N305="131",O305="131"),H305='131-CT'!$H$9),"x","")</f>
        <v/>
      </c>
      <c r="AC305" s="87"/>
      <c r="AD305" s="87" t="str">
        <f>IF(AND(MONTH(E305)='IN-NX'!$J$5,'IN-NX'!$D$7=D305),"x","")</f>
        <v/>
      </c>
      <c r="AE305" s="87" t="str">
        <f>IF(AND(OR(LEFT(TH!N305,2)="15",LEFT(TH!O305,2)="15"),'152-CT'!$J$8=TH!F305),"x","")</f>
        <v/>
      </c>
      <c r="AF305" s="87" t="str">
        <f>IF(AND(OR(LEFT(TH!N305,2)="15",LEFT(TH!O305,2)="15"),'THE KHO'!$E$7=TH!F305),"x","")</f>
        <v/>
      </c>
      <c r="AG305" s="87" t="str">
        <f>IF(AND(N305="1521",MONTH(C305)='BK NL'!$M$11),"x","")</f>
        <v/>
      </c>
    </row>
    <row r="306" spans="1:33" ht="15.75" customHeight="1">
      <c r="A306" s="399" t="str">
        <f>IF(B306&lt;&gt;"",IF(AND(B306&gt;=_TM1,B306&lt;=_TM2,OR(TH!N306="1111",TH!O306="1111")),TH!D306,""),"")</f>
        <v/>
      </c>
      <c r="B306" s="63" t="str">
        <f t="shared" si="9"/>
        <v/>
      </c>
      <c r="C306" s="64"/>
      <c r="D306" s="64"/>
      <c r="E306" s="64"/>
      <c r="F306" s="67"/>
      <c r="G306" s="362"/>
      <c r="H306" s="75"/>
      <c r="I306" s="518"/>
      <c r="J306" s="518"/>
      <c r="K306" s="509"/>
      <c r="L306" s="518"/>
      <c r="M306" s="65"/>
      <c r="N306" s="66"/>
      <c r="O306" s="66"/>
      <c r="P306" s="87" t="str">
        <f>IF(AND('331-CT'!$E$7=TH!H306,OR(N306="331",O306="331")),"x","")</f>
        <v/>
      </c>
      <c r="Q306" s="87" t="str">
        <f>IF(AND(B306='111'!$L$11,OR($N306=$Q$7,$O306=$Q$7)),"x","")</f>
        <v/>
      </c>
      <c r="R306" s="87" t="str">
        <f>IF(AND($N306=$Q$7,$B306&lt;'111'!$L$11),"x","")</f>
        <v/>
      </c>
      <c r="S306" s="87" t="str">
        <f>IF(AND($O306=$Q$7,$B306&lt;'111'!$L$11),"x","")</f>
        <v/>
      </c>
      <c r="T306" s="87" t="str">
        <f>IF(ISERROR(FIND('112'!$M$9,G306,1)),"",IF((AND(FIND('112'!$M$9,G306,1)&gt;=1,B306='112'!$K$9,OR($N306='112'!$I$6,$O306='112'!$I$6))),"x",""))</f>
        <v/>
      </c>
      <c r="U306" s="87" t="str">
        <f>IF(ISERROR(FIND('112'!$M$9,G306,1)),"",IF((AND(FIND('112'!$M$9,G306,1)&gt;=1,B306&lt;'112'!$K$9,$N306='112'!$I$6)),"x",""))</f>
        <v/>
      </c>
      <c r="V306" s="87" t="str">
        <f>IF(ISERROR(FIND('112'!$M$9,G306,1)),"",IF((AND(FIND('112'!$M$9,G306,1)&gt;=1,B306&lt;'112'!$K$9,$O306='112'!$I$6)),"x",""))</f>
        <v/>
      </c>
      <c r="W306" s="87" t="str">
        <f>IF(AND($B306&gt;='1331'!$I$9,$B306&lt;='1331'!$J$9,OR($N306=$W$7,$O306=$W$7)),"x","")</f>
        <v/>
      </c>
      <c r="X306" s="87" t="str">
        <f>IF(AND($N306=$W$7,$B306&lt;'1331'!$I$9),"x","")</f>
        <v/>
      </c>
      <c r="Y306" s="87" t="str">
        <f>IF(AND($O306=$W$7,$B306&lt;'1331'!$I$9),"x","")</f>
        <v/>
      </c>
      <c r="Z306" s="87" t="str">
        <f>IF(AND('341-CT'!$H$9=H306,OR(LEFT(N306,3)=$Z$7,LEFT(O306,3)=$Z$7)),"x","")</f>
        <v/>
      </c>
      <c r="AA306" s="87" t="str">
        <f>IF(OR(TH!N306=TH!$AA$7,O306=TH!$AA$7),"x","")</f>
        <v/>
      </c>
      <c r="AB306" s="87" t="str">
        <f>IF(AND(OR(N306="131",O306="131"),H306='131-CT'!$H$9),"x","")</f>
        <v/>
      </c>
      <c r="AC306" s="87"/>
      <c r="AD306" s="87" t="str">
        <f>IF(AND(MONTH(E306)='IN-NX'!$J$5,'IN-NX'!$D$7=D306),"x","")</f>
        <v/>
      </c>
      <c r="AE306" s="87" t="str">
        <f>IF(AND(OR(LEFT(TH!N306,2)="15",LEFT(TH!O306,2)="15"),'152-CT'!$J$8=TH!F306),"x","")</f>
        <v/>
      </c>
      <c r="AF306" s="87" t="str">
        <f>IF(AND(OR(LEFT(TH!N306,2)="15",LEFT(TH!O306,2)="15"),'THE KHO'!$E$7=TH!F306),"x","")</f>
        <v/>
      </c>
      <c r="AG306" s="87" t="str">
        <f>IF(AND(N306="1521",MONTH(C306)='BK NL'!$M$11),"x","")</f>
        <v/>
      </c>
    </row>
    <row r="307" spans="1:33" ht="15.75" customHeight="1">
      <c r="A307" s="399" t="str">
        <f>IF(B307&lt;&gt;"",IF(AND(B307&gt;=_TM1,B307&lt;=_TM2,OR(TH!N307="1111",TH!O307="1111")),TH!D307,""),"")</f>
        <v/>
      </c>
      <c r="B307" s="63" t="str">
        <f t="shared" si="9"/>
        <v/>
      </c>
      <c r="C307" s="64"/>
      <c r="D307" s="64"/>
      <c r="E307" s="64"/>
      <c r="F307" s="67"/>
      <c r="G307" s="362"/>
      <c r="H307" s="409"/>
      <c r="I307" s="522"/>
      <c r="J307" s="522"/>
      <c r="K307" s="513"/>
      <c r="L307" s="522"/>
      <c r="M307" s="65"/>
      <c r="N307" s="66"/>
      <c r="O307" s="66"/>
      <c r="P307" s="87" t="str">
        <f>IF(AND('331-CT'!$E$7=TH!H307,OR(N307="331",O307="331")),"x","")</f>
        <v/>
      </c>
      <c r="Q307" s="87" t="str">
        <f>IF(AND(B307='111'!$L$11,OR($N307=$Q$7,$O307=$Q$7)),"x","")</f>
        <v/>
      </c>
      <c r="R307" s="87" t="str">
        <f>IF(AND($N307=$Q$7,$B307&lt;'111'!$L$11),"x","")</f>
        <v/>
      </c>
      <c r="S307" s="87" t="str">
        <f>IF(AND($O307=$Q$7,$B307&lt;'111'!$L$11),"x","")</f>
        <v/>
      </c>
      <c r="T307" s="87" t="str">
        <f>IF(ISERROR(FIND('112'!$M$9,G307,1)),"",IF((AND(FIND('112'!$M$9,G307,1)&gt;=1,B307='112'!$K$9,OR($N307='112'!$I$6,$O307='112'!$I$6))),"x",""))</f>
        <v/>
      </c>
      <c r="U307" s="87" t="str">
        <f>IF(ISERROR(FIND('112'!$M$9,G307,1)),"",IF((AND(FIND('112'!$M$9,G307,1)&gt;=1,B307&lt;'112'!$K$9,$N307='112'!$I$6)),"x",""))</f>
        <v/>
      </c>
      <c r="V307" s="87" t="str">
        <f>IF(ISERROR(FIND('112'!$M$9,G307,1)),"",IF((AND(FIND('112'!$M$9,G307,1)&gt;=1,B307&lt;'112'!$K$9,$O307='112'!$I$6)),"x",""))</f>
        <v/>
      </c>
      <c r="W307" s="87" t="str">
        <f>IF(AND($B307&gt;='1331'!$I$9,$B307&lt;='1331'!$J$9,OR($N307=$W$7,$O307=$W$7)),"x","")</f>
        <v/>
      </c>
      <c r="X307" s="87" t="str">
        <f>IF(AND($N307=$W$7,$B307&lt;'1331'!$I$9),"x","")</f>
        <v/>
      </c>
      <c r="Y307" s="87" t="str">
        <f>IF(AND($O307=$W$7,$B307&lt;'1331'!$I$9),"x","")</f>
        <v/>
      </c>
      <c r="Z307" s="87" t="str">
        <f>IF(AND('341-CT'!$H$9=H307,OR(LEFT(N307,3)=$Z$7,LEFT(O307,3)=$Z$7)),"x","")</f>
        <v/>
      </c>
      <c r="AA307" s="87" t="str">
        <f>IF(OR(TH!N307=TH!$AA$7,O307=TH!$AA$7),"x","")</f>
        <v/>
      </c>
      <c r="AB307" s="87" t="str">
        <f>IF(AND(OR(N307="131",O307="131"),H307='131-CT'!$H$9),"x","")</f>
        <v/>
      </c>
      <c r="AC307" s="87"/>
      <c r="AD307" s="87" t="str">
        <f>IF(AND(MONTH(E307)='IN-NX'!$J$5,'IN-NX'!$D$7=D307),"x","")</f>
        <v/>
      </c>
      <c r="AE307" s="87" t="str">
        <f>IF(AND(OR(LEFT(TH!N307,2)="15",LEFT(TH!O307,2)="15"),'152-CT'!$J$8=TH!F307),"x","")</f>
        <v/>
      </c>
      <c r="AF307" s="87" t="str">
        <f>IF(AND(OR(LEFT(TH!N307,2)="15",LEFT(TH!O307,2)="15"),'THE KHO'!$E$7=TH!F307),"x","")</f>
        <v/>
      </c>
      <c r="AG307" s="87" t="str">
        <f>IF(AND(N307="1521",MONTH(C307)='BK NL'!$M$11),"x","")</f>
        <v/>
      </c>
    </row>
    <row r="308" spans="1:33" ht="15.75" customHeight="1">
      <c r="A308" s="399" t="str">
        <f>IF(B308&lt;&gt;"",IF(AND(B308&gt;=_TM1,B308&lt;=_TM2,OR(TH!N308="1111",TH!O308="1111")),TH!D308,""),"")</f>
        <v/>
      </c>
      <c r="B308" s="63" t="str">
        <f t="shared" si="9"/>
        <v/>
      </c>
      <c r="C308" s="64"/>
      <c r="D308" s="64"/>
      <c r="E308" s="64"/>
      <c r="F308" s="67"/>
      <c r="G308" s="362"/>
      <c r="H308" s="75"/>
      <c r="I308" s="518"/>
      <c r="J308" s="518"/>
      <c r="K308" s="509"/>
      <c r="L308" s="518"/>
      <c r="M308" s="65"/>
      <c r="N308" s="66"/>
      <c r="O308" s="66"/>
      <c r="P308" s="87" t="str">
        <f>IF(AND('331-CT'!$E$7=TH!H308,OR(N308="331",O308="331")),"x","")</f>
        <v/>
      </c>
      <c r="Q308" s="87" t="str">
        <f>IF(AND(B308='111'!$L$11,OR($N308=$Q$7,$O308=$Q$7)),"x","")</f>
        <v/>
      </c>
      <c r="R308" s="87" t="str">
        <f>IF(AND($N308=$Q$7,$B308&lt;'111'!$L$11),"x","")</f>
        <v/>
      </c>
      <c r="S308" s="87" t="str">
        <f>IF(AND($O308=$Q$7,$B308&lt;'111'!$L$11),"x","")</f>
        <v/>
      </c>
      <c r="T308" s="87" t="str">
        <f>IF(ISERROR(FIND('112'!$M$9,G308,1)),"",IF((AND(FIND('112'!$M$9,G308,1)&gt;=1,B308='112'!$K$9,OR($N308='112'!$I$6,$O308='112'!$I$6))),"x",""))</f>
        <v/>
      </c>
      <c r="U308" s="87" t="str">
        <f>IF(ISERROR(FIND('112'!$M$9,G308,1)),"",IF((AND(FIND('112'!$M$9,G308,1)&gt;=1,B308&lt;'112'!$K$9,$N308='112'!$I$6)),"x",""))</f>
        <v/>
      </c>
      <c r="V308" s="87" t="str">
        <f>IF(ISERROR(FIND('112'!$M$9,G308,1)),"",IF((AND(FIND('112'!$M$9,G308,1)&gt;=1,B308&lt;'112'!$K$9,$O308='112'!$I$6)),"x",""))</f>
        <v/>
      </c>
      <c r="W308" s="87" t="str">
        <f>IF(AND($B308&gt;='1331'!$I$9,$B308&lt;='1331'!$J$9,OR($N308=$W$7,$O308=$W$7)),"x","")</f>
        <v/>
      </c>
      <c r="X308" s="87" t="str">
        <f>IF(AND($N308=$W$7,$B308&lt;'1331'!$I$9),"x","")</f>
        <v/>
      </c>
      <c r="Y308" s="87" t="str">
        <f>IF(AND($O308=$W$7,$B308&lt;'1331'!$I$9),"x","")</f>
        <v/>
      </c>
      <c r="Z308" s="87" t="str">
        <f>IF(AND('341-CT'!$H$9=H308,OR(LEFT(N308,3)=$Z$7,LEFT(O308,3)=$Z$7)),"x","")</f>
        <v/>
      </c>
      <c r="AA308" s="87" t="str">
        <f>IF(OR(TH!N308=TH!$AA$7,O308=TH!$AA$7),"x","")</f>
        <v/>
      </c>
      <c r="AB308" s="87" t="str">
        <f>IF(AND(OR(N308="131",O308="131"),H308='131-CT'!$H$9),"x","")</f>
        <v/>
      </c>
      <c r="AC308" s="87"/>
      <c r="AD308" s="87" t="str">
        <f>IF(AND(MONTH(E308)='IN-NX'!$J$5,'IN-NX'!$D$7=D308),"x","")</f>
        <v/>
      </c>
      <c r="AE308" s="87" t="str">
        <f>IF(AND(OR(LEFT(TH!N308,2)="15",LEFT(TH!O308,2)="15"),'152-CT'!$J$8=TH!F308),"x","")</f>
        <v/>
      </c>
      <c r="AF308" s="87" t="str">
        <f>IF(AND(OR(LEFT(TH!N308,2)="15",LEFT(TH!O308,2)="15"),'THE KHO'!$E$7=TH!F308),"x","")</f>
        <v/>
      </c>
      <c r="AG308" s="87" t="str">
        <f>IF(AND(N308="1521",MONTH(C308)='BK NL'!$M$11),"x","")</f>
        <v/>
      </c>
    </row>
    <row r="309" spans="1:33" ht="15.75" customHeight="1">
      <c r="A309" s="399" t="str">
        <f>IF(B309&lt;&gt;"",IF(AND(B309&gt;=_TM1,B309&lt;=_TM2,OR(TH!N309="1111",TH!O309="1111")),TH!D309,""),"")</f>
        <v/>
      </c>
      <c r="B309" s="63" t="str">
        <f t="shared" si="9"/>
        <v/>
      </c>
      <c r="C309" s="64"/>
      <c r="D309" s="64"/>
      <c r="E309" s="64"/>
      <c r="F309" s="67"/>
      <c r="G309" s="362"/>
      <c r="H309" s="75"/>
      <c r="I309" s="518"/>
      <c r="J309" s="518"/>
      <c r="K309" s="509"/>
      <c r="L309" s="518"/>
      <c r="M309" s="65"/>
      <c r="N309" s="66"/>
      <c r="O309" s="66"/>
      <c r="P309" s="87" t="str">
        <f>IF(AND('331-CT'!$E$7=TH!H309,OR(N309="331",O309="331")),"x","")</f>
        <v/>
      </c>
      <c r="Q309" s="87" t="str">
        <f>IF(AND(B309='111'!$L$11,OR($N309=$Q$7,$O309=$Q$7)),"x","")</f>
        <v/>
      </c>
      <c r="R309" s="87" t="str">
        <f>IF(AND($N309=$Q$7,$B309&lt;'111'!$L$11),"x","")</f>
        <v/>
      </c>
      <c r="S309" s="87" t="str">
        <f>IF(AND($O309=$Q$7,$B309&lt;'111'!$L$11),"x","")</f>
        <v/>
      </c>
      <c r="T309" s="87" t="str">
        <f>IF(ISERROR(FIND('112'!$M$9,G309,1)),"",IF((AND(FIND('112'!$M$9,G309,1)&gt;=1,B309='112'!$K$9,OR($N309='112'!$I$6,$O309='112'!$I$6))),"x",""))</f>
        <v/>
      </c>
      <c r="U309" s="87" t="str">
        <f>IF(ISERROR(FIND('112'!$M$9,G309,1)),"",IF((AND(FIND('112'!$M$9,G309,1)&gt;=1,B309&lt;'112'!$K$9,$N309='112'!$I$6)),"x",""))</f>
        <v/>
      </c>
      <c r="V309" s="87" t="str">
        <f>IF(ISERROR(FIND('112'!$M$9,G309,1)),"",IF((AND(FIND('112'!$M$9,G309,1)&gt;=1,B309&lt;'112'!$K$9,$O309='112'!$I$6)),"x",""))</f>
        <v/>
      </c>
      <c r="W309" s="87" t="str">
        <f>IF(AND($B309&gt;='1331'!$I$9,$B309&lt;='1331'!$J$9,OR($N309=$W$7,$O309=$W$7)),"x","")</f>
        <v/>
      </c>
      <c r="X309" s="87" t="str">
        <f>IF(AND($N309=$W$7,$B309&lt;'1331'!$I$9),"x","")</f>
        <v/>
      </c>
      <c r="Y309" s="87" t="str">
        <f>IF(AND($O309=$W$7,$B309&lt;'1331'!$I$9),"x","")</f>
        <v/>
      </c>
      <c r="Z309" s="87" t="str">
        <f>IF(AND('341-CT'!$H$9=H309,OR(LEFT(N309,3)=$Z$7,LEFT(O309,3)=$Z$7)),"x","")</f>
        <v/>
      </c>
      <c r="AA309" s="87" t="str">
        <f>IF(OR(TH!N309=TH!$AA$7,O309=TH!$AA$7),"x","")</f>
        <v/>
      </c>
      <c r="AB309" s="87" t="str">
        <f>IF(AND(OR(N309="131",O309="131"),H309='131-CT'!$H$9),"x","")</f>
        <v/>
      </c>
      <c r="AC309" s="87"/>
      <c r="AD309" s="87" t="str">
        <f>IF(AND(MONTH(E309)='IN-NX'!$J$5,'IN-NX'!$D$7=D309),"x","")</f>
        <v/>
      </c>
      <c r="AE309" s="87" t="str">
        <f>IF(AND(OR(LEFT(TH!N309,2)="15",LEFT(TH!O309,2)="15"),'152-CT'!$J$8=TH!F309),"x","")</f>
        <v/>
      </c>
      <c r="AF309" s="87" t="str">
        <f>IF(AND(OR(LEFT(TH!N309,2)="15",LEFT(TH!O309,2)="15"),'THE KHO'!$E$7=TH!F309),"x","")</f>
        <v/>
      </c>
      <c r="AG309" s="87" t="str">
        <f>IF(AND(N309="1521",MONTH(C309)='BK NL'!$M$11),"x","")</f>
        <v/>
      </c>
    </row>
    <row r="310" spans="1:33" ht="15.75" customHeight="1">
      <c r="A310" s="399" t="str">
        <f>IF(B310&lt;&gt;"",IF(AND(B310&gt;=_TM1,B310&lt;=_TM2,OR(TH!N310="1111",TH!O310="1111")),TH!D310,""),"")</f>
        <v/>
      </c>
      <c r="B310" s="63" t="str">
        <f t="shared" ref="B310:B373" si="10">IF(C310&lt;&gt;"",MONTH(C310),"")</f>
        <v/>
      </c>
      <c r="C310" s="64"/>
      <c r="D310" s="64"/>
      <c r="E310" s="64"/>
      <c r="F310" s="67"/>
      <c r="G310" s="362"/>
      <c r="H310" s="409"/>
      <c r="I310" s="522"/>
      <c r="J310" s="522"/>
      <c r="K310" s="513"/>
      <c r="L310" s="522"/>
      <c r="M310" s="65"/>
      <c r="N310" s="66"/>
      <c r="O310" s="66"/>
      <c r="P310" s="87" t="str">
        <f>IF(AND('331-CT'!$E$7=TH!H310,OR(N310="331",O310="331")),"x","")</f>
        <v/>
      </c>
      <c r="Q310" s="87" t="str">
        <f>IF(AND(B310='111'!$L$11,OR($N310=$Q$7,$O310=$Q$7)),"x","")</f>
        <v/>
      </c>
      <c r="R310" s="87" t="str">
        <f>IF(AND($N310=$Q$7,$B310&lt;'111'!$L$11),"x","")</f>
        <v/>
      </c>
      <c r="S310" s="87" t="str">
        <f>IF(AND($O310=$Q$7,$B310&lt;'111'!$L$11),"x","")</f>
        <v/>
      </c>
      <c r="T310" s="87" t="str">
        <f>IF(ISERROR(FIND('112'!$M$9,G310,1)),"",IF((AND(FIND('112'!$M$9,G310,1)&gt;=1,B310='112'!$K$9,OR($N310='112'!$I$6,$O310='112'!$I$6))),"x",""))</f>
        <v/>
      </c>
      <c r="U310" s="87" t="str">
        <f>IF(ISERROR(FIND('112'!$M$9,G310,1)),"",IF((AND(FIND('112'!$M$9,G310,1)&gt;=1,B310&lt;'112'!$K$9,$N310='112'!$I$6)),"x",""))</f>
        <v/>
      </c>
      <c r="V310" s="87" t="str">
        <f>IF(ISERROR(FIND('112'!$M$9,G310,1)),"",IF((AND(FIND('112'!$M$9,G310,1)&gt;=1,B310&lt;'112'!$K$9,$O310='112'!$I$6)),"x",""))</f>
        <v/>
      </c>
      <c r="W310" s="87" t="str">
        <f>IF(AND($B310&gt;='1331'!$I$9,$B310&lt;='1331'!$J$9,OR($N310=$W$7,$O310=$W$7)),"x","")</f>
        <v/>
      </c>
      <c r="X310" s="87" t="str">
        <f>IF(AND($N310=$W$7,$B310&lt;'1331'!$I$9),"x","")</f>
        <v/>
      </c>
      <c r="Y310" s="87" t="str">
        <f>IF(AND($O310=$W$7,$B310&lt;'1331'!$I$9),"x","")</f>
        <v/>
      </c>
      <c r="Z310" s="87" t="str">
        <f>IF(AND('341-CT'!$H$9=H310,OR(LEFT(N310,3)=$Z$7,LEFT(O310,3)=$Z$7)),"x","")</f>
        <v/>
      </c>
      <c r="AA310" s="87" t="str">
        <f>IF(OR(TH!N310=TH!$AA$7,O310=TH!$AA$7),"x","")</f>
        <v/>
      </c>
      <c r="AB310" s="87" t="str">
        <f>IF(AND(OR(N310="131",O310="131"),H310='131-CT'!$H$9),"x","")</f>
        <v/>
      </c>
      <c r="AC310" s="87"/>
      <c r="AD310" s="87" t="str">
        <f>IF(AND(MONTH(E310)='IN-NX'!$J$5,'IN-NX'!$D$7=D310),"x","")</f>
        <v/>
      </c>
      <c r="AE310" s="87" t="str">
        <f>IF(AND(OR(LEFT(TH!N310,2)="15",LEFT(TH!O310,2)="15"),'152-CT'!$J$8=TH!F310),"x","")</f>
        <v/>
      </c>
      <c r="AF310" s="87" t="str">
        <f>IF(AND(OR(LEFT(TH!N310,2)="15",LEFT(TH!O310,2)="15"),'THE KHO'!$E$7=TH!F310),"x","")</f>
        <v/>
      </c>
      <c r="AG310" s="87" t="str">
        <f>IF(AND(N310="1521",MONTH(C310)='BK NL'!$M$11),"x","")</f>
        <v/>
      </c>
    </row>
    <row r="311" spans="1:33" ht="15.75" customHeight="1">
      <c r="A311" s="399" t="str">
        <f>IF(B311&lt;&gt;"",IF(AND(B311&gt;=_TM1,B311&lt;=_TM2,OR(TH!N311="1111",TH!O311="1111")),TH!D311,""),"")</f>
        <v/>
      </c>
      <c r="B311" s="63" t="str">
        <f t="shared" si="10"/>
        <v/>
      </c>
      <c r="C311" s="64"/>
      <c r="D311" s="64"/>
      <c r="E311" s="64"/>
      <c r="F311" s="67"/>
      <c r="G311" s="362"/>
      <c r="H311" s="75"/>
      <c r="I311" s="518"/>
      <c r="J311" s="518"/>
      <c r="K311" s="509"/>
      <c r="L311" s="518"/>
      <c r="M311" s="65"/>
      <c r="N311" s="66"/>
      <c r="O311" s="66"/>
      <c r="P311" s="87" t="str">
        <f>IF(AND('331-CT'!$E$7=TH!H311,OR(N311="331",O311="331")),"x","")</f>
        <v/>
      </c>
      <c r="Q311" s="87" t="str">
        <f>IF(AND(B311='111'!$L$11,OR($N311=$Q$7,$O311=$Q$7)),"x","")</f>
        <v/>
      </c>
      <c r="R311" s="87" t="str">
        <f>IF(AND($N311=$Q$7,$B311&lt;'111'!$L$11),"x","")</f>
        <v/>
      </c>
      <c r="S311" s="87" t="str">
        <f>IF(AND($O311=$Q$7,$B311&lt;'111'!$L$11),"x","")</f>
        <v/>
      </c>
      <c r="T311" s="87" t="str">
        <f>IF(ISERROR(FIND('112'!$M$9,G311,1)),"",IF((AND(FIND('112'!$M$9,G311,1)&gt;=1,B311='112'!$K$9,OR($N311='112'!$I$6,$O311='112'!$I$6))),"x",""))</f>
        <v/>
      </c>
      <c r="U311" s="87" t="str">
        <f>IF(ISERROR(FIND('112'!$M$9,G311,1)),"",IF((AND(FIND('112'!$M$9,G311,1)&gt;=1,B311&lt;'112'!$K$9,$N311='112'!$I$6)),"x",""))</f>
        <v/>
      </c>
      <c r="V311" s="87" t="str">
        <f>IF(ISERROR(FIND('112'!$M$9,G311,1)),"",IF((AND(FIND('112'!$M$9,G311,1)&gt;=1,B311&lt;'112'!$K$9,$O311='112'!$I$6)),"x",""))</f>
        <v/>
      </c>
      <c r="W311" s="87" t="str">
        <f>IF(AND($B311&gt;='1331'!$I$9,$B311&lt;='1331'!$J$9,OR($N311=$W$7,$O311=$W$7)),"x","")</f>
        <v/>
      </c>
      <c r="X311" s="87" t="str">
        <f>IF(AND($N311=$W$7,$B311&lt;'1331'!$I$9),"x","")</f>
        <v/>
      </c>
      <c r="Y311" s="87" t="str">
        <f>IF(AND($O311=$W$7,$B311&lt;'1331'!$I$9),"x","")</f>
        <v/>
      </c>
      <c r="Z311" s="87" t="str">
        <f>IF(AND('341-CT'!$H$9=H311,OR(LEFT(N311,3)=$Z$7,LEFT(O311,3)=$Z$7)),"x","")</f>
        <v/>
      </c>
      <c r="AA311" s="87" t="str">
        <f>IF(OR(TH!N311=TH!$AA$7,O311=TH!$AA$7),"x","")</f>
        <v/>
      </c>
      <c r="AB311" s="87" t="str">
        <f>IF(AND(OR(N311="131",O311="131"),H311='131-CT'!$H$9),"x","")</f>
        <v/>
      </c>
      <c r="AC311" s="87"/>
      <c r="AD311" s="87" t="str">
        <f>IF(AND(MONTH(E311)='IN-NX'!$J$5,'IN-NX'!$D$7=D311),"x","")</f>
        <v/>
      </c>
      <c r="AE311" s="87" t="str">
        <f>IF(AND(OR(LEFT(TH!N311,2)="15",LEFT(TH!O311,2)="15"),'152-CT'!$J$8=TH!F311),"x","")</f>
        <v/>
      </c>
      <c r="AF311" s="87" t="str">
        <f>IF(AND(OR(LEFT(TH!N311,2)="15",LEFT(TH!O311,2)="15"),'THE KHO'!$E$7=TH!F311),"x","")</f>
        <v/>
      </c>
      <c r="AG311" s="87" t="str">
        <f>IF(AND(N311="1521",MONTH(C311)='BK NL'!$M$11),"x","")</f>
        <v/>
      </c>
    </row>
    <row r="312" spans="1:33" s="410" customFormat="1" ht="15.75" customHeight="1">
      <c r="A312" s="399" t="str">
        <f>IF(B312&lt;&gt;"",IF(AND(B312&gt;=_TM1,B312&lt;=_TM2,OR(TH!N312="1111",TH!O312="1111")),TH!D312,""),"")</f>
        <v/>
      </c>
      <c r="B312" s="63" t="str">
        <f t="shared" si="10"/>
        <v/>
      </c>
      <c r="C312" s="64"/>
      <c r="D312" s="64"/>
      <c r="E312" s="64"/>
      <c r="F312" s="67"/>
      <c r="G312" s="362"/>
      <c r="H312" s="75"/>
      <c r="I312" s="518"/>
      <c r="J312" s="518"/>
      <c r="K312" s="509"/>
      <c r="L312" s="518"/>
      <c r="M312" s="65"/>
      <c r="N312" s="66"/>
      <c r="O312" s="66"/>
      <c r="P312" s="87" t="str">
        <f>IF(AND('331-CT'!$E$7=TH!H312,OR(N312="331",O312="331")),"x","")</f>
        <v/>
      </c>
      <c r="Q312" s="87" t="str">
        <f>IF(AND(B312='111'!$L$11,OR($N312=$Q$7,$O312=$Q$7)),"x","")</f>
        <v/>
      </c>
      <c r="R312" s="87" t="str">
        <f>IF(AND($N312=$Q$7,$B312&lt;'111'!$L$11),"x","")</f>
        <v/>
      </c>
      <c r="S312" s="87" t="str">
        <f>IF(AND($O312=$Q$7,$B312&lt;'111'!$L$11),"x","")</f>
        <v/>
      </c>
      <c r="T312" s="87" t="str">
        <f>IF(ISERROR(FIND('112'!$M$9,G312,1)),"",IF((AND(FIND('112'!$M$9,G312,1)&gt;=1,B312='112'!$K$9,OR($N312='112'!$I$6,$O312='112'!$I$6))),"x",""))</f>
        <v/>
      </c>
      <c r="U312" s="87" t="str">
        <f>IF(ISERROR(FIND('112'!$M$9,G312,1)),"",IF((AND(FIND('112'!$M$9,G312,1)&gt;=1,B312&lt;'112'!$K$9,$N312='112'!$I$6)),"x",""))</f>
        <v/>
      </c>
      <c r="V312" s="87" t="str">
        <f>IF(ISERROR(FIND('112'!$M$9,G312,1)),"",IF((AND(FIND('112'!$M$9,G312,1)&gt;=1,B312&lt;'112'!$K$9,$O312='112'!$I$6)),"x",""))</f>
        <v/>
      </c>
      <c r="W312" s="87" t="str">
        <f>IF(AND($B312&gt;='1331'!$I$9,$B312&lt;='1331'!$J$9,OR($N312=$W$7,$O312=$W$7)),"x","")</f>
        <v/>
      </c>
      <c r="X312" s="87" t="str">
        <f>IF(AND($N312=$W$7,$B312&lt;'1331'!$I$9),"x","")</f>
        <v/>
      </c>
      <c r="Y312" s="87" t="str">
        <f>IF(AND($O312=$W$7,$B312&lt;'1331'!$I$9),"x","")</f>
        <v/>
      </c>
      <c r="Z312" s="87" t="str">
        <f>IF(AND('341-CT'!$H$9=H312,OR(LEFT(N312,3)=$Z$7,LEFT(O312,3)=$Z$7)),"x","")</f>
        <v/>
      </c>
      <c r="AA312" s="87" t="str">
        <f>IF(OR(TH!N312=TH!$AA$7,O312=TH!$AA$7),"x","")</f>
        <v/>
      </c>
      <c r="AB312" s="87" t="str">
        <f>IF(AND(OR(N312="131",O312="131"),H312='131-CT'!$H$9),"x","")</f>
        <v/>
      </c>
      <c r="AC312" s="87"/>
      <c r="AD312" s="87" t="str">
        <f>IF(AND(MONTH(E312)='IN-NX'!$J$5,'IN-NX'!$D$7=D312),"x","")</f>
        <v/>
      </c>
      <c r="AE312" s="87" t="str">
        <f>IF(AND(OR(LEFT(TH!N312,2)="15",LEFT(TH!O312,2)="15"),'152-CT'!$J$8=TH!F312),"x","")</f>
        <v/>
      </c>
      <c r="AF312" s="87" t="str">
        <f>IF(AND(OR(LEFT(TH!N312,2)="15",LEFT(TH!O312,2)="15"),'THE KHO'!$E$7=TH!F312),"x","")</f>
        <v/>
      </c>
      <c r="AG312" s="87" t="str">
        <f>IF(AND(N312="1521",MONTH(C312)='BK NL'!$M$11),"x","")</f>
        <v/>
      </c>
    </row>
    <row r="313" spans="1:33" ht="15.75" customHeight="1">
      <c r="A313" s="399" t="str">
        <f>IF(B313&lt;&gt;"",IF(AND(B313&gt;=_TM1,B313&lt;=_TM2,OR(TH!N313="1111",TH!O313="1111")),TH!D313,""),"")</f>
        <v/>
      </c>
      <c r="B313" s="63" t="str">
        <f t="shared" si="10"/>
        <v/>
      </c>
      <c r="C313" s="64"/>
      <c r="D313" s="64"/>
      <c r="E313" s="64"/>
      <c r="F313" s="67"/>
      <c r="G313" s="376"/>
      <c r="H313" s="75"/>
      <c r="I313" s="518"/>
      <c r="J313" s="518"/>
      <c r="K313" s="509"/>
      <c r="L313" s="518"/>
      <c r="M313" s="65"/>
      <c r="N313" s="66"/>
      <c r="O313" s="66"/>
      <c r="P313" s="87" t="str">
        <f>IF(AND('331-CT'!$E$7=TH!H313,OR(N313="331",O313="331")),"x","")</f>
        <v/>
      </c>
      <c r="Q313" s="87" t="str">
        <f>IF(AND(B313='111'!$L$11,OR($N313=$Q$7,$O313=$Q$7)),"x","")</f>
        <v/>
      </c>
      <c r="R313" s="87" t="str">
        <f>IF(AND($N313=$Q$7,$B313&lt;'111'!$L$11),"x","")</f>
        <v/>
      </c>
      <c r="S313" s="87" t="str">
        <f>IF(AND($O313=$Q$7,$B313&lt;'111'!$L$11),"x","")</f>
        <v/>
      </c>
      <c r="T313" s="87" t="str">
        <f>IF(ISERROR(FIND('112'!$M$9,G313,1)),"",IF((AND(FIND('112'!$M$9,G313,1)&gt;=1,B313='112'!$K$9,OR($N313='112'!$I$6,$O313='112'!$I$6))),"x",""))</f>
        <v/>
      </c>
      <c r="U313" s="87" t="str">
        <f>IF(ISERROR(FIND('112'!$M$9,G313,1)),"",IF((AND(FIND('112'!$M$9,G313,1)&gt;=1,B313&lt;'112'!$K$9,$N313='112'!$I$6)),"x",""))</f>
        <v/>
      </c>
      <c r="V313" s="87" t="str">
        <f>IF(ISERROR(FIND('112'!$M$9,G313,1)),"",IF((AND(FIND('112'!$M$9,G313,1)&gt;=1,B313&lt;'112'!$K$9,$O313='112'!$I$6)),"x",""))</f>
        <v/>
      </c>
      <c r="W313" s="87" t="str">
        <f>IF(AND($B313&gt;='1331'!$I$9,$B313&lt;='1331'!$J$9,OR($N313=$W$7,$O313=$W$7)),"x","")</f>
        <v/>
      </c>
      <c r="X313" s="87" t="str">
        <f>IF(AND($N313=$W$7,$B313&lt;'1331'!$I$9),"x","")</f>
        <v/>
      </c>
      <c r="Y313" s="87" t="str">
        <f>IF(AND($O313=$W$7,$B313&lt;'1331'!$I$9),"x","")</f>
        <v/>
      </c>
      <c r="Z313" s="87" t="str">
        <f>IF(AND('341-CT'!$H$9=H313,OR(LEFT(N313,3)=$Z$7,LEFT(O313,3)=$Z$7)),"x","")</f>
        <v/>
      </c>
      <c r="AA313" s="87" t="str">
        <f>IF(OR(TH!N313=TH!$AA$7,O313=TH!$AA$7),"x","")</f>
        <v/>
      </c>
      <c r="AB313" s="87" t="str">
        <f>IF(AND(OR(N313="131",O313="131"),H313='131-CT'!$H$9),"x","")</f>
        <v/>
      </c>
      <c r="AC313" s="87"/>
      <c r="AD313" s="87" t="str">
        <f>IF(AND(MONTH(E313)='IN-NX'!$J$5,'IN-NX'!$D$7=D313),"x","")</f>
        <v/>
      </c>
      <c r="AE313" s="87" t="str">
        <f>IF(AND(OR(LEFT(TH!N313,2)="15",LEFT(TH!O313,2)="15"),'152-CT'!$J$8=TH!F313),"x","")</f>
        <v/>
      </c>
      <c r="AF313" s="87" t="str">
        <f>IF(AND(OR(LEFT(TH!N313,2)="15",LEFT(TH!O313,2)="15"),'THE KHO'!$E$7=TH!F313),"x","")</f>
        <v/>
      </c>
      <c r="AG313" s="87" t="str">
        <f>IF(AND(N313="1521",MONTH(C313)='BK NL'!$M$11),"x","")</f>
        <v/>
      </c>
    </row>
    <row r="314" spans="1:33" ht="15.75" customHeight="1">
      <c r="A314" s="399" t="str">
        <f>IF(B314&lt;&gt;"",IF(AND(B314&gt;=_TM1,B314&lt;=_TM2,OR(TH!N314="1111",TH!O314="1111")),TH!D314,""),"")</f>
        <v/>
      </c>
      <c r="B314" s="63" t="str">
        <f t="shared" si="10"/>
        <v/>
      </c>
      <c r="C314" s="64"/>
      <c r="D314" s="64"/>
      <c r="E314" s="64"/>
      <c r="F314" s="67"/>
      <c r="G314" s="376"/>
      <c r="H314" s="75"/>
      <c r="I314" s="518"/>
      <c r="J314" s="518"/>
      <c r="K314" s="509"/>
      <c r="L314" s="518"/>
      <c r="M314" s="65"/>
      <c r="N314" s="66"/>
      <c r="O314" s="66"/>
      <c r="P314" s="87" t="str">
        <f>IF(AND('331-CT'!$E$7=TH!H314,OR(N314="331",O314="331")),"x","")</f>
        <v/>
      </c>
      <c r="Q314" s="87" t="str">
        <f>IF(AND(B314='111'!$L$11,OR($N314=$Q$7,$O314=$Q$7)),"x","")</f>
        <v/>
      </c>
      <c r="R314" s="87" t="str">
        <f>IF(AND($N314=$Q$7,$B314&lt;'111'!$L$11),"x","")</f>
        <v/>
      </c>
      <c r="S314" s="87" t="str">
        <f>IF(AND($O314=$Q$7,$B314&lt;'111'!$L$11),"x","")</f>
        <v/>
      </c>
      <c r="T314" s="87" t="str">
        <f>IF(ISERROR(FIND('112'!$M$9,G314,1)),"",IF((AND(FIND('112'!$M$9,G314,1)&gt;=1,B314='112'!$K$9,OR($N314='112'!$I$6,$O314='112'!$I$6))),"x",""))</f>
        <v/>
      </c>
      <c r="U314" s="87" t="str">
        <f>IF(ISERROR(FIND('112'!$M$9,G314,1)),"",IF((AND(FIND('112'!$M$9,G314,1)&gt;=1,B314&lt;'112'!$K$9,$N314='112'!$I$6)),"x",""))</f>
        <v/>
      </c>
      <c r="V314" s="87" t="str">
        <f>IF(ISERROR(FIND('112'!$M$9,G314,1)),"",IF((AND(FIND('112'!$M$9,G314,1)&gt;=1,B314&lt;'112'!$K$9,$O314='112'!$I$6)),"x",""))</f>
        <v/>
      </c>
      <c r="W314" s="87" t="str">
        <f>IF(AND($B314&gt;='1331'!$I$9,$B314&lt;='1331'!$J$9,OR($N314=$W$7,$O314=$W$7)),"x","")</f>
        <v/>
      </c>
      <c r="X314" s="87" t="str">
        <f>IF(AND($N314=$W$7,$B314&lt;'1331'!$I$9),"x","")</f>
        <v/>
      </c>
      <c r="Y314" s="87" t="str">
        <f>IF(AND($O314=$W$7,$B314&lt;'1331'!$I$9),"x","")</f>
        <v/>
      </c>
      <c r="Z314" s="87" t="str">
        <f>IF(AND('341-CT'!$H$9=H314,OR(LEFT(N314,3)=$Z$7,LEFT(O314,3)=$Z$7)),"x","")</f>
        <v/>
      </c>
      <c r="AA314" s="87" t="str">
        <f>IF(OR(TH!N314=TH!$AA$7,O314=TH!$AA$7),"x","")</f>
        <v/>
      </c>
      <c r="AB314" s="87" t="str">
        <f>IF(AND(OR(N314="131",O314="131"),H314='131-CT'!$H$9),"x","")</f>
        <v/>
      </c>
      <c r="AC314" s="87"/>
      <c r="AD314" s="87" t="str">
        <f>IF(AND(MONTH(E314)='IN-NX'!$J$5,'IN-NX'!$D$7=D314),"x","")</f>
        <v/>
      </c>
      <c r="AE314" s="87" t="str">
        <f>IF(AND(OR(LEFT(TH!N314,2)="15",LEFT(TH!O314,2)="15"),'152-CT'!$J$8=TH!F314),"x","")</f>
        <v/>
      </c>
      <c r="AF314" s="87" t="str">
        <f>IF(AND(OR(LEFT(TH!N314,2)="15",LEFT(TH!O314,2)="15"),'THE KHO'!$E$7=TH!F314),"x","")</f>
        <v/>
      </c>
      <c r="AG314" s="87" t="str">
        <f>IF(AND(N314="1521",MONTH(C314)='BK NL'!$M$11),"x","")</f>
        <v/>
      </c>
    </row>
    <row r="315" spans="1:33" ht="15.75" customHeight="1">
      <c r="A315" s="399" t="str">
        <f>IF(B315&lt;&gt;"",IF(AND(B315&gt;=_TM1,B315&lt;=_TM2,OR(TH!N315="1111",TH!O315="1111")),TH!D315,""),"")</f>
        <v/>
      </c>
      <c r="B315" s="63" t="str">
        <f t="shared" si="10"/>
        <v/>
      </c>
      <c r="C315" s="64"/>
      <c r="D315" s="64"/>
      <c r="E315" s="64"/>
      <c r="F315" s="67"/>
      <c r="G315" s="376"/>
      <c r="H315" s="75"/>
      <c r="I315" s="518"/>
      <c r="J315" s="518"/>
      <c r="K315" s="509"/>
      <c r="L315" s="518"/>
      <c r="M315" s="65"/>
      <c r="N315" s="66"/>
      <c r="O315" s="66"/>
      <c r="P315" s="87" t="str">
        <f>IF(AND('331-CT'!$E$7=TH!H315,OR(N315="331",O315="331")),"x","")</f>
        <v/>
      </c>
      <c r="Q315" s="87" t="str">
        <f>IF(AND(B315='111'!$L$11,OR($N315=$Q$7,$O315=$Q$7)),"x","")</f>
        <v/>
      </c>
      <c r="R315" s="87" t="str">
        <f>IF(AND($N315=$Q$7,$B315&lt;'111'!$L$11),"x","")</f>
        <v/>
      </c>
      <c r="S315" s="87" t="str">
        <f>IF(AND($O315=$Q$7,$B315&lt;'111'!$L$11),"x","")</f>
        <v/>
      </c>
      <c r="T315" s="87" t="str">
        <f>IF(ISERROR(FIND('112'!$M$9,G315,1)),"",IF((AND(FIND('112'!$M$9,G315,1)&gt;=1,B315='112'!$K$9,OR($N315='112'!$I$6,$O315='112'!$I$6))),"x",""))</f>
        <v/>
      </c>
      <c r="U315" s="87" t="str">
        <f>IF(ISERROR(FIND('112'!$M$9,G315,1)),"",IF((AND(FIND('112'!$M$9,G315,1)&gt;=1,B315&lt;'112'!$K$9,$N315='112'!$I$6)),"x",""))</f>
        <v/>
      </c>
      <c r="V315" s="87" t="str">
        <f>IF(ISERROR(FIND('112'!$M$9,G315,1)),"",IF((AND(FIND('112'!$M$9,G315,1)&gt;=1,B315&lt;'112'!$K$9,$O315='112'!$I$6)),"x",""))</f>
        <v/>
      </c>
      <c r="W315" s="87" t="str">
        <f>IF(AND($B315&gt;='1331'!$I$9,$B315&lt;='1331'!$J$9,OR($N315=$W$7,$O315=$W$7)),"x","")</f>
        <v/>
      </c>
      <c r="X315" s="87" t="str">
        <f>IF(AND($N315=$W$7,$B315&lt;'1331'!$I$9),"x","")</f>
        <v/>
      </c>
      <c r="Y315" s="87" t="str">
        <f>IF(AND($O315=$W$7,$B315&lt;'1331'!$I$9),"x","")</f>
        <v/>
      </c>
      <c r="Z315" s="87" t="str">
        <f>IF(AND('341-CT'!$H$9=H315,OR(LEFT(N315,3)=$Z$7,LEFT(O315,3)=$Z$7)),"x","")</f>
        <v/>
      </c>
      <c r="AA315" s="87" t="str">
        <f>IF(OR(TH!N315=TH!$AA$7,O315=TH!$AA$7),"x","")</f>
        <v/>
      </c>
      <c r="AB315" s="87" t="str">
        <f>IF(AND(OR(N315="131",O315="131"),H315='131-CT'!$H$9),"x","")</f>
        <v/>
      </c>
      <c r="AC315" s="87"/>
      <c r="AD315" s="87" t="str">
        <f>IF(AND(MONTH(E315)='IN-NX'!$J$5,'IN-NX'!$D$7=D315),"x","")</f>
        <v/>
      </c>
      <c r="AE315" s="87" t="str">
        <f>IF(AND(OR(LEFT(TH!N315,2)="15",LEFT(TH!O315,2)="15"),'152-CT'!$J$8=TH!F315),"x","")</f>
        <v/>
      </c>
      <c r="AF315" s="87" t="str">
        <f>IF(AND(OR(LEFT(TH!N315,2)="15",LEFT(TH!O315,2)="15"),'THE KHO'!$E$7=TH!F315),"x","")</f>
        <v/>
      </c>
      <c r="AG315" s="87" t="str">
        <f>IF(AND(N315="1521",MONTH(C315)='BK NL'!$M$11),"x","")</f>
        <v/>
      </c>
    </row>
    <row r="316" spans="1:33" ht="15.75" customHeight="1">
      <c r="A316" s="399" t="str">
        <f>IF(B316&lt;&gt;"",IF(AND(B316&gt;=_TM1,B316&lt;=_TM2,OR(TH!N316="1111",TH!O316="1111")),TH!D316,""),"")</f>
        <v/>
      </c>
      <c r="B316" s="63" t="str">
        <f t="shared" si="10"/>
        <v/>
      </c>
      <c r="C316" s="64"/>
      <c r="D316" s="64"/>
      <c r="E316" s="64"/>
      <c r="F316" s="67"/>
      <c r="G316" s="376"/>
      <c r="H316" s="75"/>
      <c r="I316" s="518"/>
      <c r="J316" s="518"/>
      <c r="K316" s="509"/>
      <c r="L316" s="518"/>
      <c r="M316" s="65"/>
      <c r="N316" s="66"/>
      <c r="O316" s="66"/>
      <c r="P316" s="87" t="str">
        <f>IF(AND('331-CT'!$E$7=TH!H316,OR(N316="331",O316="331")),"x","")</f>
        <v/>
      </c>
      <c r="Q316" s="87" t="str">
        <f>IF(AND(B316='111'!$L$11,OR($N316=$Q$7,$O316=$Q$7)),"x","")</f>
        <v/>
      </c>
      <c r="R316" s="87" t="str">
        <f>IF(AND($N316=$Q$7,$B316&lt;'111'!$L$11),"x","")</f>
        <v/>
      </c>
      <c r="S316" s="87" t="str">
        <f>IF(AND($O316=$Q$7,$B316&lt;'111'!$L$11),"x","")</f>
        <v/>
      </c>
      <c r="T316" s="87" t="str">
        <f>IF(ISERROR(FIND('112'!$M$9,G316,1)),"",IF((AND(FIND('112'!$M$9,G316,1)&gt;=1,B316='112'!$K$9,OR($N316='112'!$I$6,$O316='112'!$I$6))),"x",""))</f>
        <v/>
      </c>
      <c r="U316" s="87" t="str">
        <f>IF(ISERROR(FIND('112'!$M$9,G316,1)),"",IF((AND(FIND('112'!$M$9,G316,1)&gt;=1,B316&lt;'112'!$K$9,$N316='112'!$I$6)),"x",""))</f>
        <v/>
      </c>
      <c r="V316" s="87" t="str">
        <f>IF(ISERROR(FIND('112'!$M$9,G316,1)),"",IF((AND(FIND('112'!$M$9,G316,1)&gt;=1,B316&lt;'112'!$K$9,$O316='112'!$I$6)),"x",""))</f>
        <v/>
      </c>
      <c r="W316" s="87" t="str">
        <f>IF(AND($B316&gt;='1331'!$I$9,$B316&lt;='1331'!$J$9,OR($N316=$W$7,$O316=$W$7)),"x","")</f>
        <v/>
      </c>
      <c r="X316" s="87" t="str">
        <f>IF(AND($N316=$W$7,$B316&lt;'1331'!$I$9),"x","")</f>
        <v/>
      </c>
      <c r="Y316" s="87" t="str">
        <f>IF(AND($O316=$W$7,$B316&lt;'1331'!$I$9),"x","")</f>
        <v/>
      </c>
      <c r="Z316" s="87" t="str">
        <f>IF(AND('341-CT'!$H$9=H316,OR(LEFT(N316,3)=$Z$7,LEFT(O316,3)=$Z$7)),"x","")</f>
        <v/>
      </c>
      <c r="AA316" s="87" t="str">
        <f>IF(OR(TH!N316=TH!$AA$7,O316=TH!$AA$7),"x","")</f>
        <v/>
      </c>
      <c r="AB316" s="87" t="str">
        <f>IF(AND(OR(N316="131",O316="131"),H316='131-CT'!$H$9),"x","")</f>
        <v/>
      </c>
      <c r="AC316" s="87"/>
      <c r="AD316" s="87" t="str">
        <f>IF(AND(MONTH(E316)='IN-NX'!$J$5,'IN-NX'!$D$7=D316),"x","")</f>
        <v/>
      </c>
      <c r="AE316" s="87" t="str">
        <f>IF(AND(OR(LEFT(TH!N316,2)="15",LEFT(TH!O316,2)="15"),'152-CT'!$J$8=TH!F316),"x","")</f>
        <v/>
      </c>
      <c r="AF316" s="87" t="str">
        <f>IF(AND(OR(LEFT(TH!N316,2)="15",LEFT(TH!O316,2)="15"),'THE KHO'!$E$7=TH!F316),"x","")</f>
        <v/>
      </c>
      <c r="AG316" s="87" t="str">
        <f>IF(AND(N316="1521",MONTH(C316)='BK NL'!$M$11),"x","")</f>
        <v/>
      </c>
    </row>
    <row r="317" spans="1:33" ht="15.75" customHeight="1">
      <c r="A317" s="399" t="str">
        <f>IF(B317&lt;&gt;"",IF(AND(B317&gt;=_TM1,B317&lt;=_TM2,OR(TH!N317="1111",TH!O317="1111")),TH!D317,""),"")</f>
        <v/>
      </c>
      <c r="B317" s="63" t="str">
        <f t="shared" si="10"/>
        <v/>
      </c>
      <c r="C317" s="64"/>
      <c r="D317" s="64"/>
      <c r="E317" s="64"/>
      <c r="F317" s="67"/>
      <c r="G317" s="376"/>
      <c r="H317" s="75"/>
      <c r="I317" s="518"/>
      <c r="J317" s="518"/>
      <c r="K317" s="509"/>
      <c r="L317" s="518"/>
      <c r="M317" s="65"/>
      <c r="N317" s="66"/>
      <c r="O317" s="66"/>
      <c r="P317" s="87" t="str">
        <f>IF(AND('331-CT'!$E$7=TH!H317,OR(N317="331",O317="331")),"x","")</f>
        <v/>
      </c>
      <c r="Q317" s="87" t="str">
        <f>IF(AND(B317='111'!$L$11,OR($N317=$Q$7,$O317=$Q$7)),"x","")</f>
        <v/>
      </c>
      <c r="R317" s="87" t="str">
        <f>IF(AND($N317=$Q$7,$B317&lt;'111'!$L$11),"x","")</f>
        <v/>
      </c>
      <c r="S317" s="87" t="str">
        <f>IF(AND($O317=$Q$7,$B317&lt;'111'!$L$11),"x","")</f>
        <v/>
      </c>
      <c r="T317" s="87" t="str">
        <f>IF(ISERROR(FIND('112'!$M$9,G317,1)),"",IF((AND(FIND('112'!$M$9,G317,1)&gt;=1,B317='112'!$K$9,OR($N317='112'!$I$6,$O317='112'!$I$6))),"x",""))</f>
        <v/>
      </c>
      <c r="U317" s="87" t="str">
        <f>IF(ISERROR(FIND('112'!$M$9,G317,1)),"",IF((AND(FIND('112'!$M$9,G317,1)&gt;=1,B317&lt;'112'!$K$9,$N317='112'!$I$6)),"x",""))</f>
        <v/>
      </c>
      <c r="V317" s="87" t="str">
        <f>IF(ISERROR(FIND('112'!$M$9,G317,1)),"",IF((AND(FIND('112'!$M$9,G317,1)&gt;=1,B317&lt;'112'!$K$9,$O317='112'!$I$6)),"x",""))</f>
        <v/>
      </c>
      <c r="W317" s="87" t="str">
        <f>IF(AND($B317&gt;='1331'!$I$9,$B317&lt;='1331'!$J$9,OR($N317=$W$7,$O317=$W$7)),"x","")</f>
        <v/>
      </c>
      <c r="X317" s="87" t="str">
        <f>IF(AND($N317=$W$7,$B317&lt;'1331'!$I$9),"x","")</f>
        <v/>
      </c>
      <c r="Y317" s="87" t="str">
        <f>IF(AND($O317=$W$7,$B317&lt;'1331'!$I$9),"x","")</f>
        <v/>
      </c>
      <c r="Z317" s="87" t="str">
        <f>IF(AND('341-CT'!$H$9=H317,OR(LEFT(N317,3)=$Z$7,LEFT(O317,3)=$Z$7)),"x","")</f>
        <v/>
      </c>
      <c r="AA317" s="87" t="str">
        <f>IF(OR(TH!N317=TH!$AA$7,O317=TH!$AA$7),"x","")</f>
        <v/>
      </c>
      <c r="AB317" s="87" t="str">
        <f>IF(AND(OR(N317="131",O317="131"),H317='131-CT'!$H$9),"x","")</f>
        <v/>
      </c>
      <c r="AC317" s="87"/>
      <c r="AD317" s="87" t="str">
        <f>IF(AND(MONTH(E317)='IN-NX'!$J$5,'IN-NX'!$D$7=D317),"x","")</f>
        <v/>
      </c>
      <c r="AE317" s="87" t="str">
        <f>IF(AND(OR(LEFT(TH!N317,2)="15",LEFT(TH!O317,2)="15"),'152-CT'!$J$8=TH!F317),"x","")</f>
        <v/>
      </c>
      <c r="AF317" s="87" t="str">
        <f>IF(AND(OR(LEFT(TH!N317,2)="15",LEFT(TH!O317,2)="15"),'THE KHO'!$E$7=TH!F317),"x","")</f>
        <v/>
      </c>
      <c r="AG317" s="87" t="str">
        <f>IF(AND(N317="1521",MONTH(C317)='BK NL'!$M$11),"x","")</f>
        <v/>
      </c>
    </row>
    <row r="318" spans="1:33" ht="15.75" customHeight="1">
      <c r="A318" s="399" t="str">
        <f>IF(B318&lt;&gt;"",IF(AND(B318&gt;=_TM1,B318&lt;=_TM2,OR(TH!N318="1111",TH!O318="1111")),TH!D318,""),"")</f>
        <v/>
      </c>
      <c r="B318" s="63" t="str">
        <f t="shared" si="10"/>
        <v/>
      </c>
      <c r="C318" s="64"/>
      <c r="D318" s="64"/>
      <c r="E318" s="64"/>
      <c r="F318" s="67"/>
      <c r="G318" s="376"/>
      <c r="H318" s="75"/>
      <c r="I318" s="518"/>
      <c r="J318" s="518"/>
      <c r="K318" s="509"/>
      <c r="L318" s="518"/>
      <c r="M318" s="65"/>
      <c r="N318" s="66"/>
      <c r="O318" s="66"/>
      <c r="P318" s="87" t="str">
        <f>IF(AND('331-CT'!$E$7=TH!H318,OR(N318="331",O318="331")),"x","")</f>
        <v/>
      </c>
      <c r="Q318" s="87" t="str">
        <f>IF(AND(B318='111'!$L$11,OR($N318=$Q$7,$O318=$Q$7)),"x","")</f>
        <v/>
      </c>
      <c r="R318" s="87" t="str">
        <f>IF(AND($N318=$Q$7,$B318&lt;'111'!$L$11),"x","")</f>
        <v/>
      </c>
      <c r="S318" s="87" t="str">
        <f>IF(AND($O318=$Q$7,$B318&lt;'111'!$L$11),"x","")</f>
        <v/>
      </c>
      <c r="T318" s="87" t="str">
        <f>IF(ISERROR(FIND('112'!$M$9,G318,1)),"",IF((AND(FIND('112'!$M$9,G318,1)&gt;=1,B318='112'!$K$9,OR($N318='112'!$I$6,$O318='112'!$I$6))),"x",""))</f>
        <v/>
      </c>
      <c r="U318" s="87" t="str">
        <f>IF(ISERROR(FIND('112'!$M$9,G318,1)),"",IF((AND(FIND('112'!$M$9,G318,1)&gt;=1,B318&lt;'112'!$K$9,$N318='112'!$I$6)),"x",""))</f>
        <v/>
      </c>
      <c r="V318" s="87" t="str">
        <f>IF(ISERROR(FIND('112'!$M$9,G318,1)),"",IF((AND(FIND('112'!$M$9,G318,1)&gt;=1,B318&lt;'112'!$K$9,$O318='112'!$I$6)),"x",""))</f>
        <v/>
      </c>
      <c r="W318" s="87" t="str">
        <f>IF(AND($B318&gt;='1331'!$I$9,$B318&lt;='1331'!$J$9,OR($N318=$W$7,$O318=$W$7)),"x","")</f>
        <v/>
      </c>
      <c r="X318" s="87" t="str">
        <f>IF(AND($N318=$W$7,$B318&lt;'1331'!$I$9),"x","")</f>
        <v/>
      </c>
      <c r="Y318" s="87" t="str">
        <f>IF(AND($O318=$W$7,$B318&lt;'1331'!$I$9),"x","")</f>
        <v/>
      </c>
      <c r="Z318" s="87" t="str">
        <f>IF(AND('341-CT'!$H$9=H318,OR(LEFT(N318,3)=$Z$7,LEFT(O318,3)=$Z$7)),"x","")</f>
        <v/>
      </c>
      <c r="AA318" s="87" t="str">
        <f>IF(OR(TH!N318=TH!$AA$7,O318=TH!$AA$7),"x","")</f>
        <v/>
      </c>
      <c r="AB318" s="87" t="str">
        <f>IF(AND(OR(N318="131",O318="131"),H318='131-CT'!$H$9),"x","")</f>
        <v/>
      </c>
      <c r="AC318" s="87"/>
      <c r="AD318" s="87" t="str">
        <f>IF(AND(MONTH(E318)='IN-NX'!$J$5,'IN-NX'!$D$7=D318),"x","")</f>
        <v/>
      </c>
      <c r="AE318" s="87" t="str">
        <f>IF(AND(OR(LEFT(TH!N318,2)="15",LEFT(TH!O318,2)="15"),'152-CT'!$J$8=TH!F318),"x","")</f>
        <v/>
      </c>
      <c r="AF318" s="87" t="str">
        <f>IF(AND(OR(LEFT(TH!N318,2)="15",LEFT(TH!O318,2)="15"),'THE KHO'!$E$7=TH!F318),"x","")</f>
        <v/>
      </c>
      <c r="AG318" s="87" t="str">
        <f>IF(AND(N318="1521",MONTH(C318)='BK NL'!$M$11),"x","")</f>
        <v/>
      </c>
    </row>
    <row r="319" spans="1:33" ht="15.75" customHeight="1">
      <c r="A319" s="399" t="str">
        <f>IF(B319&lt;&gt;"",IF(AND(B319&gt;=_TM1,B319&lt;=_TM2,OR(TH!N319="1111",TH!O319="1111")),TH!D319,""),"")</f>
        <v/>
      </c>
      <c r="B319" s="63" t="str">
        <f t="shared" si="10"/>
        <v/>
      </c>
      <c r="C319" s="64"/>
      <c r="D319" s="64"/>
      <c r="E319" s="64"/>
      <c r="F319" s="67"/>
      <c r="G319" s="376"/>
      <c r="H319" s="75"/>
      <c r="I319" s="518"/>
      <c r="J319" s="518"/>
      <c r="K319" s="509"/>
      <c r="L319" s="518"/>
      <c r="M319" s="65"/>
      <c r="N319" s="66"/>
      <c r="O319" s="66"/>
      <c r="P319" s="87" t="str">
        <f>IF(AND('331-CT'!$E$7=TH!H319,OR(N319="331",O319="331")),"x","")</f>
        <v/>
      </c>
      <c r="Q319" s="87" t="str">
        <f>IF(AND(B319='111'!$L$11,OR($N319=$Q$7,$O319=$Q$7)),"x","")</f>
        <v/>
      </c>
      <c r="R319" s="87" t="str">
        <f>IF(AND($N319=$Q$7,$B319&lt;'111'!$L$11),"x","")</f>
        <v/>
      </c>
      <c r="S319" s="87" t="str">
        <f>IF(AND($O319=$Q$7,$B319&lt;'111'!$L$11),"x","")</f>
        <v/>
      </c>
      <c r="T319" s="87" t="str">
        <f>IF(ISERROR(FIND('112'!$M$9,G319,1)),"",IF((AND(FIND('112'!$M$9,G319,1)&gt;=1,B319='112'!$K$9,OR($N319='112'!$I$6,$O319='112'!$I$6))),"x",""))</f>
        <v/>
      </c>
      <c r="U319" s="87" t="str">
        <f>IF(ISERROR(FIND('112'!$M$9,G319,1)),"",IF((AND(FIND('112'!$M$9,G319,1)&gt;=1,B319&lt;'112'!$K$9,$N319='112'!$I$6)),"x",""))</f>
        <v/>
      </c>
      <c r="V319" s="87" t="str">
        <f>IF(ISERROR(FIND('112'!$M$9,G319,1)),"",IF((AND(FIND('112'!$M$9,G319,1)&gt;=1,B319&lt;'112'!$K$9,$O319='112'!$I$6)),"x",""))</f>
        <v/>
      </c>
      <c r="W319" s="87" t="str">
        <f>IF(AND($B319&gt;='1331'!$I$9,$B319&lt;='1331'!$J$9,OR($N319=$W$7,$O319=$W$7)),"x","")</f>
        <v/>
      </c>
      <c r="X319" s="87" t="str">
        <f>IF(AND($N319=$W$7,$B319&lt;'1331'!$I$9),"x","")</f>
        <v/>
      </c>
      <c r="Y319" s="87" t="str">
        <f>IF(AND($O319=$W$7,$B319&lt;'1331'!$I$9),"x","")</f>
        <v/>
      </c>
      <c r="Z319" s="87" t="str">
        <f>IF(AND('341-CT'!$H$9=H319,OR(LEFT(N319,3)=$Z$7,LEFT(O319,3)=$Z$7)),"x","")</f>
        <v/>
      </c>
      <c r="AA319" s="87" t="str">
        <f>IF(OR(TH!N319=TH!$AA$7,O319=TH!$AA$7),"x","")</f>
        <v/>
      </c>
      <c r="AB319" s="87" t="str">
        <f>IF(AND(OR(N319="131",O319="131"),H319='131-CT'!$H$9),"x","")</f>
        <v/>
      </c>
      <c r="AC319" s="87"/>
      <c r="AD319" s="87" t="str">
        <f>IF(AND(MONTH(E319)='IN-NX'!$J$5,'IN-NX'!$D$7=D319),"x","")</f>
        <v/>
      </c>
      <c r="AE319" s="87" t="str">
        <f>IF(AND(OR(LEFT(TH!N319,2)="15",LEFT(TH!O319,2)="15"),'152-CT'!$J$8=TH!F319),"x","")</f>
        <v/>
      </c>
      <c r="AF319" s="87" t="str">
        <f>IF(AND(OR(LEFT(TH!N319,2)="15",LEFT(TH!O319,2)="15"),'THE KHO'!$E$7=TH!F319),"x","")</f>
        <v/>
      </c>
      <c r="AG319" s="87" t="str">
        <f>IF(AND(N319="1521",MONTH(C319)='BK NL'!$M$11),"x","")</f>
        <v/>
      </c>
    </row>
    <row r="320" spans="1:33" ht="15.75" customHeight="1">
      <c r="A320" s="399" t="str">
        <f>IF(B320&lt;&gt;"",IF(AND(B320&gt;=_TM1,B320&lt;=_TM2,OR(TH!N320="1111",TH!O320="1111")),TH!D320,""),"")</f>
        <v/>
      </c>
      <c r="B320" s="63" t="str">
        <f t="shared" si="10"/>
        <v/>
      </c>
      <c r="C320" s="64"/>
      <c r="D320" s="64"/>
      <c r="E320" s="64"/>
      <c r="F320" s="67"/>
      <c r="G320" s="376"/>
      <c r="H320" s="75"/>
      <c r="I320" s="518"/>
      <c r="J320" s="518"/>
      <c r="K320" s="509"/>
      <c r="L320" s="518"/>
      <c r="M320" s="65"/>
      <c r="N320" s="66"/>
      <c r="O320" s="66"/>
      <c r="P320" s="87" t="str">
        <f>IF(AND('331-CT'!$E$7=TH!H320,OR(N320="331",O320="331")),"x","")</f>
        <v/>
      </c>
      <c r="Q320" s="87" t="str">
        <f>IF(AND(B320='111'!$L$11,OR($N320=$Q$7,$O320=$Q$7)),"x","")</f>
        <v/>
      </c>
      <c r="R320" s="87" t="str">
        <f>IF(AND($N320=$Q$7,$B320&lt;'111'!$L$11),"x","")</f>
        <v/>
      </c>
      <c r="S320" s="87" t="str">
        <f>IF(AND($O320=$Q$7,$B320&lt;'111'!$L$11),"x","")</f>
        <v/>
      </c>
      <c r="T320" s="87" t="str">
        <f>IF(ISERROR(FIND('112'!$M$9,G320,1)),"",IF((AND(FIND('112'!$M$9,G320,1)&gt;=1,B320='112'!$K$9,OR($N320='112'!$I$6,$O320='112'!$I$6))),"x",""))</f>
        <v/>
      </c>
      <c r="U320" s="87" t="str">
        <f>IF(ISERROR(FIND('112'!$M$9,G320,1)),"",IF((AND(FIND('112'!$M$9,G320,1)&gt;=1,B320&lt;'112'!$K$9,$N320='112'!$I$6)),"x",""))</f>
        <v/>
      </c>
      <c r="V320" s="87" t="str">
        <f>IF(ISERROR(FIND('112'!$M$9,G320,1)),"",IF((AND(FIND('112'!$M$9,G320,1)&gt;=1,B320&lt;'112'!$K$9,$O320='112'!$I$6)),"x",""))</f>
        <v/>
      </c>
      <c r="W320" s="87" t="str">
        <f>IF(AND($B320&gt;='1331'!$I$9,$B320&lt;='1331'!$J$9,OR($N320=$W$7,$O320=$W$7)),"x","")</f>
        <v/>
      </c>
      <c r="X320" s="87" t="str">
        <f>IF(AND($N320=$W$7,$B320&lt;'1331'!$I$9),"x","")</f>
        <v/>
      </c>
      <c r="Y320" s="87" t="str">
        <f>IF(AND($O320=$W$7,$B320&lt;'1331'!$I$9),"x","")</f>
        <v/>
      </c>
      <c r="Z320" s="87" t="str">
        <f>IF(AND('341-CT'!$H$9=H320,OR(LEFT(N320,3)=$Z$7,LEFT(O320,3)=$Z$7)),"x","")</f>
        <v/>
      </c>
      <c r="AA320" s="87" t="str">
        <f>IF(OR(TH!N320=TH!$AA$7,O320=TH!$AA$7),"x","")</f>
        <v/>
      </c>
      <c r="AB320" s="87" t="str">
        <f>IF(AND(OR(N320="131",O320="131"),H320='131-CT'!$H$9),"x","")</f>
        <v/>
      </c>
      <c r="AC320" s="87"/>
      <c r="AD320" s="87" t="str">
        <f>IF(AND(MONTH(E320)='IN-NX'!$J$5,'IN-NX'!$D$7=D320),"x","")</f>
        <v/>
      </c>
      <c r="AE320" s="87" t="str">
        <f>IF(AND(OR(LEFT(TH!N320,2)="15",LEFT(TH!O320,2)="15"),'152-CT'!$J$8=TH!F320),"x","")</f>
        <v/>
      </c>
      <c r="AF320" s="87" t="str">
        <f>IF(AND(OR(LEFT(TH!N320,2)="15",LEFT(TH!O320,2)="15"),'THE KHO'!$E$7=TH!F320),"x","")</f>
        <v/>
      </c>
      <c r="AG320" s="87" t="str">
        <f>IF(AND(N320="1521",MONTH(C320)='BK NL'!$M$11),"x","")</f>
        <v/>
      </c>
    </row>
    <row r="321" spans="1:33" ht="15.75" customHeight="1">
      <c r="A321" s="399" t="str">
        <f>IF(B321&lt;&gt;"",IF(AND(B321&gt;=_TM1,B321&lt;=_TM2,OR(TH!N321="1111",TH!O321="1111")),TH!D321,""),"")</f>
        <v/>
      </c>
      <c r="B321" s="63" t="str">
        <f t="shared" si="10"/>
        <v/>
      </c>
      <c r="C321" s="64"/>
      <c r="D321" s="64"/>
      <c r="E321" s="64"/>
      <c r="F321" s="67"/>
      <c r="G321" s="376"/>
      <c r="H321" s="75"/>
      <c r="I321" s="518"/>
      <c r="J321" s="518"/>
      <c r="K321" s="509"/>
      <c r="L321" s="518"/>
      <c r="M321" s="65"/>
      <c r="N321" s="66"/>
      <c r="O321" s="66"/>
      <c r="P321" s="87" t="str">
        <f>IF(AND('331-CT'!$E$7=TH!H321,OR(N321="331",O321="331")),"x","")</f>
        <v/>
      </c>
      <c r="Q321" s="87" t="str">
        <f>IF(AND(B321='111'!$L$11,OR($N321=$Q$7,$O321=$Q$7)),"x","")</f>
        <v/>
      </c>
      <c r="R321" s="87" t="str">
        <f>IF(AND($N321=$Q$7,$B321&lt;'111'!$L$11),"x","")</f>
        <v/>
      </c>
      <c r="S321" s="87" t="str">
        <f>IF(AND($O321=$Q$7,$B321&lt;'111'!$L$11),"x","")</f>
        <v/>
      </c>
      <c r="T321" s="87" t="str">
        <f>IF(ISERROR(FIND('112'!$M$9,G321,1)),"",IF((AND(FIND('112'!$M$9,G321,1)&gt;=1,B321='112'!$K$9,OR($N321='112'!$I$6,$O321='112'!$I$6))),"x",""))</f>
        <v/>
      </c>
      <c r="U321" s="87" t="str">
        <f>IF(ISERROR(FIND('112'!$M$9,G321,1)),"",IF((AND(FIND('112'!$M$9,G321,1)&gt;=1,B321&lt;'112'!$K$9,$N321='112'!$I$6)),"x",""))</f>
        <v/>
      </c>
      <c r="V321" s="87" t="str">
        <f>IF(ISERROR(FIND('112'!$M$9,G321,1)),"",IF((AND(FIND('112'!$M$9,G321,1)&gt;=1,B321&lt;'112'!$K$9,$O321='112'!$I$6)),"x",""))</f>
        <v/>
      </c>
      <c r="W321" s="87" t="str">
        <f>IF(AND($B321&gt;='1331'!$I$9,$B321&lt;='1331'!$J$9,OR($N321=$W$7,$O321=$W$7)),"x","")</f>
        <v/>
      </c>
      <c r="X321" s="87" t="str">
        <f>IF(AND($N321=$W$7,$B321&lt;'1331'!$I$9),"x","")</f>
        <v/>
      </c>
      <c r="Y321" s="87" t="str">
        <f>IF(AND($O321=$W$7,$B321&lt;'1331'!$I$9),"x","")</f>
        <v/>
      </c>
      <c r="Z321" s="87" t="str">
        <f>IF(AND('341-CT'!$H$9=H321,OR(LEFT(N321,3)=$Z$7,LEFT(O321,3)=$Z$7)),"x","")</f>
        <v/>
      </c>
      <c r="AA321" s="87" t="str">
        <f>IF(OR(TH!N321=TH!$AA$7,O321=TH!$AA$7),"x","")</f>
        <v/>
      </c>
      <c r="AB321" s="87" t="str">
        <f>IF(AND(OR(N321="131",O321="131"),H321='131-CT'!$H$9),"x","")</f>
        <v/>
      </c>
      <c r="AC321" s="87"/>
      <c r="AD321" s="87" t="str">
        <f>IF(AND(MONTH(E321)='IN-NX'!$J$5,'IN-NX'!$D$7=D321),"x","")</f>
        <v/>
      </c>
      <c r="AE321" s="87" t="str">
        <f>IF(AND(OR(LEFT(TH!N321,2)="15",LEFT(TH!O321,2)="15"),'152-CT'!$J$8=TH!F321),"x","")</f>
        <v/>
      </c>
      <c r="AF321" s="87" t="str">
        <f>IF(AND(OR(LEFT(TH!N321,2)="15",LEFT(TH!O321,2)="15"),'THE KHO'!$E$7=TH!F321),"x","")</f>
        <v/>
      </c>
      <c r="AG321" s="87" t="str">
        <f>IF(AND(N321="1521",MONTH(C321)='BK NL'!$M$11),"x","")</f>
        <v/>
      </c>
    </row>
    <row r="322" spans="1:33" ht="15.75" customHeight="1">
      <c r="A322" s="399" t="str">
        <f>IF(B322&lt;&gt;"",IF(AND(B322&gt;=_TM1,B322&lt;=_TM2,OR(TH!N322="1111",TH!O322="1111")),TH!D322,""),"")</f>
        <v/>
      </c>
      <c r="B322" s="63" t="str">
        <f t="shared" si="10"/>
        <v/>
      </c>
      <c r="C322" s="64"/>
      <c r="D322" s="64"/>
      <c r="E322" s="64"/>
      <c r="F322" s="67"/>
      <c r="G322" s="376"/>
      <c r="H322" s="75"/>
      <c r="I322" s="518"/>
      <c r="J322" s="518"/>
      <c r="K322" s="509"/>
      <c r="L322" s="518"/>
      <c r="M322" s="65"/>
      <c r="N322" s="66"/>
      <c r="O322" s="66"/>
      <c r="P322" s="87" t="str">
        <f>IF(AND('331-CT'!$E$7=TH!H322,OR(N322="331",O322="331")),"x","")</f>
        <v/>
      </c>
      <c r="Q322" s="87" t="str">
        <f>IF(AND(B322='111'!$L$11,OR($N322=$Q$7,$O322=$Q$7)),"x","")</f>
        <v/>
      </c>
      <c r="R322" s="87" t="str">
        <f>IF(AND($N322=$Q$7,$B322&lt;'111'!$L$11),"x","")</f>
        <v/>
      </c>
      <c r="S322" s="87" t="str">
        <f>IF(AND($O322=$Q$7,$B322&lt;'111'!$L$11),"x","")</f>
        <v/>
      </c>
      <c r="T322" s="87" t="str">
        <f>IF(ISERROR(FIND('112'!$M$9,G322,1)),"",IF((AND(FIND('112'!$M$9,G322,1)&gt;=1,B322='112'!$K$9,OR($N322='112'!$I$6,$O322='112'!$I$6))),"x",""))</f>
        <v/>
      </c>
      <c r="U322" s="87" t="str">
        <f>IF(ISERROR(FIND('112'!$M$9,G322,1)),"",IF((AND(FIND('112'!$M$9,G322,1)&gt;=1,B322&lt;'112'!$K$9,$N322='112'!$I$6)),"x",""))</f>
        <v/>
      </c>
      <c r="V322" s="87" t="str">
        <f>IF(ISERROR(FIND('112'!$M$9,G322,1)),"",IF((AND(FIND('112'!$M$9,G322,1)&gt;=1,B322&lt;'112'!$K$9,$O322='112'!$I$6)),"x",""))</f>
        <v/>
      </c>
      <c r="W322" s="87" t="str">
        <f>IF(AND($B322&gt;='1331'!$I$9,$B322&lt;='1331'!$J$9,OR($N322=$W$7,$O322=$W$7)),"x","")</f>
        <v/>
      </c>
      <c r="X322" s="87" t="str">
        <f>IF(AND($N322=$W$7,$B322&lt;'1331'!$I$9),"x","")</f>
        <v/>
      </c>
      <c r="Y322" s="87" t="str">
        <f>IF(AND($O322=$W$7,$B322&lt;'1331'!$I$9),"x","")</f>
        <v/>
      </c>
      <c r="Z322" s="87" t="str">
        <f>IF(AND('341-CT'!$H$9=H322,OR(LEFT(N322,3)=$Z$7,LEFT(O322,3)=$Z$7)),"x","")</f>
        <v/>
      </c>
      <c r="AA322" s="87" t="str">
        <f>IF(OR(TH!N322=TH!$AA$7,O322=TH!$AA$7),"x","")</f>
        <v/>
      </c>
      <c r="AB322" s="87" t="str">
        <f>IF(AND(OR(N322="131",O322="131"),H322='131-CT'!$H$9),"x","")</f>
        <v/>
      </c>
      <c r="AC322" s="87"/>
      <c r="AD322" s="87" t="str">
        <f>IF(AND(MONTH(E322)='IN-NX'!$J$5,'IN-NX'!$D$7=D322),"x","")</f>
        <v/>
      </c>
      <c r="AE322" s="87" t="str">
        <f>IF(AND(OR(LEFT(TH!N322,2)="15",LEFT(TH!O322,2)="15"),'152-CT'!$J$8=TH!F322),"x","")</f>
        <v/>
      </c>
      <c r="AF322" s="87" t="str">
        <f>IF(AND(OR(LEFT(TH!N322,2)="15",LEFT(TH!O322,2)="15"),'THE KHO'!$E$7=TH!F322),"x","")</f>
        <v/>
      </c>
      <c r="AG322" s="87" t="str">
        <f>IF(AND(N322="1521",MONTH(C322)='BK NL'!$M$11),"x","")</f>
        <v/>
      </c>
    </row>
    <row r="323" spans="1:33" ht="15.75" customHeight="1">
      <c r="A323" s="399" t="str">
        <f>IF(B323&lt;&gt;"",IF(AND(B323&gt;=_TM1,B323&lt;=_TM2,OR(TH!N323="1111",TH!O323="1111")),TH!D323,""),"")</f>
        <v/>
      </c>
      <c r="B323" s="63" t="str">
        <f t="shared" si="10"/>
        <v/>
      </c>
      <c r="C323" s="64"/>
      <c r="D323" s="64"/>
      <c r="E323" s="64"/>
      <c r="F323" s="67"/>
      <c r="G323" s="362"/>
      <c r="H323" s="409"/>
      <c r="I323" s="522"/>
      <c r="J323" s="522"/>
      <c r="K323" s="513"/>
      <c r="L323" s="522"/>
      <c r="M323" s="65"/>
      <c r="N323" s="66"/>
      <c r="O323" s="66"/>
      <c r="P323" s="87" t="str">
        <f>IF(AND('331-CT'!$E$7=TH!H323,OR(N323="331",O323="331")),"x","")</f>
        <v/>
      </c>
      <c r="Q323" s="87" t="str">
        <f>IF(AND(B323='111'!$L$11,OR($N323=$Q$7,$O323=$Q$7)),"x","")</f>
        <v/>
      </c>
      <c r="R323" s="87" t="str">
        <f>IF(AND($N323=$Q$7,$B323&lt;'111'!$L$11),"x","")</f>
        <v/>
      </c>
      <c r="S323" s="87" t="str">
        <f>IF(AND($O323=$Q$7,$B323&lt;'111'!$L$11),"x","")</f>
        <v/>
      </c>
      <c r="T323" s="87" t="str">
        <f>IF(ISERROR(FIND('112'!$M$9,G323,1)),"",IF((AND(FIND('112'!$M$9,G323,1)&gt;=1,B323='112'!$K$9,OR($N323='112'!$I$6,$O323='112'!$I$6))),"x",""))</f>
        <v/>
      </c>
      <c r="U323" s="87" t="str">
        <f>IF(ISERROR(FIND('112'!$M$9,G323,1)),"",IF((AND(FIND('112'!$M$9,G323,1)&gt;=1,B323&lt;'112'!$K$9,$N323='112'!$I$6)),"x",""))</f>
        <v/>
      </c>
      <c r="V323" s="87" t="str">
        <f>IF(ISERROR(FIND('112'!$M$9,G323,1)),"",IF((AND(FIND('112'!$M$9,G323,1)&gt;=1,B323&lt;'112'!$K$9,$O323='112'!$I$6)),"x",""))</f>
        <v/>
      </c>
      <c r="W323" s="87" t="str">
        <f>IF(AND($B323&gt;='1331'!$I$9,$B323&lt;='1331'!$J$9,OR($N323=$W$7,$O323=$W$7)),"x","")</f>
        <v/>
      </c>
      <c r="X323" s="87" t="str">
        <f>IF(AND($N323=$W$7,$B323&lt;'1331'!$I$9),"x","")</f>
        <v/>
      </c>
      <c r="Y323" s="87" t="str">
        <f>IF(AND($O323=$W$7,$B323&lt;'1331'!$I$9),"x","")</f>
        <v/>
      </c>
      <c r="Z323" s="87" t="str">
        <f>IF(AND('341-CT'!$H$9=H323,OR(LEFT(N323,3)=$Z$7,LEFT(O323,3)=$Z$7)),"x","")</f>
        <v/>
      </c>
      <c r="AA323" s="87" t="str">
        <f>IF(OR(TH!N323=TH!$AA$7,O323=TH!$AA$7),"x","")</f>
        <v/>
      </c>
      <c r="AB323" s="87" t="str">
        <f>IF(AND(OR(N323="131",O323="131"),H323='131-CT'!$H$9),"x","")</f>
        <v/>
      </c>
      <c r="AC323" s="87"/>
      <c r="AD323" s="87" t="str">
        <f>IF(AND(MONTH(E323)='IN-NX'!$J$5,'IN-NX'!$D$7=D323),"x","")</f>
        <v/>
      </c>
      <c r="AE323" s="87" t="str">
        <f>IF(AND(OR(LEFT(TH!N323,2)="15",LEFT(TH!O323,2)="15"),'152-CT'!$J$8=TH!F323),"x","")</f>
        <v/>
      </c>
      <c r="AF323" s="87" t="str">
        <f>IF(AND(OR(LEFT(TH!N323,2)="15",LEFT(TH!O323,2)="15"),'THE KHO'!$E$7=TH!F323),"x","")</f>
        <v/>
      </c>
      <c r="AG323" s="87" t="str">
        <f>IF(AND(N323="1521",MONTH(C323)='BK NL'!$M$11),"x","")</f>
        <v/>
      </c>
    </row>
    <row r="324" spans="1:33" ht="15.75" customHeight="1">
      <c r="A324" s="399" t="str">
        <f>IF(B324&lt;&gt;"",IF(AND(B324&gt;=_TM1,B324&lt;=_TM2,OR(TH!N324="1111",TH!O324="1111")),TH!D324,""),"")</f>
        <v/>
      </c>
      <c r="B324" s="63" t="str">
        <f t="shared" si="10"/>
        <v/>
      </c>
      <c r="C324" s="64"/>
      <c r="D324" s="64"/>
      <c r="E324" s="64"/>
      <c r="F324" s="67"/>
      <c r="G324" s="362"/>
      <c r="H324" s="75"/>
      <c r="I324" s="518"/>
      <c r="J324" s="518"/>
      <c r="K324" s="509"/>
      <c r="L324" s="518"/>
      <c r="M324" s="65"/>
      <c r="N324" s="66"/>
      <c r="O324" s="66"/>
      <c r="P324" s="87" t="str">
        <f>IF(AND('331-CT'!$E$7=TH!H324,OR(N324="331",O324="331")),"x","")</f>
        <v/>
      </c>
      <c r="Q324" s="87" t="str">
        <f>IF(AND(B324='111'!$L$11,OR($N324=$Q$7,$O324=$Q$7)),"x","")</f>
        <v/>
      </c>
      <c r="R324" s="87" t="str">
        <f>IF(AND($N324=$Q$7,$B324&lt;'111'!$L$11),"x","")</f>
        <v/>
      </c>
      <c r="S324" s="87" t="str">
        <f>IF(AND($O324=$Q$7,$B324&lt;'111'!$L$11),"x","")</f>
        <v/>
      </c>
      <c r="T324" s="87" t="str">
        <f>IF(ISERROR(FIND('112'!$M$9,G324,1)),"",IF((AND(FIND('112'!$M$9,G324,1)&gt;=1,B324='112'!$K$9,OR($N324='112'!$I$6,$O324='112'!$I$6))),"x",""))</f>
        <v/>
      </c>
      <c r="U324" s="87" t="str">
        <f>IF(ISERROR(FIND('112'!$M$9,G324,1)),"",IF((AND(FIND('112'!$M$9,G324,1)&gt;=1,B324&lt;'112'!$K$9,$N324='112'!$I$6)),"x",""))</f>
        <v/>
      </c>
      <c r="V324" s="87" t="str">
        <f>IF(ISERROR(FIND('112'!$M$9,G324,1)),"",IF((AND(FIND('112'!$M$9,G324,1)&gt;=1,B324&lt;'112'!$K$9,$O324='112'!$I$6)),"x",""))</f>
        <v/>
      </c>
      <c r="W324" s="87" t="str">
        <f>IF(AND($B324&gt;='1331'!$I$9,$B324&lt;='1331'!$J$9,OR($N324=$W$7,$O324=$W$7)),"x","")</f>
        <v/>
      </c>
      <c r="X324" s="87" t="str">
        <f>IF(AND($N324=$W$7,$B324&lt;'1331'!$I$9),"x","")</f>
        <v/>
      </c>
      <c r="Y324" s="87" t="str">
        <f>IF(AND($O324=$W$7,$B324&lt;'1331'!$I$9),"x","")</f>
        <v/>
      </c>
      <c r="Z324" s="87" t="str">
        <f>IF(AND('341-CT'!$H$9=H324,OR(LEFT(N324,3)=$Z$7,LEFT(O324,3)=$Z$7)),"x","")</f>
        <v/>
      </c>
      <c r="AA324" s="87" t="str">
        <f>IF(OR(TH!N324=TH!$AA$7,O324=TH!$AA$7),"x","")</f>
        <v/>
      </c>
      <c r="AB324" s="87" t="str">
        <f>IF(AND(OR(N324="131",O324="131"),H324='131-CT'!$H$9),"x","")</f>
        <v/>
      </c>
      <c r="AC324" s="87"/>
      <c r="AD324" s="87" t="str">
        <f>IF(AND(MONTH(E324)='IN-NX'!$J$5,'IN-NX'!$D$7=D324),"x","")</f>
        <v/>
      </c>
      <c r="AE324" s="87" t="str">
        <f>IF(AND(OR(LEFT(TH!N324,2)="15",LEFT(TH!O324,2)="15"),'152-CT'!$J$8=TH!F324),"x","")</f>
        <v/>
      </c>
      <c r="AF324" s="87" t="str">
        <f>IF(AND(OR(LEFT(TH!N324,2)="15",LEFT(TH!O324,2)="15"),'THE KHO'!$E$7=TH!F324),"x","")</f>
        <v/>
      </c>
      <c r="AG324" s="87" t="str">
        <f>IF(AND(N324="1521",MONTH(C324)='BK NL'!$M$11),"x","")</f>
        <v/>
      </c>
    </row>
    <row r="325" spans="1:33" ht="15.75" customHeight="1">
      <c r="A325" s="399" t="str">
        <f>IF(B325&lt;&gt;"",IF(AND(B325&gt;=_TM1,B325&lt;=_TM2,OR(TH!N325="1111",TH!O325="1111")),TH!D325,""),"")</f>
        <v/>
      </c>
      <c r="B325" s="63" t="str">
        <f t="shared" si="10"/>
        <v/>
      </c>
      <c r="C325" s="64"/>
      <c r="D325" s="64"/>
      <c r="E325" s="64"/>
      <c r="F325" s="67"/>
      <c r="G325" s="362"/>
      <c r="H325" s="75"/>
      <c r="I325" s="518"/>
      <c r="J325" s="518"/>
      <c r="K325" s="509"/>
      <c r="L325" s="518"/>
      <c r="M325" s="65"/>
      <c r="N325" s="66"/>
      <c r="O325" s="66"/>
      <c r="P325" s="87" t="str">
        <f>IF(AND('331-CT'!$E$7=TH!H325,OR(N325="331",O325="331")),"x","")</f>
        <v/>
      </c>
      <c r="Q325" s="87" t="str">
        <f>IF(AND(B325='111'!$L$11,OR($N325=$Q$7,$O325=$Q$7)),"x","")</f>
        <v/>
      </c>
      <c r="R325" s="87" t="str">
        <f>IF(AND($N325=$Q$7,$B325&lt;'111'!$L$11),"x","")</f>
        <v/>
      </c>
      <c r="S325" s="87" t="str">
        <f>IF(AND($O325=$Q$7,$B325&lt;'111'!$L$11),"x","")</f>
        <v/>
      </c>
      <c r="T325" s="87" t="str">
        <f>IF(ISERROR(FIND('112'!$M$9,G325,1)),"",IF((AND(FIND('112'!$M$9,G325,1)&gt;=1,B325='112'!$K$9,OR($N325='112'!$I$6,$O325='112'!$I$6))),"x",""))</f>
        <v/>
      </c>
      <c r="U325" s="87" t="str">
        <f>IF(ISERROR(FIND('112'!$M$9,G325,1)),"",IF((AND(FIND('112'!$M$9,G325,1)&gt;=1,B325&lt;'112'!$K$9,$N325='112'!$I$6)),"x",""))</f>
        <v/>
      </c>
      <c r="V325" s="87" t="str">
        <f>IF(ISERROR(FIND('112'!$M$9,G325,1)),"",IF((AND(FIND('112'!$M$9,G325,1)&gt;=1,B325&lt;'112'!$K$9,$O325='112'!$I$6)),"x",""))</f>
        <v/>
      </c>
      <c r="W325" s="87" t="str">
        <f>IF(AND($B325&gt;='1331'!$I$9,$B325&lt;='1331'!$J$9,OR($N325=$W$7,$O325=$W$7)),"x","")</f>
        <v/>
      </c>
      <c r="X325" s="87" t="str">
        <f>IF(AND($N325=$W$7,$B325&lt;'1331'!$I$9),"x","")</f>
        <v/>
      </c>
      <c r="Y325" s="87" t="str">
        <f>IF(AND($O325=$W$7,$B325&lt;'1331'!$I$9),"x","")</f>
        <v/>
      </c>
      <c r="Z325" s="87" t="str">
        <f>IF(AND('341-CT'!$H$9=H325,OR(LEFT(N325,3)=$Z$7,LEFT(O325,3)=$Z$7)),"x","")</f>
        <v/>
      </c>
      <c r="AA325" s="87" t="str">
        <f>IF(OR(TH!N325=TH!$AA$7,O325=TH!$AA$7),"x","")</f>
        <v/>
      </c>
      <c r="AB325" s="87" t="str">
        <f>IF(AND(OR(N325="131",O325="131"),H325='131-CT'!$H$9),"x","")</f>
        <v/>
      </c>
      <c r="AC325" s="87"/>
      <c r="AD325" s="87" t="str">
        <f>IF(AND(MONTH(E325)='IN-NX'!$J$5,'IN-NX'!$D$7=D325),"x","")</f>
        <v/>
      </c>
      <c r="AE325" s="87" t="str">
        <f>IF(AND(OR(LEFT(TH!N325,2)="15",LEFT(TH!O325,2)="15"),'152-CT'!$J$8=TH!F325),"x","")</f>
        <v/>
      </c>
      <c r="AF325" s="87" t="str">
        <f>IF(AND(OR(LEFT(TH!N325,2)="15",LEFT(TH!O325,2)="15"),'THE KHO'!$E$7=TH!F325),"x","")</f>
        <v/>
      </c>
      <c r="AG325" s="87" t="str">
        <f>IF(AND(N325="1521",MONTH(C325)='BK NL'!$M$11),"x","")</f>
        <v/>
      </c>
    </row>
    <row r="326" spans="1:33" ht="15.75" customHeight="1">
      <c r="A326" s="399" t="str">
        <f>IF(B326&lt;&gt;"",IF(AND(B326&gt;=_TM1,B326&lt;=_TM2,OR(TH!N326="1111",TH!O326="1111")),TH!D326,""),"")</f>
        <v/>
      </c>
      <c r="B326" s="63" t="str">
        <f t="shared" si="10"/>
        <v/>
      </c>
      <c r="C326" s="64"/>
      <c r="D326" s="64"/>
      <c r="E326" s="64"/>
      <c r="F326" s="67"/>
      <c r="G326" s="362"/>
      <c r="H326" s="75"/>
      <c r="I326" s="518"/>
      <c r="J326" s="518"/>
      <c r="K326" s="509"/>
      <c r="L326" s="518"/>
      <c r="M326" s="65"/>
      <c r="N326" s="66"/>
      <c r="O326" s="66"/>
      <c r="P326" s="87" t="str">
        <f>IF(AND('331-CT'!$E$7=TH!H326,OR(N326="331",O326="331")),"x","")</f>
        <v/>
      </c>
      <c r="Q326" s="87" t="str">
        <f>IF(AND(B326='111'!$L$11,OR($N326=$Q$7,$O326=$Q$7)),"x","")</f>
        <v/>
      </c>
      <c r="R326" s="87" t="str">
        <f>IF(AND($N326=$Q$7,$B326&lt;'111'!$L$11),"x","")</f>
        <v/>
      </c>
      <c r="S326" s="87" t="str">
        <f>IF(AND($O326=$Q$7,$B326&lt;'111'!$L$11),"x","")</f>
        <v/>
      </c>
      <c r="T326" s="87" t="str">
        <f>IF(ISERROR(FIND('112'!$M$9,G326,1)),"",IF((AND(FIND('112'!$M$9,G326,1)&gt;=1,B326='112'!$K$9,OR($N326='112'!$I$6,$O326='112'!$I$6))),"x",""))</f>
        <v/>
      </c>
      <c r="U326" s="87" t="str">
        <f>IF(ISERROR(FIND('112'!$M$9,G326,1)),"",IF((AND(FIND('112'!$M$9,G326,1)&gt;=1,B326&lt;'112'!$K$9,$N326='112'!$I$6)),"x",""))</f>
        <v/>
      </c>
      <c r="V326" s="87" t="str">
        <f>IF(ISERROR(FIND('112'!$M$9,G326,1)),"",IF((AND(FIND('112'!$M$9,G326,1)&gt;=1,B326&lt;'112'!$K$9,$O326='112'!$I$6)),"x",""))</f>
        <v/>
      </c>
      <c r="W326" s="87" t="str">
        <f>IF(AND($B326&gt;='1331'!$I$9,$B326&lt;='1331'!$J$9,OR($N326=$W$7,$O326=$W$7)),"x","")</f>
        <v/>
      </c>
      <c r="X326" s="87" t="str">
        <f>IF(AND($N326=$W$7,$B326&lt;'1331'!$I$9),"x","")</f>
        <v/>
      </c>
      <c r="Y326" s="87" t="str">
        <f>IF(AND($O326=$W$7,$B326&lt;'1331'!$I$9),"x","")</f>
        <v/>
      </c>
      <c r="Z326" s="87" t="str">
        <f>IF(AND('341-CT'!$H$9=H326,OR(LEFT(N326,3)=$Z$7,LEFT(O326,3)=$Z$7)),"x","")</f>
        <v/>
      </c>
      <c r="AA326" s="87" t="str">
        <f>IF(OR(TH!N326=TH!$AA$7,O326=TH!$AA$7),"x","")</f>
        <v/>
      </c>
      <c r="AB326" s="87" t="str">
        <f>IF(AND(OR(N326="131",O326="131"),H326='131-CT'!$H$9),"x","")</f>
        <v/>
      </c>
      <c r="AC326" s="87"/>
      <c r="AD326" s="87" t="str">
        <f>IF(AND(MONTH(E326)='IN-NX'!$J$5,'IN-NX'!$D$7=D326),"x","")</f>
        <v/>
      </c>
      <c r="AE326" s="87" t="str">
        <f>IF(AND(OR(LEFT(TH!N326,2)="15",LEFT(TH!O326,2)="15"),'152-CT'!$J$8=TH!F326),"x","")</f>
        <v/>
      </c>
      <c r="AF326" s="87" t="str">
        <f>IF(AND(OR(LEFT(TH!N326,2)="15",LEFT(TH!O326,2)="15"),'THE KHO'!$E$7=TH!F326),"x","")</f>
        <v/>
      </c>
      <c r="AG326" s="87" t="str">
        <f>IF(AND(N326="1521",MONTH(C326)='BK NL'!$M$11),"x","")</f>
        <v/>
      </c>
    </row>
    <row r="327" spans="1:33" ht="15.75" customHeight="1">
      <c r="A327" s="399" t="str">
        <f>IF(B327&lt;&gt;"",IF(AND(B327&gt;=_TM1,B327&lt;=_TM2,OR(TH!N327="1111",TH!O327="1111")),TH!D327,""),"")</f>
        <v/>
      </c>
      <c r="B327" s="63" t="str">
        <f t="shared" si="10"/>
        <v/>
      </c>
      <c r="C327" s="64"/>
      <c r="D327" s="64"/>
      <c r="E327" s="64"/>
      <c r="F327" s="67"/>
      <c r="G327" s="362"/>
      <c r="H327" s="75"/>
      <c r="I327" s="518"/>
      <c r="J327" s="518"/>
      <c r="K327" s="509"/>
      <c r="L327" s="518"/>
      <c r="M327" s="65"/>
      <c r="N327" s="66"/>
      <c r="O327" s="66"/>
      <c r="P327" s="87" t="str">
        <f>IF(AND('331-CT'!$E$7=TH!H327,OR(N327="331",O327="331")),"x","")</f>
        <v/>
      </c>
      <c r="Q327" s="87" t="str">
        <f>IF(AND(B327='111'!$L$11,OR($N327=$Q$7,$O327=$Q$7)),"x","")</f>
        <v/>
      </c>
      <c r="R327" s="87" t="str">
        <f>IF(AND($N327=$Q$7,$B327&lt;'111'!$L$11),"x","")</f>
        <v/>
      </c>
      <c r="S327" s="87" t="str">
        <f>IF(AND($O327=$Q$7,$B327&lt;'111'!$L$11),"x","")</f>
        <v/>
      </c>
      <c r="T327" s="87" t="str">
        <f>IF(ISERROR(FIND('112'!$M$9,G327,1)),"",IF((AND(FIND('112'!$M$9,G327,1)&gt;=1,B327='112'!$K$9,OR($N327='112'!$I$6,$O327='112'!$I$6))),"x",""))</f>
        <v/>
      </c>
      <c r="U327" s="87" t="str">
        <f>IF(ISERROR(FIND('112'!$M$9,G327,1)),"",IF((AND(FIND('112'!$M$9,G327,1)&gt;=1,B327&lt;'112'!$K$9,$N327='112'!$I$6)),"x",""))</f>
        <v/>
      </c>
      <c r="V327" s="87" t="str">
        <f>IF(ISERROR(FIND('112'!$M$9,G327,1)),"",IF((AND(FIND('112'!$M$9,G327,1)&gt;=1,B327&lt;'112'!$K$9,$O327='112'!$I$6)),"x",""))</f>
        <v/>
      </c>
      <c r="W327" s="87" t="str">
        <f>IF(AND($B327&gt;='1331'!$I$9,$B327&lt;='1331'!$J$9,OR($N327=$W$7,$O327=$W$7)),"x","")</f>
        <v/>
      </c>
      <c r="X327" s="87" t="str">
        <f>IF(AND($N327=$W$7,$B327&lt;'1331'!$I$9),"x","")</f>
        <v/>
      </c>
      <c r="Y327" s="87" t="str">
        <f>IF(AND($O327=$W$7,$B327&lt;'1331'!$I$9),"x","")</f>
        <v/>
      </c>
      <c r="Z327" s="87" t="str">
        <f>IF(AND('341-CT'!$H$9=H327,OR(LEFT(N327,3)=$Z$7,LEFT(O327,3)=$Z$7)),"x","")</f>
        <v/>
      </c>
      <c r="AA327" s="87" t="str">
        <f>IF(OR(TH!N327=TH!$AA$7,O327=TH!$AA$7),"x","")</f>
        <v/>
      </c>
      <c r="AB327" s="87" t="str">
        <f>IF(AND(OR(N327="131",O327="131"),H327='131-CT'!$H$9),"x","")</f>
        <v/>
      </c>
      <c r="AC327" s="87"/>
      <c r="AD327" s="87" t="str">
        <f>IF(AND(MONTH(E327)='IN-NX'!$J$5,'IN-NX'!$D$7=D327),"x","")</f>
        <v/>
      </c>
      <c r="AE327" s="87" t="str">
        <f>IF(AND(OR(LEFT(TH!N327,2)="15",LEFT(TH!O327,2)="15"),'152-CT'!$J$8=TH!F327),"x","")</f>
        <v/>
      </c>
      <c r="AF327" s="87" t="str">
        <f>IF(AND(OR(LEFT(TH!N327,2)="15",LEFT(TH!O327,2)="15"),'THE KHO'!$E$7=TH!F327),"x","")</f>
        <v/>
      </c>
      <c r="AG327" s="87" t="str">
        <f>IF(AND(N327="1521",MONTH(C327)='BK NL'!$M$11),"x","")</f>
        <v/>
      </c>
    </row>
    <row r="328" spans="1:33" ht="15.75" customHeight="1">
      <c r="A328" s="399" t="str">
        <f>IF(B328&lt;&gt;"",IF(AND(B328&gt;=_TM1,B328&lt;=_TM2,OR(TH!N328="1111",TH!O328="1111")),TH!D328,""),"")</f>
        <v/>
      </c>
      <c r="B328" s="63" t="str">
        <f t="shared" si="10"/>
        <v/>
      </c>
      <c r="C328" s="64"/>
      <c r="D328" s="64"/>
      <c r="E328" s="64"/>
      <c r="F328" s="67"/>
      <c r="G328" s="362"/>
      <c r="H328" s="75"/>
      <c r="I328" s="518"/>
      <c r="J328" s="518"/>
      <c r="K328" s="509"/>
      <c r="L328" s="518"/>
      <c r="M328" s="65"/>
      <c r="N328" s="66"/>
      <c r="O328" s="66"/>
      <c r="P328" s="87" t="str">
        <f>IF(AND('331-CT'!$E$7=TH!H328,OR(N328="331",O328="331")),"x","")</f>
        <v/>
      </c>
      <c r="Q328" s="87" t="str">
        <f>IF(AND(B328='111'!$L$11,OR($N328=$Q$7,$O328=$Q$7)),"x","")</f>
        <v/>
      </c>
      <c r="R328" s="87" t="str">
        <f>IF(AND($N328=$Q$7,$B328&lt;'111'!$L$11),"x","")</f>
        <v/>
      </c>
      <c r="S328" s="87" t="str">
        <f>IF(AND($O328=$Q$7,$B328&lt;'111'!$L$11),"x","")</f>
        <v/>
      </c>
      <c r="T328" s="87" t="str">
        <f>IF(ISERROR(FIND('112'!$M$9,G328,1)),"",IF((AND(FIND('112'!$M$9,G328,1)&gt;=1,B328='112'!$K$9,OR($N328='112'!$I$6,$O328='112'!$I$6))),"x",""))</f>
        <v/>
      </c>
      <c r="U328" s="87" t="str">
        <f>IF(ISERROR(FIND('112'!$M$9,G328,1)),"",IF((AND(FIND('112'!$M$9,G328,1)&gt;=1,B328&lt;'112'!$K$9,$N328='112'!$I$6)),"x",""))</f>
        <v/>
      </c>
      <c r="V328" s="87" t="str">
        <f>IF(ISERROR(FIND('112'!$M$9,G328,1)),"",IF((AND(FIND('112'!$M$9,G328,1)&gt;=1,B328&lt;'112'!$K$9,$O328='112'!$I$6)),"x",""))</f>
        <v/>
      </c>
      <c r="W328" s="87" t="str">
        <f>IF(AND($B328&gt;='1331'!$I$9,$B328&lt;='1331'!$J$9,OR($N328=$W$7,$O328=$W$7)),"x","")</f>
        <v/>
      </c>
      <c r="X328" s="87" t="str">
        <f>IF(AND($N328=$W$7,$B328&lt;'1331'!$I$9),"x","")</f>
        <v/>
      </c>
      <c r="Y328" s="87" t="str">
        <f>IF(AND($O328=$W$7,$B328&lt;'1331'!$I$9),"x","")</f>
        <v/>
      </c>
      <c r="Z328" s="87" t="str">
        <f>IF(AND('341-CT'!$H$9=H328,OR(LEFT(N328,3)=$Z$7,LEFT(O328,3)=$Z$7)),"x","")</f>
        <v/>
      </c>
      <c r="AA328" s="87" t="str">
        <f>IF(OR(TH!N328=TH!$AA$7,O328=TH!$AA$7),"x","")</f>
        <v/>
      </c>
      <c r="AB328" s="87" t="str">
        <f>IF(AND(OR(N328="131",O328="131"),H328='131-CT'!$H$9),"x","")</f>
        <v/>
      </c>
      <c r="AC328" s="87"/>
      <c r="AD328" s="87" t="str">
        <f>IF(AND(MONTH(E328)='IN-NX'!$J$5,'IN-NX'!$D$7=D328),"x","")</f>
        <v/>
      </c>
      <c r="AE328" s="87" t="str">
        <f>IF(AND(OR(LEFT(TH!N328,2)="15",LEFT(TH!O328,2)="15"),'152-CT'!$J$8=TH!F328),"x","")</f>
        <v/>
      </c>
      <c r="AF328" s="87" t="str">
        <f>IF(AND(OR(LEFT(TH!N328,2)="15",LEFT(TH!O328,2)="15"),'THE KHO'!$E$7=TH!F328),"x","")</f>
        <v/>
      </c>
      <c r="AG328" s="87" t="str">
        <f>IF(AND(N328="1521",MONTH(C328)='BK NL'!$M$11),"x","")</f>
        <v/>
      </c>
    </row>
    <row r="329" spans="1:33" ht="15.75" customHeight="1">
      <c r="A329" s="399" t="str">
        <f>IF(B329&lt;&gt;"",IF(AND(B329&gt;=_TM1,B329&lt;=_TM2,OR(TH!N329="1111",TH!O329="1111")),TH!D329,""),"")</f>
        <v/>
      </c>
      <c r="B329" s="63" t="str">
        <f t="shared" si="10"/>
        <v/>
      </c>
      <c r="C329" s="64"/>
      <c r="D329" s="64"/>
      <c r="E329" s="64"/>
      <c r="F329" s="67"/>
      <c r="G329" s="362"/>
      <c r="H329" s="75"/>
      <c r="I329" s="518"/>
      <c r="J329" s="518"/>
      <c r="K329" s="509"/>
      <c r="L329" s="518"/>
      <c r="M329" s="65"/>
      <c r="N329" s="66"/>
      <c r="O329" s="66"/>
      <c r="P329" s="87" t="str">
        <f>IF(AND('331-CT'!$E$7=TH!H329,OR(N329="331",O329="331")),"x","")</f>
        <v/>
      </c>
      <c r="Q329" s="87" t="str">
        <f>IF(AND(B329='111'!$L$11,OR($N329=$Q$7,$O329=$Q$7)),"x","")</f>
        <v/>
      </c>
      <c r="R329" s="87" t="str">
        <f>IF(AND($N329=$Q$7,$B329&lt;'111'!$L$11),"x","")</f>
        <v/>
      </c>
      <c r="S329" s="87" t="str">
        <f>IF(AND($O329=$Q$7,$B329&lt;'111'!$L$11),"x","")</f>
        <v/>
      </c>
      <c r="T329" s="87" t="str">
        <f>IF(ISERROR(FIND('112'!$M$9,G329,1)),"",IF((AND(FIND('112'!$M$9,G329,1)&gt;=1,B329='112'!$K$9,OR($N329='112'!$I$6,$O329='112'!$I$6))),"x",""))</f>
        <v/>
      </c>
      <c r="U329" s="87" t="str">
        <f>IF(ISERROR(FIND('112'!$M$9,G329,1)),"",IF((AND(FIND('112'!$M$9,G329,1)&gt;=1,B329&lt;'112'!$K$9,$N329='112'!$I$6)),"x",""))</f>
        <v/>
      </c>
      <c r="V329" s="87" t="str">
        <f>IF(ISERROR(FIND('112'!$M$9,G329,1)),"",IF((AND(FIND('112'!$M$9,G329,1)&gt;=1,B329&lt;'112'!$K$9,$O329='112'!$I$6)),"x",""))</f>
        <v/>
      </c>
      <c r="W329" s="87" t="str">
        <f>IF(AND($B329&gt;='1331'!$I$9,$B329&lt;='1331'!$J$9,OR($N329=$W$7,$O329=$W$7)),"x","")</f>
        <v/>
      </c>
      <c r="X329" s="87" t="str">
        <f>IF(AND($N329=$W$7,$B329&lt;'1331'!$I$9),"x","")</f>
        <v/>
      </c>
      <c r="Y329" s="87" t="str">
        <f>IF(AND($O329=$W$7,$B329&lt;'1331'!$I$9),"x","")</f>
        <v/>
      </c>
      <c r="Z329" s="87" t="str">
        <f>IF(AND('341-CT'!$H$9=H329,OR(LEFT(N329,3)=$Z$7,LEFT(O329,3)=$Z$7)),"x","")</f>
        <v/>
      </c>
      <c r="AA329" s="87" t="str">
        <f>IF(OR(TH!N329=TH!$AA$7,O329=TH!$AA$7),"x","")</f>
        <v/>
      </c>
      <c r="AB329" s="87" t="str">
        <f>IF(AND(OR(N329="131",O329="131"),H329='131-CT'!$H$9),"x","")</f>
        <v/>
      </c>
      <c r="AC329" s="87"/>
      <c r="AD329" s="87" t="str">
        <f>IF(AND(MONTH(E329)='IN-NX'!$J$5,'IN-NX'!$D$7=D329),"x","")</f>
        <v/>
      </c>
      <c r="AE329" s="87" t="str">
        <f>IF(AND(OR(LEFT(TH!N329,2)="15",LEFT(TH!O329,2)="15"),'152-CT'!$J$8=TH!F329),"x","")</f>
        <v/>
      </c>
      <c r="AF329" s="87" t="str">
        <f>IF(AND(OR(LEFT(TH!N329,2)="15",LEFT(TH!O329,2)="15"),'THE KHO'!$E$7=TH!F329),"x","")</f>
        <v/>
      </c>
      <c r="AG329" s="87" t="str">
        <f>IF(AND(N329="1521",MONTH(C329)='BK NL'!$M$11),"x","")</f>
        <v/>
      </c>
    </row>
    <row r="330" spans="1:33" ht="15.75" customHeight="1">
      <c r="A330" s="399" t="str">
        <f>IF(B330&lt;&gt;"",IF(AND(B330&gt;=_TM1,B330&lt;=_TM2,OR(TH!N330="1111",TH!O330="1111")),TH!D330,""),"")</f>
        <v/>
      </c>
      <c r="B330" s="63" t="str">
        <f t="shared" si="10"/>
        <v/>
      </c>
      <c r="C330" s="64"/>
      <c r="D330" s="64"/>
      <c r="E330" s="64"/>
      <c r="F330" s="67"/>
      <c r="G330" s="362"/>
      <c r="H330" s="75"/>
      <c r="I330" s="518"/>
      <c r="J330" s="518"/>
      <c r="K330" s="509"/>
      <c r="L330" s="518"/>
      <c r="M330" s="65"/>
      <c r="N330" s="66"/>
      <c r="O330" s="66"/>
      <c r="P330" s="87" t="str">
        <f>IF(AND('331-CT'!$E$7=TH!H330,OR(N330="331",O330="331")),"x","")</f>
        <v/>
      </c>
      <c r="Q330" s="87" t="str">
        <f>IF(AND(B330='111'!$L$11,OR($N330=$Q$7,$O330=$Q$7)),"x","")</f>
        <v/>
      </c>
      <c r="R330" s="87" t="str">
        <f>IF(AND($N330=$Q$7,$B330&lt;'111'!$L$11),"x","")</f>
        <v/>
      </c>
      <c r="S330" s="87" t="str">
        <f>IF(AND($O330=$Q$7,$B330&lt;'111'!$L$11),"x","")</f>
        <v/>
      </c>
      <c r="T330" s="87" t="str">
        <f>IF(ISERROR(FIND('112'!$M$9,G330,1)),"",IF((AND(FIND('112'!$M$9,G330,1)&gt;=1,B330='112'!$K$9,OR($N330='112'!$I$6,$O330='112'!$I$6))),"x",""))</f>
        <v/>
      </c>
      <c r="U330" s="87" t="str">
        <f>IF(ISERROR(FIND('112'!$M$9,G330,1)),"",IF((AND(FIND('112'!$M$9,G330,1)&gt;=1,B330&lt;'112'!$K$9,$N330='112'!$I$6)),"x",""))</f>
        <v/>
      </c>
      <c r="V330" s="87" t="str">
        <f>IF(ISERROR(FIND('112'!$M$9,G330,1)),"",IF((AND(FIND('112'!$M$9,G330,1)&gt;=1,B330&lt;'112'!$K$9,$O330='112'!$I$6)),"x",""))</f>
        <v/>
      </c>
      <c r="W330" s="87" t="str">
        <f>IF(AND($B330&gt;='1331'!$I$9,$B330&lt;='1331'!$J$9,OR($N330=$W$7,$O330=$W$7)),"x","")</f>
        <v/>
      </c>
      <c r="X330" s="87" t="str">
        <f>IF(AND($N330=$W$7,$B330&lt;'1331'!$I$9),"x","")</f>
        <v/>
      </c>
      <c r="Y330" s="87" t="str">
        <f>IF(AND($O330=$W$7,$B330&lt;'1331'!$I$9),"x","")</f>
        <v/>
      </c>
      <c r="Z330" s="87" t="str">
        <f>IF(AND('341-CT'!$H$9=H330,OR(LEFT(N330,3)=$Z$7,LEFT(O330,3)=$Z$7)),"x","")</f>
        <v/>
      </c>
      <c r="AA330" s="87" t="str">
        <f>IF(OR(TH!N330=TH!$AA$7,O330=TH!$AA$7),"x","")</f>
        <v/>
      </c>
      <c r="AB330" s="87" t="str">
        <f>IF(AND(OR(N330="131",O330="131"),H330='131-CT'!$H$9),"x","")</f>
        <v/>
      </c>
      <c r="AC330" s="87"/>
      <c r="AD330" s="87" t="str">
        <f>IF(AND(MONTH(E330)='IN-NX'!$J$5,'IN-NX'!$D$7=D330),"x","")</f>
        <v/>
      </c>
      <c r="AE330" s="87" t="str">
        <f>IF(AND(OR(LEFT(TH!N330,2)="15",LEFT(TH!O330,2)="15"),'152-CT'!$J$8=TH!F330),"x","")</f>
        <v/>
      </c>
      <c r="AF330" s="87" t="str">
        <f>IF(AND(OR(LEFT(TH!N330,2)="15",LEFT(TH!O330,2)="15"),'THE KHO'!$E$7=TH!F330),"x","")</f>
        <v/>
      </c>
      <c r="AG330" s="87" t="str">
        <f>IF(AND(N330="1521",MONTH(C330)='BK NL'!$M$11),"x","")</f>
        <v/>
      </c>
    </row>
    <row r="331" spans="1:33" ht="15.75" customHeight="1">
      <c r="A331" s="399" t="str">
        <f>IF(B331&lt;&gt;"",IF(AND(B331&gt;=_TM1,B331&lt;=_TM2,OR(TH!N331="1111",TH!O331="1111")),TH!D331,""),"")</f>
        <v/>
      </c>
      <c r="B331" s="63" t="str">
        <f t="shared" si="10"/>
        <v/>
      </c>
      <c r="C331" s="64"/>
      <c r="D331" s="64"/>
      <c r="E331" s="64"/>
      <c r="F331" s="67"/>
      <c r="G331" s="362"/>
      <c r="H331" s="78"/>
      <c r="I331" s="523"/>
      <c r="J331" s="523"/>
      <c r="K331" s="514"/>
      <c r="L331" s="523"/>
      <c r="M331" s="65"/>
      <c r="N331" s="66"/>
      <c r="O331" s="66"/>
      <c r="P331" s="87" t="str">
        <f>IF(AND('331-CT'!$E$7=TH!H331,OR(N331="331",O331="331")),"x","")</f>
        <v/>
      </c>
      <c r="Q331" s="87" t="str">
        <f>IF(AND(B331='111'!$L$11,OR($N331=$Q$7,$O331=$Q$7)),"x","")</f>
        <v/>
      </c>
      <c r="R331" s="87" t="str">
        <f>IF(AND($N331=$Q$7,$B331&lt;'111'!$L$11),"x","")</f>
        <v/>
      </c>
      <c r="S331" s="87" t="str">
        <f>IF(AND($O331=$Q$7,$B331&lt;'111'!$L$11),"x","")</f>
        <v/>
      </c>
      <c r="T331" s="87" t="str">
        <f>IF(ISERROR(FIND('112'!$M$9,G331,1)),"",IF((AND(FIND('112'!$M$9,G331,1)&gt;=1,B331='112'!$K$9,OR($N331='112'!$I$6,$O331='112'!$I$6))),"x",""))</f>
        <v/>
      </c>
      <c r="U331" s="87" t="str">
        <f>IF(ISERROR(FIND('112'!$M$9,G331,1)),"",IF((AND(FIND('112'!$M$9,G331,1)&gt;=1,B331&lt;'112'!$K$9,$N331='112'!$I$6)),"x",""))</f>
        <v/>
      </c>
      <c r="V331" s="87" t="str">
        <f>IF(ISERROR(FIND('112'!$M$9,G331,1)),"",IF((AND(FIND('112'!$M$9,G331,1)&gt;=1,B331&lt;'112'!$K$9,$O331='112'!$I$6)),"x",""))</f>
        <v/>
      </c>
      <c r="W331" s="87" t="str">
        <f>IF(AND($B331&gt;='1331'!$I$9,$B331&lt;='1331'!$J$9,OR($N331=$W$7,$O331=$W$7)),"x","")</f>
        <v/>
      </c>
      <c r="X331" s="87" t="str">
        <f>IF(AND($N331=$W$7,$B331&lt;'1331'!$I$9),"x","")</f>
        <v/>
      </c>
      <c r="Y331" s="87" t="str">
        <f>IF(AND($O331=$W$7,$B331&lt;'1331'!$I$9),"x","")</f>
        <v/>
      </c>
      <c r="Z331" s="87" t="str">
        <f>IF(AND('341-CT'!$H$9=H331,OR(LEFT(N331,3)=$Z$7,LEFT(O331,3)=$Z$7)),"x","")</f>
        <v/>
      </c>
      <c r="AA331" s="87" t="str">
        <f>IF(OR(TH!N331=TH!$AA$7,O331=TH!$AA$7),"x","")</f>
        <v/>
      </c>
      <c r="AB331" s="87" t="str">
        <f>IF(AND(OR(N331="131",O331="131"),H331='131-CT'!$H$9),"x","")</f>
        <v/>
      </c>
      <c r="AC331" s="87"/>
      <c r="AD331" s="87" t="str">
        <f>IF(AND(MONTH(E331)='IN-NX'!$J$5,'IN-NX'!$D$7=D331),"x","")</f>
        <v/>
      </c>
      <c r="AE331" s="87" t="str">
        <f>IF(AND(OR(LEFT(TH!N331,2)="15",LEFT(TH!O331,2)="15"),'152-CT'!$J$8=TH!F331),"x","")</f>
        <v/>
      </c>
      <c r="AF331" s="87" t="str">
        <f>IF(AND(OR(LEFT(TH!N331,2)="15",LEFT(TH!O331,2)="15"),'THE KHO'!$E$7=TH!F331),"x","")</f>
        <v/>
      </c>
      <c r="AG331" s="87" t="str">
        <f>IF(AND(N331="1521",MONTH(C331)='BK NL'!$M$11),"x","")</f>
        <v/>
      </c>
    </row>
    <row r="332" spans="1:33" ht="15.75" customHeight="1">
      <c r="A332" s="399" t="str">
        <f>IF(B332&lt;&gt;"",IF(AND(B332&gt;=_TM1,B332&lt;=_TM2,OR(TH!N332="1111",TH!O332="1111")),TH!D332,""),"")</f>
        <v/>
      </c>
      <c r="B332" s="63" t="str">
        <f t="shared" si="10"/>
        <v/>
      </c>
      <c r="C332" s="64"/>
      <c r="D332" s="64"/>
      <c r="E332" s="64"/>
      <c r="F332" s="67"/>
      <c r="G332" s="362"/>
      <c r="H332" s="78"/>
      <c r="I332" s="523"/>
      <c r="J332" s="523"/>
      <c r="K332" s="514"/>
      <c r="L332" s="523"/>
      <c r="M332" s="65"/>
      <c r="N332" s="66"/>
      <c r="O332" s="66"/>
      <c r="P332" s="87" t="str">
        <f>IF(AND('331-CT'!$E$7=TH!H332,OR(N332="331",O332="331")),"x","")</f>
        <v/>
      </c>
      <c r="Q332" s="87" t="str">
        <f>IF(AND(B332='111'!$L$11,OR($N332=$Q$7,$O332=$Q$7)),"x","")</f>
        <v/>
      </c>
      <c r="R332" s="87" t="str">
        <f>IF(AND($N332=$Q$7,$B332&lt;'111'!$L$11),"x","")</f>
        <v/>
      </c>
      <c r="S332" s="87" t="str">
        <f>IF(AND($O332=$Q$7,$B332&lt;'111'!$L$11),"x","")</f>
        <v/>
      </c>
      <c r="T332" s="87" t="str">
        <f>IF(ISERROR(FIND('112'!$M$9,G332,1)),"",IF((AND(FIND('112'!$M$9,G332,1)&gt;=1,B332='112'!$K$9,OR($N332='112'!$I$6,$O332='112'!$I$6))),"x",""))</f>
        <v/>
      </c>
      <c r="U332" s="87" t="str">
        <f>IF(ISERROR(FIND('112'!$M$9,G332,1)),"",IF((AND(FIND('112'!$M$9,G332,1)&gt;=1,B332&lt;'112'!$K$9,$N332='112'!$I$6)),"x",""))</f>
        <v/>
      </c>
      <c r="V332" s="87" t="str">
        <f>IF(ISERROR(FIND('112'!$M$9,G332,1)),"",IF((AND(FIND('112'!$M$9,G332,1)&gt;=1,B332&lt;'112'!$K$9,$O332='112'!$I$6)),"x",""))</f>
        <v/>
      </c>
      <c r="W332" s="87" t="str">
        <f>IF(AND($B332&gt;='1331'!$I$9,$B332&lt;='1331'!$J$9,OR($N332=$W$7,$O332=$W$7)),"x","")</f>
        <v/>
      </c>
      <c r="X332" s="87" t="str">
        <f>IF(AND($N332=$W$7,$B332&lt;'1331'!$I$9),"x","")</f>
        <v/>
      </c>
      <c r="Y332" s="87" t="str">
        <f>IF(AND($O332=$W$7,$B332&lt;'1331'!$I$9),"x","")</f>
        <v/>
      </c>
      <c r="Z332" s="87" t="str">
        <f>IF(AND('341-CT'!$H$9=H332,OR(LEFT(N332,3)=$Z$7,LEFT(O332,3)=$Z$7)),"x","")</f>
        <v/>
      </c>
      <c r="AA332" s="87" t="str">
        <f>IF(OR(TH!N332=TH!$AA$7,O332=TH!$AA$7),"x","")</f>
        <v/>
      </c>
      <c r="AB332" s="87" t="str">
        <f>IF(AND(OR(N332="131",O332="131"),H332='131-CT'!$H$9),"x","")</f>
        <v/>
      </c>
      <c r="AC332" s="87"/>
      <c r="AD332" s="87" t="str">
        <f>IF(AND(MONTH(E332)='IN-NX'!$J$5,'IN-NX'!$D$7=D332),"x","")</f>
        <v/>
      </c>
      <c r="AE332" s="87" t="str">
        <f>IF(AND(OR(LEFT(TH!N332,2)="15",LEFT(TH!O332,2)="15"),'152-CT'!$J$8=TH!F332),"x","")</f>
        <v/>
      </c>
      <c r="AF332" s="87" t="str">
        <f>IF(AND(OR(LEFT(TH!N332,2)="15",LEFT(TH!O332,2)="15"),'THE KHO'!$E$7=TH!F332),"x","")</f>
        <v/>
      </c>
      <c r="AG332" s="87" t="str">
        <f>IF(AND(N332="1521",MONTH(C332)='BK NL'!$M$11),"x","")</f>
        <v/>
      </c>
    </row>
    <row r="333" spans="1:33" ht="15.75" customHeight="1">
      <c r="A333" s="399" t="str">
        <f>IF(B333&lt;&gt;"",IF(AND(B333&gt;=_TM1,B333&lt;=_TM2,OR(TH!N333="1111",TH!O333="1111")),TH!D333,""),"")</f>
        <v/>
      </c>
      <c r="B333" s="63" t="str">
        <f t="shared" si="10"/>
        <v/>
      </c>
      <c r="C333" s="64"/>
      <c r="D333" s="64"/>
      <c r="E333" s="64"/>
      <c r="F333" s="67"/>
      <c r="G333" s="362"/>
      <c r="H333" s="409"/>
      <c r="I333" s="522"/>
      <c r="J333" s="522"/>
      <c r="K333" s="513"/>
      <c r="L333" s="522"/>
      <c r="M333" s="65"/>
      <c r="N333" s="66"/>
      <c r="O333" s="66"/>
      <c r="P333" s="87" t="str">
        <f>IF(AND('331-CT'!$E$7=TH!H333,OR(N333="331",O333="331")),"x","")</f>
        <v/>
      </c>
      <c r="Q333" s="87" t="str">
        <f>IF(AND(B333='111'!$L$11,OR($N333=$Q$7,$O333=$Q$7)),"x","")</f>
        <v/>
      </c>
      <c r="R333" s="87" t="str">
        <f>IF(AND($N333=$Q$7,$B333&lt;'111'!$L$11),"x","")</f>
        <v/>
      </c>
      <c r="S333" s="87" t="str">
        <f>IF(AND($O333=$Q$7,$B333&lt;'111'!$L$11),"x","")</f>
        <v/>
      </c>
      <c r="T333" s="87" t="str">
        <f>IF(ISERROR(FIND('112'!$M$9,G333,1)),"",IF((AND(FIND('112'!$M$9,G333,1)&gt;=1,B333='112'!$K$9,OR($N333='112'!$I$6,$O333='112'!$I$6))),"x",""))</f>
        <v/>
      </c>
      <c r="U333" s="87" t="str">
        <f>IF(ISERROR(FIND('112'!$M$9,G333,1)),"",IF((AND(FIND('112'!$M$9,G333,1)&gt;=1,B333&lt;'112'!$K$9,$N333='112'!$I$6)),"x",""))</f>
        <v/>
      </c>
      <c r="V333" s="87" t="str">
        <f>IF(ISERROR(FIND('112'!$M$9,G333,1)),"",IF((AND(FIND('112'!$M$9,G333,1)&gt;=1,B333&lt;'112'!$K$9,$O333='112'!$I$6)),"x",""))</f>
        <v/>
      </c>
      <c r="W333" s="87" t="str">
        <f>IF(AND($B333&gt;='1331'!$I$9,$B333&lt;='1331'!$J$9,OR($N333=$W$7,$O333=$W$7)),"x","")</f>
        <v/>
      </c>
      <c r="X333" s="87" t="str">
        <f>IF(AND($N333=$W$7,$B333&lt;'1331'!$I$9),"x","")</f>
        <v/>
      </c>
      <c r="Y333" s="87" t="str">
        <f>IF(AND($O333=$W$7,$B333&lt;'1331'!$I$9),"x","")</f>
        <v/>
      </c>
      <c r="Z333" s="87" t="str">
        <f>IF(AND('341-CT'!$H$9=H333,OR(LEFT(N333,3)=$Z$7,LEFT(O333,3)=$Z$7)),"x","")</f>
        <v/>
      </c>
      <c r="AA333" s="87" t="str">
        <f>IF(OR(TH!N333=TH!$AA$7,O333=TH!$AA$7),"x","")</f>
        <v/>
      </c>
      <c r="AB333" s="87" t="str">
        <f>IF(AND(OR(N333="131",O333="131"),H333='131-CT'!$H$9),"x","")</f>
        <v/>
      </c>
      <c r="AC333" s="87"/>
      <c r="AD333" s="87" t="str">
        <f>IF(AND(MONTH(E333)='IN-NX'!$J$5,'IN-NX'!$D$7=D333),"x","")</f>
        <v/>
      </c>
      <c r="AE333" s="87" t="str">
        <f>IF(AND(OR(LEFT(TH!N333,2)="15",LEFT(TH!O333,2)="15"),'152-CT'!$J$8=TH!F333),"x","")</f>
        <v/>
      </c>
      <c r="AF333" s="87" t="str">
        <f>IF(AND(OR(LEFT(TH!N333,2)="15",LEFT(TH!O333,2)="15"),'THE KHO'!$E$7=TH!F333),"x","")</f>
        <v/>
      </c>
      <c r="AG333" s="87" t="str">
        <f>IF(AND(N333="1521",MONTH(C333)='BK NL'!$M$11),"x","")</f>
        <v/>
      </c>
    </row>
    <row r="334" spans="1:33" ht="15.75" customHeight="1">
      <c r="A334" s="399" t="str">
        <f>IF(B334&lt;&gt;"",IF(AND(B334&gt;=_TM1,B334&lt;=_TM2,OR(TH!N334="1111",TH!O334="1111")),TH!D334,""),"")</f>
        <v/>
      </c>
      <c r="B334" s="63" t="str">
        <f t="shared" si="10"/>
        <v/>
      </c>
      <c r="C334" s="64"/>
      <c r="D334" s="64"/>
      <c r="E334" s="64"/>
      <c r="F334" s="67"/>
      <c r="G334" s="362"/>
      <c r="H334" s="75"/>
      <c r="I334" s="518"/>
      <c r="J334" s="518"/>
      <c r="K334" s="509"/>
      <c r="L334" s="518"/>
      <c r="M334" s="65"/>
      <c r="N334" s="66"/>
      <c r="O334" s="66"/>
      <c r="P334" s="87" t="str">
        <f>IF(AND('331-CT'!$E$7=TH!H334,OR(N334="331",O334="331")),"x","")</f>
        <v/>
      </c>
      <c r="Q334" s="87" t="str">
        <f>IF(AND(B334='111'!$L$11,OR($N334=$Q$7,$O334=$Q$7)),"x","")</f>
        <v/>
      </c>
      <c r="R334" s="87" t="str">
        <f>IF(AND($N334=$Q$7,$B334&lt;'111'!$L$11),"x","")</f>
        <v/>
      </c>
      <c r="S334" s="87" t="str">
        <f>IF(AND($O334=$Q$7,$B334&lt;'111'!$L$11),"x","")</f>
        <v/>
      </c>
      <c r="T334" s="87" t="str">
        <f>IF(ISERROR(FIND('112'!$M$9,G334,1)),"",IF((AND(FIND('112'!$M$9,G334,1)&gt;=1,B334='112'!$K$9,OR($N334='112'!$I$6,$O334='112'!$I$6))),"x",""))</f>
        <v/>
      </c>
      <c r="U334" s="87" t="str">
        <f>IF(ISERROR(FIND('112'!$M$9,G334,1)),"",IF((AND(FIND('112'!$M$9,G334,1)&gt;=1,B334&lt;'112'!$K$9,$N334='112'!$I$6)),"x",""))</f>
        <v/>
      </c>
      <c r="V334" s="87" t="str">
        <f>IF(ISERROR(FIND('112'!$M$9,G334,1)),"",IF((AND(FIND('112'!$M$9,G334,1)&gt;=1,B334&lt;'112'!$K$9,$O334='112'!$I$6)),"x",""))</f>
        <v/>
      </c>
      <c r="W334" s="87" t="str">
        <f>IF(AND($B334&gt;='1331'!$I$9,$B334&lt;='1331'!$J$9,OR($N334=$W$7,$O334=$W$7)),"x","")</f>
        <v/>
      </c>
      <c r="X334" s="87" t="str">
        <f>IF(AND($N334=$W$7,$B334&lt;'1331'!$I$9),"x","")</f>
        <v/>
      </c>
      <c r="Y334" s="87" t="str">
        <f>IF(AND($O334=$W$7,$B334&lt;'1331'!$I$9),"x","")</f>
        <v/>
      </c>
      <c r="Z334" s="87" t="str">
        <f>IF(AND('341-CT'!$H$9=H334,OR(LEFT(N334,3)=$Z$7,LEFT(O334,3)=$Z$7)),"x","")</f>
        <v/>
      </c>
      <c r="AA334" s="87" t="str">
        <f>IF(OR(TH!N334=TH!$AA$7,O334=TH!$AA$7),"x","")</f>
        <v/>
      </c>
      <c r="AB334" s="87" t="str">
        <f>IF(AND(OR(N334="131",O334="131"),H334='131-CT'!$H$9),"x","")</f>
        <v/>
      </c>
      <c r="AC334" s="87"/>
      <c r="AD334" s="87" t="str">
        <f>IF(AND(MONTH(E334)='IN-NX'!$J$5,'IN-NX'!$D$7=D334),"x","")</f>
        <v/>
      </c>
      <c r="AE334" s="87" t="str">
        <f>IF(AND(OR(LEFT(TH!N334,2)="15",LEFT(TH!O334,2)="15"),'152-CT'!$J$8=TH!F334),"x","")</f>
        <v/>
      </c>
      <c r="AF334" s="87" t="str">
        <f>IF(AND(OR(LEFT(TH!N334,2)="15",LEFT(TH!O334,2)="15"),'THE KHO'!$E$7=TH!F334),"x","")</f>
        <v/>
      </c>
      <c r="AG334" s="87" t="str">
        <f>IF(AND(N334="1521",MONTH(C334)='BK NL'!$M$11),"x","")</f>
        <v/>
      </c>
    </row>
    <row r="335" spans="1:33" ht="15.75" customHeight="1">
      <c r="A335" s="399" t="str">
        <f>IF(B335&lt;&gt;"",IF(AND(B335&gt;=_TM1,B335&lt;=_TM2,OR(TH!N335="1111",TH!O335="1111")),TH!D335,""),"")</f>
        <v/>
      </c>
      <c r="B335" s="63" t="str">
        <f t="shared" si="10"/>
        <v/>
      </c>
      <c r="C335" s="64"/>
      <c r="D335" s="64"/>
      <c r="E335" s="64"/>
      <c r="F335" s="67"/>
      <c r="G335" s="362"/>
      <c r="H335" s="75"/>
      <c r="I335" s="518"/>
      <c r="J335" s="518"/>
      <c r="K335" s="509"/>
      <c r="L335" s="518"/>
      <c r="M335" s="65"/>
      <c r="N335" s="66"/>
      <c r="O335" s="66"/>
      <c r="P335" s="87" t="str">
        <f>IF(AND('331-CT'!$E$7=TH!H335,OR(N335="331",O335="331")),"x","")</f>
        <v/>
      </c>
      <c r="Q335" s="87" t="str">
        <f>IF(AND(B335='111'!$L$11,OR($N335=$Q$7,$O335=$Q$7)),"x","")</f>
        <v/>
      </c>
      <c r="R335" s="87" t="str">
        <f>IF(AND($N335=$Q$7,$B335&lt;'111'!$L$11),"x","")</f>
        <v/>
      </c>
      <c r="S335" s="87" t="str">
        <f>IF(AND($O335=$Q$7,$B335&lt;'111'!$L$11),"x","")</f>
        <v/>
      </c>
      <c r="T335" s="87" t="str">
        <f>IF(ISERROR(FIND('112'!$M$9,G335,1)),"",IF((AND(FIND('112'!$M$9,G335,1)&gt;=1,B335='112'!$K$9,OR($N335='112'!$I$6,$O335='112'!$I$6))),"x",""))</f>
        <v/>
      </c>
      <c r="U335" s="87" t="str">
        <f>IF(ISERROR(FIND('112'!$M$9,G335,1)),"",IF((AND(FIND('112'!$M$9,G335,1)&gt;=1,B335&lt;'112'!$K$9,$N335='112'!$I$6)),"x",""))</f>
        <v/>
      </c>
      <c r="V335" s="87" t="str">
        <f>IF(ISERROR(FIND('112'!$M$9,G335,1)),"",IF((AND(FIND('112'!$M$9,G335,1)&gt;=1,B335&lt;'112'!$K$9,$O335='112'!$I$6)),"x",""))</f>
        <v/>
      </c>
      <c r="W335" s="87" t="str">
        <f>IF(AND($B335&gt;='1331'!$I$9,$B335&lt;='1331'!$J$9,OR($N335=$W$7,$O335=$W$7)),"x","")</f>
        <v/>
      </c>
      <c r="X335" s="87" t="str">
        <f>IF(AND($N335=$W$7,$B335&lt;'1331'!$I$9),"x","")</f>
        <v/>
      </c>
      <c r="Y335" s="87" t="str">
        <f>IF(AND($O335=$W$7,$B335&lt;'1331'!$I$9),"x","")</f>
        <v/>
      </c>
      <c r="Z335" s="87" t="str">
        <f>IF(AND('341-CT'!$H$9=H335,OR(LEFT(N335,3)=$Z$7,LEFT(O335,3)=$Z$7)),"x","")</f>
        <v/>
      </c>
      <c r="AA335" s="87" t="str">
        <f>IF(OR(TH!N335=TH!$AA$7,O335=TH!$AA$7),"x","")</f>
        <v/>
      </c>
      <c r="AB335" s="87" t="str">
        <f>IF(AND(OR(N335="131",O335="131"),H335='131-CT'!$H$9),"x","")</f>
        <v/>
      </c>
      <c r="AC335" s="87"/>
      <c r="AD335" s="87" t="str">
        <f>IF(AND(MONTH(E335)='IN-NX'!$J$5,'IN-NX'!$D$7=D335),"x","")</f>
        <v/>
      </c>
      <c r="AE335" s="87" t="str">
        <f>IF(AND(OR(LEFT(TH!N335,2)="15",LEFT(TH!O335,2)="15"),'152-CT'!$J$8=TH!F335),"x","")</f>
        <v/>
      </c>
      <c r="AF335" s="87" t="str">
        <f>IF(AND(OR(LEFT(TH!N335,2)="15",LEFT(TH!O335,2)="15"),'THE KHO'!$E$7=TH!F335),"x","")</f>
        <v/>
      </c>
      <c r="AG335" s="87" t="str">
        <f>IF(AND(N335="1521",MONTH(C335)='BK NL'!$M$11),"x","")</f>
        <v/>
      </c>
    </row>
    <row r="336" spans="1:33" ht="15.75" customHeight="1">
      <c r="A336" s="399" t="str">
        <f>IF(B336&lt;&gt;"",IF(AND(B336&gt;=_TM1,B336&lt;=_TM2,OR(TH!N336="1111",TH!O336="1111")),TH!D336,""),"")</f>
        <v/>
      </c>
      <c r="B336" s="63" t="str">
        <f t="shared" si="10"/>
        <v/>
      </c>
      <c r="C336" s="64"/>
      <c r="D336" s="64"/>
      <c r="E336" s="64"/>
      <c r="F336" s="70"/>
      <c r="G336" s="362"/>
      <c r="H336" s="75"/>
      <c r="I336" s="518"/>
      <c r="J336" s="518"/>
      <c r="K336" s="509"/>
      <c r="L336" s="518"/>
      <c r="M336" s="65"/>
      <c r="N336" s="66"/>
      <c r="O336" s="66"/>
      <c r="P336" s="87" t="str">
        <f>IF(AND('331-CT'!$E$7=TH!H336,OR(N336="331",O336="331")),"x","")</f>
        <v/>
      </c>
      <c r="Q336" s="87" t="str">
        <f>IF(AND(B336='111'!$L$11,OR($N336=$Q$7,$O336=$Q$7)),"x","")</f>
        <v/>
      </c>
      <c r="R336" s="87" t="str">
        <f>IF(AND($N336=$Q$7,$B336&lt;'111'!$L$11),"x","")</f>
        <v/>
      </c>
      <c r="S336" s="87" t="str">
        <f>IF(AND($O336=$Q$7,$B336&lt;'111'!$L$11),"x","")</f>
        <v/>
      </c>
      <c r="T336" s="87" t="str">
        <f>IF(ISERROR(FIND('112'!$M$9,G336,1)),"",IF((AND(FIND('112'!$M$9,G336,1)&gt;=1,B336='112'!$K$9,OR($N336='112'!$I$6,$O336='112'!$I$6))),"x",""))</f>
        <v/>
      </c>
      <c r="U336" s="87" t="str">
        <f>IF(ISERROR(FIND('112'!$M$9,G336,1)),"",IF((AND(FIND('112'!$M$9,G336,1)&gt;=1,B336&lt;'112'!$K$9,$N336='112'!$I$6)),"x",""))</f>
        <v/>
      </c>
      <c r="V336" s="87" t="str">
        <f>IF(ISERROR(FIND('112'!$M$9,G336,1)),"",IF((AND(FIND('112'!$M$9,G336,1)&gt;=1,B336&lt;'112'!$K$9,$O336='112'!$I$6)),"x",""))</f>
        <v/>
      </c>
      <c r="W336" s="87" t="str">
        <f>IF(AND($B336&gt;='1331'!$I$9,$B336&lt;='1331'!$J$9,OR($N336=$W$7,$O336=$W$7)),"x","")</f>
        <v/>
      </c>
      <c r="X336" s="87" t="str">
        <f>IF(AND($N336=$W$7,$B336&lt;'1331'!$I$9),"x","")</f>
        <v/>
      </c>
      <c r="Y336" s="87" t="str">
        <f>IF(AND($O336=$W$7,$B336&lt;'1331'!$I$9),"x","")</f>
        <v/>
      </c>
      <c r="Z336" s="87" t="str">
        <f>IF(AND('341-CT'!$H$9=H336,OR(LEFT(N336,3)=$Z$7,LEFT(O336,3)=$Z$7)),"x","")</f>
        <v/>
      </c>
      <c r="AA336" s="87" t="str">
        <f>IF(OR(TH!N336=TH!$AA$7,O336=TH!$AA$7),"x","")</f>
        <v/>
      </c>
      <c r="AB336" s="87" t="str">
        <f>IF(AND(OR(N336="131",O336="131"),H336='131-CT'!$H$9),"x","")</f>
        <v/>
      </c>
      <c r="AC336" s="87"/>
      <c r="AD336" s="87" t="str">
        <f>IF(AND(MONTH(E336)='IN-NX'!$J$5,'IN-NX'!$D$7=D336),"x","")</f>
        <v/>
      </c>
      <c r="AE336" s="87" t="str">
        <f>IF(AND(OR(LEFT(TH!N336,2)="15",LEFT(TH!O336,2)="15"),'152-CT'!$J$8=TH!F336),"x","")</f>
        <v/>
      </c>
      <c r="AF336" s="87" t="str">
        <f>IF(AND(OR(LEFT(TH!N336,2)="15",LEFT(TH!O336,2)="15"),'THE KHO'!$E$7=TH!F336),"x","")</f>
        <v/>
      </c>
      <c r="AG336" s="87" t="str">
        <f>IF(AND(N336="1521",MONTH(C336)='BK NL'!$M$11),"x","")</f>
        <v/>
      </c>
    </row>
    <row r="337" spans="1:33" ht="15.75" customHeight="1">
      <c r="A337" s="399" t="str">
        <f>IF(B337&lt;&gt;"",IF(AND(B337&gt;=_TM1,B337&lt;=_TM2,OR(TH!N337="1111",TH!O337="1111")),TH!D337,""),"")</f>
        <v/>
      </c>
      <c r="B337" s="63" t="str">
        <f t="shared" si="10"/>
        <v/>
      </c>
      <c r="C337" s="64"/>
      <c r="D337" s="64"/>
      <c r="E337" s="64"/>
      <c r="F337" s="67"/>
      <c r="G337" s="376"/>
      <c r="H337" s="75"/>
      <c r="I337" s="518"/>
      <c r="J337" s="518"/>
      <c r="K337" s="509"/>
      <c r="L337" s="518"/>
      <c r="M337" s="65"/>
      <c r="N337" s="66"/>
      <c r="O337" s="66"/>
      <c r="P337" s="87" t="str">
        <f>IF(AND('331-CT'!$E$7=TH!H337,OR(N337="331",O337="331")),"x","")</f>
        <v/>
      </c>
      <c r="Q337" s="87" t="str">
        <f>IF(AND(B337='111'!$L$11,OR($N337=$Q$7,$O337=$Q$7)),"x","")</f>
        <v/>
      </c>
      <c r="R337" s="87" t="str">
        <f>IF(AND($N337=$Q$7,$B337&lt;'111'!$L$11),"x","")</f>
        <v/>
      </c>
      <c r="S337" s="87" t="str">
        <f>IF(AND($O337=$Q$7,$B337&lt;'111'!$L$11),"x","")</f>
        <v/>
      </c>
      <c r="T337" s="87" t="str">
        <f>IF(ISERROR(FIND('112'!$M$9,G337,1)),"",IF((AND(FIND('112'!$M$9,G337,1)&gt;=1,B337='112'!$K$9,OR($N337='112'!$I$6,$O337='112'!$I$6))),"x",""))</f>
        <v/>
      </c>
      <c r="U337" s="87" t="str">
        <f>IF(ISERROR(FIND('112'!$M$9,G337,1)),"",IF((AND(FIND('112'!$M$9,G337,1)&gt;=1,B337&lt;'112'!$K$9,$N337='112'!$I$6)),"x",""))</f>
        <v/>
      </c>
      <c r="V337" s="87" t="str">
        <f>IF(ISERROR(FIND('112'!$M$9,G337,1)),"",IF((AND(FIND('112'!$M$9,G337,1)&gt;=1,B337&lt;'112'!$K$9,$O337='112'!$I$6)),"x",""))</f>
        <v/>
      </c>
      <c r="W337" s="87" t="str">
        <f>IF(AND($B337&gt;='1331'!$I$9,$B337&lt;='1331'!$J$9,OR($N337=$W$7,$O337=$W$7)),"x","")</f>
        <v/>
      </c>
      <c r="X337" s="87" t="str">
        <f>IF(AND($N337=$W$7,$B337&lt;'1331'!$I$9),"x","")</f>
        <v/>
      </c>
      <c r="Y337" s="87" t="str">
        <f>IF(AND($O337=$W$7,$B337&lt;'1331'!$I$9),"x","")</f>
        <v/>
      </c>
      <c r="Z337" s="87" t="str">
        <f>IF(AND('341-CT'!$H$9=H337,OR(LEFT(N337,3)=$Z$7,LEFT(O337,3)=$Z$7)),"x","")</f>
        <v/>
      </c>
      <c r="AA337" s="87" t="str">
        <f>IF(OR(TH!N337=TH!$AA$7,O337=TH!$AA$7),"x","")</f>
        <v/>
      </c>
      <c r="AB337" s="87" t="str">
        <f>IF(AND(OR(N337="131",O337="131"),H337='131-CT'!$H$9),"x","")</f>
        <v/>
      </c>
      <c r="AC337" s="87"/>
      <c r="AD337" s="87" t="str">
        <f>IF(AND(MONTH(E337)='IN-NX'!$J$5,'IN-NX'!$D$7=D337),"x","")</f>
        <v/>
      </c>
      <c r="AE337" s="87" t="str">
        <f>IF(AND(OR(LEFT(TH!N337,2)="15",LEFT(TH!O337,2)="15"),'152-CT'!$J$8=TH!F337),"x","")</f>
        <v/>
      </c>
      <c r="AF337" s="87" t="str">
        <f>IF(AND(OR(LEFT(TH!N337,2)="15",LEFT(TH!O337,2)="15"),'THE KHO'!$E$7=TH!F337),"x","")</f>
        <v/>
      </c>
      <c r="AG337" s="87" t="str">
        <f>IF(AND(N337="1521",MONTH(C337)='BK NL'!$M$11),"x","")</f>
        <v/>
      </c>
    </row>
    <row r="338" spans="1:33" ht="15.75" customHeight="1">
      <c r="A338" s="399" t="str">
        <f>IF(B338&lt;&gt;"",IF(AND(B338&gt;=_TM1,B338&lt;=_TM2,OR(TH!N338="1111",TH!O338="1111")),TH!D338,""),"")</f>
        <v/>
      </c>
      <c r="B338" s="63" t="str">
        <f t="shared" si="10"/>
        <v/>
      </c>
      <c r="C338" s="64"/>
      <c r="D338" s="64"/>
      <c r="E338" s="64"/>
      <c r="F338" s="67"/>
      <c r="G338" s="376"/>
      <c r="H338" s="75"/>
      <c r="I338" s="518"/>
      <c r="J338" s="518"/>
      <c r="K338" s="509"/>
      <c r="L338" s="518"/>
      <c r="M338" s="65"/>
      <c r="N338" s="66"/>
      <c r="O338" s="66"/>
      <c r="P338" s="87" t="str">
        <f>IF(AND('331-CT'!$E$7=TH!H338,OR(N338="331",O338="331")),"x","")</f>
        <v/>
      </c>
      <c r="Q338" s="87" t="str">
        <f>IF(AND(B338='111'!$L$11,OR($N338=$Q$7,$O338=$Q$7)),"x","")</f>
        <v/>
      </c>
      <c r="R338" s="87" t="str">
        <f>IF(AND($N338=$Q$7,$B338&lt;'111'!$L$11),"x","")</f>
        <v/>
      </c>
      <c r="S338" s="87" t="str">
        <f>IF(AND($O338=$Q$7,$B338&lt;'111'!$L$11),"x","")</f>
        <v/>
      </c>
      <c r="T338" s="87" t="str">
        <f>IF(ISERROR(FIND('112'!$M$9,G338,1)),"",IF((AND(FIND('112'!$M$9,G338,1)&gt;=1,B338='112'!$K$9,OR($N338='112'!$I$6,$O338='112'!$I$6))),"x",""))</f>
        <v/>
      </c>
      <c r="U338" s="87" t="str">
        <f>IF(ISERROR(FIND('112'!$M$9,G338,1)),"",IF((AND(FIND('112'!$M$9,G338,1)&gt;=1,B338&lt;'112'!$K$9,$N338='112'!$I$6)),"x",""))</f>
        <v/>
      </c>
      <c r="V338" s="87" t="str">
        <f>IF(ISERROR(FIND('112'!$M$9,G338,1)),"",IF((AND(FIND('112'!$M$9,G338,1)&gt;=1,B338&lt;'112'!$K$9,$O338='112'!$I$6)),"x",""))</f>
        <v/>
      </c>
      <c r="W338" s="87" t="str">
        <f>IF(AND($B338&gt;='1331'!$I$9,$B338&lt;='1331'!$J$9,OR($N338=$W$7,$O338=$W$7)),"x","")</f>
        <v/>
      </c>
      <c r="X338" s="87" t="str">
        <f>IF(AND($N338=$W$7,$B338&lt;'1331'!$I$9),"x","")</f>
        <v/>
      </c>
      <c r="Y338" s="87" t="str">
        <f>IF(AND($O338=$W$7,$B338&lt;'1331'!$I$9),"x","")</f>
        <v/>
      </c>
      <c r="Z338" s="87" t="str">
        <f>IF(AND('341-CT'!$H$9=H338,OR(LEFT(N338,3)=$Z$7,LEFT(O338,3)=$Z$7)),"x","")</f>
        <v/>
      </c>
      <c r="AA338" s="87" t="str">
        <f>IF(OR(TH!N338=TH!$AA$7,O338=TH!$AA$7),"x","")</f>
        <v/>
      </c>
      <c r="AB338" s="87" t="str">
        <f>IF(AND(OR(N338="131",O338="131"),H338='131-CT'!$H$9),"x","")</f>
        <v/>
      </c>
      <c r="AC338" s="87"/>
      <c r="AD338" s="87" t="str">
        <f>IF(AND(MONTH(E338)='IN-NX'!$J$5,'IN-NX'!$D$7=D338),"x","")</f>
        <v/>
      </c>
      <c r="AE338" s="87" t="str">
        <f>IF(AND(OR(LEFT(TH!N338,2)="15",LEFT(TH!O338,2)="15"),'152-CT'!$J$8=TH!F338),"x","")</f>
        <v/>
      </c>
      <c r="AF338" s="87" t="str">
        <f>IF(AND(OR(LEFT(TH!N338,2)="15",LEFT(TH!O338,2)="15"),'THE KHO'!$E$7=TH!F338),"x","")</f>
        <v/>
      </c>
      <c r="AG338" s="87" t="str">
        <f>IF(AND(N338="1521",MONTH(C338)='BK NL'!$M$11),"x","")</f>
        <v/>
      </c>
    </row>
    <row r="339" spans="1:33" ht="15.75" customHeight="1">
      <c r="A339" s="399" t="str">
        <f>IF(B339&lt;&gt;"",IF(AND(B339&gt;=_TM1,B339&lt;=_TM2,OR(TH!N339="1111",TH!O339="1111")),TH!D339,""),"")</f>
        <v/>
      </c>
      <c r="B339" s="63" t="str">
        <f t="shared" si="10"/>
        <v/>
      </c>
      <c r="C339" s="64"/>
      <c r="D339" s="64"/>
      <c r="E339" s="64"/>
      <c r="F339" s="67"/>
      <c r="G339" s="376"/>
      <c r="H339" s="75"/>
      <c r="I339" s="518"/>
      <c r="J339" s="518"/>
      <c r="K339" s="509"/>
      <c r="L339" s="518"/>
      <c r="M339" s="65"/>
      <c r="N339" s="66"/>
      <c r="O339" s="66"/>
      <c r="P339" s="87" t="str">
        <f>IF(AND('331-CT'!$E$7=TH!H339,OR(N339="331",O339="331")),"x","")</f>
        <v/>
      </c>
      <c r="Q339" s="87" t="str">
        <f>IF(AND(B339='111'!$L$11,OR($N339=$Q$7,$O339=$Q$7)),"x","")</f>
        <v/>
      </c>
      <c r="R339" s="87" t="str">
        <f>IF(AND($N339=$Q$7,$B339&lt;'111'!$L$11),"x","")</f>
        <v/>
      </c>
      <c r="S339" s="87" t="str">
        <f>IF(AND($O339=$Q$7,$B339&lt;'111'!$L$11),"x","")</f>
        <v/>
      </c>
      <c r="T339" s="87" t="str">
        <f>IF(ISERROR(FIND('112'!$M$9,G339,1)),"",IF((AND(FIND('112'!$M$9,G339,1)&gt;=1,B339='112'!$K$9,OR($N339='112'!$I$6,$O339='112'!$I$6))),"x",""))</f>
        <v/>
      </c>
      <c r="U339" s="87" t="str">
        <f>IF(ISERROR(FIND('112'!$M$9,G339,1)),"",IF((AND(FIND('112'!$M$9,G339,1)&gt;=1,B339&lt;'112'!$K$9,$N339='112'!$I$6)),"x",""))</f>
        <v/>
      </c>
      <c r="V339" s="87" t="str">
        <f>IF(ISERROR(FIND('112'!$M$9,G339,1)),"",IF((AND(FIND('112'!$M$9,G339,1)&gt;=1,B339&lt;'112'!$K$9,$O339='112'!$I$6)),"x",""))</f>
        <v/>
      </c>
      <c r="W339" s="87" t="str">
        <f>IF(AND($B339&gt;='1331'!$I$9,$B339&lt;='1331'!$J$9,OR($N339=$W$7,$O339=$W$7)),"x","")</f>
        <v/>
      </c>
      <c r="X339" s="87" t="str">
        <f>IF(AND($N339=$W$7,$B339&lt;'1331'!$I$9),"x","")</f>
        <v/>
      </c>
      <c r="Y339" s="87" t="str">
        <f>IF(AND($O339=$W$7,$B339&lt;'1331'!$I$9),"x","")</f>
        <v/>
      </c>
      <c r="Z339" s="87" t="str">
        <f>IF(AND('341-CT'!$H$9=H339,OR(LEFT(N339,3)=$Z$7,LEFT(O339,3)=$Z$7)),"x","")</f>
        <v/>
      </c>
      <c r="AA339" s="87" t="str">
        <f>IF(OR(TH!N339=TH!$AA$7,O339=TH!$AA$7),"x","")</f>
        <v/>
      </c>
      <c r="AB339" s="87" t="str">
        <f>IF(AND(OR(N339="131",O339="131"),H339='131-CT'!$H$9),"x","")</f>
        <v/>
      </c>
      <c r="AC339" s="87"/>
      <c r="AD339" s="87" t="str">
        <f>IF(AND(MONTH(E339)='IN-NX'!$J$5,'IN-NX'!$D$7=D339),"x","")</f>
        <v/>
      </c>
      <c r="AE339" s="87" t="str">
        <f>IF(AND(OR(LEFT(TH!N339,2)="15",LEFT(TH!O339,2)="15"),'152-CT'!$J$8=TH!F339),"x","")</f>
        <v/>
      </c>
      <c r="AF339" s="87" t="str">
        <f>IF(AND(OR(LEFT(TH!N339,2)="15",LEFT(TH!O339,2)="15"),'THE KHO'!$E$7=TH!F339),"x","")</f>
        <v/>
      </c>
      <c r="AG339" s="87" t="str">
        <f>IF(AND(N339="1521",MONTH(C339)='BK NL'!$M$11),"x","")</f>
        <v/>
      </c>
    </row>
    <row r="340" spans="1:33" ht="15.75" customHeight="1">
      <c r="A340" s="399" t="str">
        <f>IF(B340&lt;&gt;"",IF(AND(B340&gt;=_TM1,B340&lt;=_TM2,OR(TH!N340="1111",TH!O340="1111")),TH!D340,""),"")</f>
        <v/>
      </c>
      <c r="B340" s="63" t="str">
        <f t="shared" si="10"/>
        <v/>
      </c>
      <c r="C340" s="64"/>
      <c r="D340" s="64"/>
      <c r="E340" s="64"/>
      <c r="F340" s="67"/>
      <c r="G340" s="376"/>
      <c r="H340" s="75"/>
      <c r="I340" s="518"/>
      <c r="J340" s="518"/>
      <c r="K340" s="509"/>
      <c r="L340" s="518"/>
      <c r="M340" s="65"/>
      <c r="N340" s="66"/>
      <c r="O340" s="66"/>
      <c r="P340" s="87" t="str">
        <f>IF(AND('331-CT'!$E$7=TH!H340,OR(N340="331",O340="331")),"x","")</f>
        <v/>
      </c>
      <c r="Q340" s="87" t="str">
        <f>IF(AND(B340='111'!$L$11,OR($N340=$Q$7,$O340=$Q$7)),"x","")</f>
        <v/>
      </c>
      <c r="R340" s="87" t="str">
        <f>IF(AND($N340=$Q$7,$B340&lt;'111'!$L$11),"x","")</f>
        <v/>
      </c>
      <c r="S340" s="87" t="str">
        <f>IF(AND($O340=$Q$7,$B340&lt;'111'!$L$11),"x","")</f>
        <v/>
      </c>
      <c r="T340" s="87" t="str">
        <f>IF(ISERROR(FIND('112'!$M$9,G340,1)),"",IF((AND(FIND('112'!$M$9,G340,1)&gt;=1,B340='112'!$K$9,OR($N340='112'!$I$6,$O340='112'!$I$6))),"x",""))</f>
        <v/>
      </c>
      <c r="U340" s="87" t="str">
        <f>IF(ISERROR(FIND('112'!$M$9,G340,1)),"",IF((AND(FIND('112'!$M$9,G340,1)&gt;=1,B340&lt;'112'!$K$9,$N340='112'!$I$6)),"x",""))</f>
        <v/>
      </c>
      <c r="V340" s="87" t="str">
        <f>IF(ISERROR(FIND('112'!$M$9,G340,1)),"",IF((AND(FIND('112'!$M$9,G340,1)&gt;=1,B340&lt;'112'!$K$9,$O340='112'!$I$6)),"x",""))</f>
        <v/>
      </c>
      <c r="W340" s="87" t="str">
        <f>IF(AND($B340&gt;='1331'!$I$9,$B340&lt;='1331'!$J$9,OR($N340=$W$7,$O340=$W$7)),"x","")</f>
        <v/>
      </c>
      <c r="X340" s="87" t="str">
        <f>IF(AND($N340=$W$7,$B340&lt;'1331'!$I$9),"x","")</f>
        <v/>
      </c>
      <c r="Y340" s="87" t="str">
        <f>IF(AND($O340=$W$7,$B340&lt;'1331'!$I$9),"x","")</f>
        <v/>
      </c>
      <c r="Z340" s="87" t="str">
        <f>IF(AND('341-CT'!$H$9=H340,OR(LEFT(N340,3)=$Z$7,LEFT(O340,3)=$Z$7)),"x","")</f>
        <v/>
      </c>
      <c r="AA340" s="87" t="str">
        <f>IF(OR(TH!N340=TH!$AA$7,O340=TH!$AA$7),"x","")</f>
        <v/>
      </c>
      <c r="AB340" s="87" t="str">
        <f>IF(AND(OR(N340="131",O340="131"),H340='131-CT'!$H$9),"x","")</f>
        <v/>
      </c>
      <c r="AC340" s="87"/>
      <c r="AD340" s="87" t="str">
        <f>IF(AND(MONTH(E340)='IN-NX'!$J$5,'IN-NX'!$D$7=D340),"x","")</f>
        <v/>
      </c>
      <c r="AE340" s="87" t="str">
        <f>IF(AND(OR(LEFT(TH!N340,2)="15",LEFT(TH!O340,2)="15"),'152-CT'!$J$8=TH!F340),"x","")</f>
        <v/>
      </c>
      <c r="AF340" s="87" t="str">
        <f>IF(AND(OR(LEFT(TH!N340,2)="15",LEFT(TH!O340,2)="15"),'THE KHO'!$E$7=TH!F340),"x","")</f>
        <v/>
      </c>
      <c r="AG340" s="87" t="str">
        <f>IF(AND(N340="1521",MONTH(C340)='BK NL'!$M$11),"x","")</f>
        <v/>
      </c>
    </row>
    <row r="341" spans="1:33" ht="15.75" customHeight="1">
      <c r="A341" s="399" t="str">
        <f>IF(B341&lt;&gt;"",IF(AND(B341&gt;=_TM1,B341&lt;=_TM2,OR(TH!N341="1111",TH!O341="1111")),TH!D341,""),"")</f>
        <v/>
      </c>
      <c r="B341" s="63" t="str">
        <f t="shared" si="10"/>
        <v/>
      </c>
      <c r="C341" s="64"/>
      <c r="D341" s="64"/>
      <c r="E341" s="64"/>
      <c r="F341" s="67"/>
      <c r="G341" s="362"/>
      <c r="H341" s="75"/>
      <c r="I341" s="518"/>
      <c r="J341" s="518"/>
      <c r="K341" s="509"/>
      <c r="L341" s="518"/>
      <c r="M341" s="65"/>
      <c r="N341" s="66"/>
      <c r="O341" s="66"/>
      <c r="P341" s="87" t="str">
        <f>IF(AND('331-CT'!$E$7=TH!H341,OR(N341="331",O341="331")),"x","")</f>
        <v/>
      </c>
      <c r="Q341" s="87" t="str">
        <f>IF(AND(B341='111'!$L$11,OR($N341=$Q$7,$O341=$Q$7)),"x","")</f>
        <v/>
      </c>
      <c r="R341" s="87" t="str">
        <f>IF(AND($N341=$Q$7,$B341&lt;'111'!$L$11),"x","")</f>
        <v/>
      </c>
      <c r="S341" s="87" t="str">
        <f>IF(AND($O341=$Q$7,$B341&lt;'111'!$L$11),"x","")</f>
        <v/>
      </c>
      <c r="T341" s="87" t="str">
        <f>IF(ISERROR(FIND('112'!$M$9,G341,1)),"",IF((AND(FIND('112'!$M$9,G341,1)&gt;=1,B341='112'!$K$9,OR($N341='112'!$I$6,$O341='112'!$I$6))),"x",""))</f>
        <v/>
      </c>
      <c r="U341" s="87" t="str">
        <f>IF(ISERROR(FIND('112'!$M$9,G341,1)),"",IF((AND(FIND('112'!$M$9,G341,1)&gt;=1,B341&lt;'112'!$K$9,$N341='112'!$I$6)),"x",""))</f>
        <v/>
      </c>
      <c r="V341" s="87" t="str">
        <f>IF(ISERROR(FIND('112'!$M$9,G341,1)),"",IF((AND(FIND('112'!$M$9,G341,1)&gt;=1,B341&lt;'112'!$K$9,$O341='112'!$I$6)),"x",""))</f>
        <v/>
      </c>
      <c r="W341" s="87" t="str">
        <f>IF(AND($B341&gt;='1331'!$I$9,$B341&lt;='1331'!$J$9,OR($N341=$W$7,$O341=$W$7)),"x","")</f>
        <v/>
      </c>
      <c r="X341" s="87" t="str">
        <f>IF(AND($N341=$W$7,$B341&lt;'1331'!$I$9),"x","")</f>
        <v/>
      </c>
      <c r="Y341" s="87" t="str">
        <f>IF(AND($O341=$W$7,$B341&lt;'1331'!$I$9),"x","")</f>
        <v/>
      </c>
      <c r="Z341" s="87" t="str">
        <f>IF(AND('341-CT'!$H$9=H341,OR(LEFT(N341,3)=$Z$7,LEFT(O341,3)=$Z$7)),"x","")</f>
        <v/>
      </c>
      <c r="AA341" s="87" t="str">
        <f>IF(OR(TH!N341=TH!$AA$7,O341=TH!$AA$7),"x","")</f>
        <v/>
      </c>
      <c r="AB341" s="87" t="str">
        <f>IF(AND(OR(N341="131",O341="131"),H341='131-CT'!$H$9),"x","")</f>
        <v/>
      </c>
      <c r="AC341" s="87"/>
      <c r="AD341" s="87" t="str">
        <f>IF(AND(MONTH(E341)='IN-NX'!$J$5,'IN-NX'!$D$7=D341),"x","")</f>
        <v/>
      </c>
      <c r="AE341" s="87" t="str">
        <f>IF(AND(OR(LEFT(TH!N341,2)="15",LEFT(TH!O341,2)="15"),'152-CT'!$J$8=TH!F341),"x","")</f>
        <v/>
      </c>
      <c r="AF341" s="87" t="str">
        <f>IF(AND(OR(LEFT(TH!N341,2)="15",LEFT(TH!O341,2)="15"),'THE KHO'!$E$7=TH!F341),"x","")</f>
        <v/>
      </c>
      <c r="AG341" s="87" t="str">
        <f>IF(AND(N341="1521",MONTH(C341)='BK NL'!$M$11),"x","")</f>
        <v/>
      </c>
    </row>
    <row r="342" spans="1:33" ht="15.75" customHeight="1">
      <c r="A342" s="399" t="str">
        <f>IF(B342&lt;&gt;"",IF(AND(B342&gt;=_TM1,B342&lt;=_TM2,OR(TH!N342="1111",TH!O342="1111")),TH!D342,""),"")</f>
        <v/>
      </c>
      <c r="B342" s="63" t="str">
        <f t="shared" si="10"/>
        <v/>
      </c>
      <c r="C342" s="64"/>
      <c r="D342" s="64"/>
      <c r="E342" s="64"/>
      <c r="F342" s="67"/>
      <c r="G342" s="362"/>
      <c r="H342" s="75"/>
      <c r="I342" s="518"/>
      <c r="J342" s="518"/>
      <c r="K342" s="509"/>
      <c r="L342" s="518"/>
      <c r="M342" s="65"/>
      <c r="N342" s="66"/>
      <c r="O342" s="66"/>
      <c r="P342" s="87" t="str">
        <f>IF(AND('331-CT'!$E$7=TH!H342,OR(N342="331",O342="331")),"x","")</f>
        <v/>
      </c>
      <c r="Q342" s="87" t="str">
        <f>IF(AND(B342='111'!$L$11,OR($N342=$Q$7,$O342=$Q$7)),"x","")</f>
        <v/>
      </c>
      <c r="R342" s="87" t="str">
        <f>IF(AND($N342=$Q$7,$B342&lt;'111'!$L$11),"x","")</f>
        <v/>
      </c>
      <c r="S342" s="87" t="str">
        <f>IF(AND($O342=$Q$7,$B342&lt;'111'!$L$11),"x","")</f>
        <v/>
      </c>
      <c r="T342" s="87" t="str">
        <f>IF(ISERROR(FIND('112'!$M$9,G342,1)),"",IF((AND(FIND('112'!$M$9,G342,1)&gt;=1,B342='112'!$K$9,OR($N342='112'!$I$6,$O342='112'!$I$6))),"x",""))</f>
        <v/>
      </c>
      <c r="U342" s="87" t="str">
        <f>IF(ISERROR(FIND('112'!$M$9,G342,1)),"",IF((AND(FIND('112'!$M$9,G342,1)&gt;=1,B342&lt;'112'!$K$9,$N342='112'!$I$6)),"x",""))</f>
        <v/>
      </c>
      <c r="V342" s="87" t="str">
        <f>IF(ISERROR(FIND('112'!$M$9,G342,1)),"",IF((AND(FIND('112'!$M$9,G342,1)&gt;=1,B342&lt;'112'!$K$9,$O342='112'!$I$6)),"x",""))</f>
        <v/>
      </c>
      <c r="W342" s="87" t="str">
        <f>IF(AND($B342&gt;='1331'!$I$9,$B342&lt;='1331'!$J$9,OR($N342=$W$7,$O342=$W$7)),"x","")</f>
        <v/>
      </c>
      <c r="X342" s="87" t="str">
        <f>IF(AND($N342=$W$7,$B342&lt;'1331'!$I$9),"x","")</f>
        <v/>
      </c>
      <c r="Y342" s="87" t="str">
        <f>IF(AND($O342=$W$7,$B342&lt;'1331'!$I$9),"x","")</f>
        <v/>
      </c>
      <c r="Z342" s="87" t="str">
        <f>IF(AND('341-CT'!$H$9=H342,OR(LEFT(N342,3)=$Z$7,LEFT(O342,3)=$Z$7)),"x","")</f>
        <v/>
      </c>
      <c r="AA342" s="87" t="str">
        <f>IF(OR(TH!N342=TH!$AA$7,O342=TH!$AA$7),"x","")</f>
        <v/>
      </c>
      <c r="AB342" s="87" t="str">
        <f>IF(AND(OR(N342="131",O342="131"),H342='131-CT'!$H$9),"x","")</f>
        <v/>
      </c>
      <c r="AC342" s="87"/>
      <c r="AD342" s="87" t="str">
        <f>IF(AND(MONTH(E342)='IN-NX'!$J$5,'IN-NX'!$D$7=D342),"x","")</f>
        <v/>
      </c>
      <c r="AE342" s="87" t="str">
        <f>IF(AND(OR(LEFT(TH!N342,2)="15",LEFT(TH!O342,2)="15"),'152-CT'!$J$8=TH!F342),"x","")</f>
        <v/>
      </c>
      <c r="AF342" s="87" t="str">
        <f>IF(AND(OR(LEFT(TH!N342,2)="15",LEFT(TH!O342,2)="15"),'THE KHO'!$E$7=TH!F342),"x","")</f>
        <v/>
      </c>
      <c r="AG342" s="87" t="str">
        <f>IF(AND(N342="1521",MONTH(C342)='BK NL'!$M$11),"x","")</f>
        <v/>
      </c>
    </row>
    <row r="343" spans="1:33" ht="15.75" customHeight="1">
      <c r="A343" s="399" t="str">
        <f>IF(B343&lt;&gt;"",IF(AND(B343&gt;=_TM1,B343&lt;=_TM2,OR(TH!N343="1111",TH!O343="1111")),TH!D343,""),"")</f>
        <v/>
      </c>
      <c r="B343" s="63" t="str">
        <f t="shared" si="10"/>
        <v/>
      </c>
      <c r="C343" s="64"/>
      <c r="D343" s="64"/>
      <c r="E343" s="64"/>
      <c r="F343" s="67"/>
      <c r="G343" s="362"/>
      <c r="H343" s="75"/>
      <c r="I343" s="518"/>
      <c r="J343" s="518"/>
      <c r="K343" s="509"/>
      <c r="L343" s="518"/>
      <c r="M343" s="65"/>
      <c r="N343" s="66"/>
      <c r="O343" s="66"/>
      <c r="P343" s="87" t="str">
        <f>IF(AND('331-CT'!$E$7=TH!H343,OR(N343="331",O343="331")),"x","")</f>
        <v/>
      </c>
      <c r="Q343" s="87" t="str">
        <f>IF(AND(B343='111'!$L$11,OR($N343=$Q$7,$O343=$Q$7)),"x","")</f>
        <v/>
      </c>
      <c r="R343" s="87" t="str">
        <f>IF(AND($N343=$Q$7,$B343&lt;'111'!$L$11),"x","")</f>
        <v/>
      </c>
      <c r="S343" s="87" t="str">
        <f>IF(AND($O343=$Q$7,$B343&lt;'111'!$L$11),"x","")</f>
        <v/>
      </c>
      <c r="T343" s="87" t="str">
        <f>IF(ISERROR(FIND('112'!$M$9,G343,1)),"",IF((AND(FIND('112'!$M$9,G343,1)&gt;=1,B343='112'!$K$9,OR($N343='112'!$I$6,$O343='112'!$I$6))),"x",""))</f>
        <v/>
      </c>
      <c r="U343" s="87" t="str">
        <f>IF(ISERROR(FIND('112'!$M$9,G343,1)),"",IF((AND(FIND('112'!$M$9,G343,1)&gt;=1,B343&lt;'112'!$K$9,$N343='112'!$I$6)),"x",""))</f>
        <v/>
      </c>
      <c r="V343" s="87" t="str">
        <f>IF(ISERROR(FIND('112'!$M$9,G343,1)),"",IF((AND(FIND('112'!$M$9,G343,1)&gt;=1,B343&lt;'112'!$K$9,$O343='112'!$I$6)),"x",""))</f>
        <v/>
      </c>
      <c r="W343" s="87" t="str">
        <f>IF(AND($B343&gt;='1331'!$I$9,$B343&lt;='1331'!$J$9,OR($N343=$W$7,$O343=$W$7)),"x","")</f>
        <v/>
      </c>
      <c r="X343" s="87" t="str">
        <f>IF(AND($N343=$W$7,$B343&lt;'1331'!$I$9),"x","")</f>
        <v/>
      </c>
      <c r="Y343" s="87" t="str">
        <f>IF(AND($O343=$W$7,$B343&lt;'1331'!$I$9),"x","")</f>
        <v/>
      </c>
      <c r="Z343" s="87" t="str">
        <f>IF(AND('341-CT'!$H$9=H343,OR(LEFT(N343,3)=$Z$7,LEFT(O343,3)=$Z$7)),"x","")</f>
        <v/>
      </c>
      <c r="AA343" s="87" t="str">
        <f>IF(OR(TH!N343=TH!$AA$7,O343=TH!$AA$7),"x","")</f>
        <v/>
      </c>
      <c r="AB343" s="87" t="str">
        <f>IF(AND(OR(N343="131",O343="131"),H343='131-CT'!$H$9),"x","")</f>
        <v/>
      </c>
      <c r="AC343" s="87"/>
      <c r="AD343" s="87" t="str">
        <f>IF(AND(MONTH(E343)='IN-NX'!$J$5,'IN-NX'!$D$7=D343),"x","")</f>
        <v/>
      </c>
      <c r="AE343" s="87" t="str">
        <f>IF(AND(OR(LEFT(TH!N343,2)="15",LEFT(TH!O343,2)="15"),'152-CT'!$J$8=TH!F343),"x","")</f>
        <v/>
      </c>
      <c r="AF343" s="87" t="str">
        <f>IF(AND(OR(LEFT(TH!N343,2)="15",LEFT(TH!O343,2)="15"),'THE KHO'!$E$7=TH!F343),"x","")</f>
        <v/>
      </c>
      <c r="AG343" s="87" t="str">
        <f>IF(AND(N343="1521",MONTH(C343)='BK NL'!$M$11),"x","")</f>
        <v/>
      </c>
    </row>
    <row r="344" spans="1:33" ht="15.75" customHeight="1">
      <c r="A344" s="399" t="str">
        <f>IF(B344&lt;&gt;"",IF(AND(B344&gt;=_TM1,B344&lt;=_TM2,OR(TH!N344="1111",TH!O344="1111")),TH!D344,""),"")</f>
        <v/>
      </c>
      <c r="B344" s="63" t="str">
        <f t="shared" si="10"/>
        <v/>
      </c>
      <c r="C344" s="64"/>
      <c r="D344" s="64"/>
      <c r="E344" s="64"/>
      <c r="F344" s="67"/>
      <c r="G344" s="362"/>
      <c r="H344" s="75"/>
      <c r="I344" s="518"/>
      <c r="J344" s="518"/>
      <c r="K344" s="509"/>
      <c r="L344" s="518"/>
      <c r="M344" s="65"/>
      <c r="N344" s="66"/>
      <c r="O344" s="66"/>
      <c r="P344" s="87" t="str">
        <f>IF(AND('331-CT'!$E$7=TH!H344,OR(N344="331",O344="331")),"x","")</f>
        <v/>
      </c>
      <c r="Q344" s="87" t="str">
        <f>IF(AND(B344='111'!$L$11,OR($N344=$Q$7,$O344=$Q$7)),"x","")</f>
        <v/>
      </c>
      <c r="R344" s="87" t="str">
        <f>IF(AND($N344=$Q$7,$B344&lt;'111'!$L$11),"x","")</f>
        <v/>
      </c>
      <c r="S344" s="87" t="str">
        <f>IF(AND($O344=$Q$7,$B344&lt;'111'!$L$11),"x","")</f>
        <v/>
      </c>
      <c r="T344" s="87" t="str">
        <f>IF(ISERROR(FIND('112'!$M$9,G344,1)),"",IF((AND(FIND('112'!$M$9,G344,1)&gt;=1,B344='112'!$K$9,OR($N344='112'!$I$6,$O344='112'!$I$6))),"x",""))</f>
        <v/>
      </c>
      <c r="U344" s="87" t="str">
        <f>IF(ISERROR(FIND('112'!$M$9,G344,1)),"",IF((AND(FIND('112'!$M$9,G344,1)&gt;=1,B344&lt;'112'!$K$9,$N344='112'!$I$6)),"x",""))</f>
        <v/>
      </c>
      <c r="V344" s="87" t="str">
        <f>IF(ISERROR(FIND('112'!$M$9,G344,1)),"",IF((AND(FIND('112'!$M$9,G344,1)&gt;=1,B344&lt;'112'!$K$9,$O344='112'!$I$6)),"x",""))</f>
        <v/>
      </c>
      <c r="W344" s="87" t="str">
        <f>IF(AND($B344&gt;='1331'!$I$9,$B344&lt;='1331'!$J$9,OR($N344=$W$7,$O344=$W$7)),"x","")</f>
        <v/>
      </c>
      <c r="X344" s="87" t="str">
        <f>IF(AND($N344=$W$7,$B344&lt;'1331'!$I$9),"x","")</f>
        <v/>
      </c>
      <c r="Y344" s="87" t="str">
        <f>IF(AND($O344=$W$7,$B344&lt;'1331'!$I$9),"x","")</f>
        <v/>
      </c>
      <c r="Z344" s="87" t="str">
        <f>IF(AND('341-CT'!$H$9=H344,OR(LEFT(N344,3)=$Z$7,LEFT(O344,3)=$Z$7)),"x","")</f>
        <v/>
      </c>
      <c r="AA344" s="87" t="str">
        <f>IF(OR(TH!N344=TH!$AA$7,O344=TH!$AA$7),"x","")</f>
        <v/>
      </c>
      <c r="AB344" s="87" t="str">
        <f>IF(AND(OR(N344="131",O344="131"),H344='131-CT'!$H$9),"x","")</f>
        <v/>
      </c>
      <c r="AC344" s="87"/>
      <c r="AD344" s="87" t="str">
        <f>IF(AND(MONTH(E344)='IN-NX'!$J$5,'IN-NX'!$D$7=D344),"x","")</f>
        <v/>
      </c>
      <c r="AE344" s="87" t="str">
        <f>IF(AND(OR(LEFT(TH!N344,2)="15",LEFT(TH!O344,2)="15"),'152-CT'!$J$8=TH!F344),"x","")</f>
        <v/>
      </c>
      <c r="AF344" s="87" t="str">
        <f>IF(AND(OR(LEFT(TH!N344,2)="15",LEFT(TH!O344,2)="15"),'THE KHO'!$E$7=TH!F344),"x","")</f>
        <v/>
      </c>
      <c r="AG344" s="87" t="str">
        <f>IF(AND(N344="1521",MONTH(C344)='BK NL'!$M$11),"x","")</f>
        <v/>
      </c>
    </row>
    <row r="345" spans="1:33" ht="15.75" customHeight="1">
      <c r="A345" s="399" t="str">
        <f>IF(B345&lt;&gt;"",IF(AND(B345&gt;=_TM1,B345&lt;=_TM2,OR(TH!N345="1111",TH!O345="1111")),TH!D345,""),"")</f>
        <v/>
      </c>
      <c r="B345" s="63" t="str">
        <f t="shared" si="10"/>
        <v/>
      </c>
      <c r="C345" s="64"/>
      <c r="D345" s="64"/>
      <c r="E345" s="64"/>
      <c r="F345" s="67"/>
      <c r="G345" s="362"/>
      <c r="H345" s="75"/>
      <c r="I345" s="518"/>
      <c r="J345" s="518"/>
      <c r="K345" s="509"/>
      <c r="L345" s="518"/>
      <c r="M345" s="65"/>
      <c r="N345" s="66"/>
      <c r="O345" s="66"/>
      <c r="P345" s="87" t="str">
        <f>IF(AND('331-CT'!$E$7=TH!H345,OR(N345="331",O345="331")),"x","")</f>
        <v/>
      </c>
      <c r="Q345" s="87" t="str">
        <f>IF(AND(B345='111'!$L$11,OR($N345=$Q$7,$O345=$Q$7)),"x","")</f>
        <v/>
      </c>
      <c r="R345" s="87" t="str">
        <f>IF(AND($N345=$Q$7,$B345&lt;'111'!$L$11),"x","")</f>
        <v/>
      </c>
      <c r="S345" s="87" t="str">
        <f>IF(AND($O345=$Q$7,$B345&lt;'111'!$L$11),"x","")</f>
        <v/>
      </c>
      <c r="T345" s="87" t="str">
        <f>IF(ISERROR(FIND('112'!$M$9,G345,1)),"",IF((AND(FIND('112'!$M$9,G345,1)&gt;=1,B345='112'!$K$9,OR($N345='112'!$I$6,$O345='112'!$I$6))),"x",""))</f>
        <v/>
      </c>
      <c r="U345" s="87" t="str">
        <f>IF(ISERROR(FIND('112'!$M$9,G345,1)),"",IF((AND(FIND('112'!$M$9,G345,1)&gt;=1,B345&lt;'112'!$K$9,$N345='112'!$I$6)),"x",""))</f>
        <v/>
      </c>
      <c r="V345" s="87" t="str">
        <f>IF(ISERROR(FIND('112'!$M$9,G345,1)),"",IF((AND(FIND('112'!$M$9,G345,1)&gt;=1,B345&lt;'112'!$K$9,$O345='112'!$I$6)),"x",""))</f>
        <v/>
      </c>
      <c r="W345" s="87" t="str">
        <f>IF(AND($B345&gt;='1331'!$I$9,$B345&lt;='1331'!$J$9,OR($N345=$W$7,$O345=$W$7)),"x","")</f>
        <v/>
      </c>
      <c r="X345" s="87" t="str">
        <f>IF(AND($N345=$W$7,$B345&lt;'1331'!$I$9),"x","")</f>
        <v/>
      </c>
      <c r="Y345" s="87" t="str">
        <f>IF(AND($O345=$W$7,$B345&lt;'1331'!$I$9),"x","")</f>
        <v/>
      </c>
      <c r="Z345" s="87" t="str">
        <f>IF(AND('341-CT'!$H$9=H345,OR(LEFT(N345,3)=$Z$7,LEFT(O345,3)=$Z$7)),"x","")</f>
        <v/>
      </c>
      <c r="AA345" s="87" t="str">
        <f>IF(OR(TH!N345=TH!$AA$7,O345=TH!$AA$7),"x","")</f>
        <v/>
      </c>
      <c r="AB345" s="87" t="str">
        <f>IF(AND(OR(N345="131",O345="131"),H345='131-CT'!$H$9),"x","")</f>
        <v/>
      </c>
      <c r="AC345" s="87"/>
      <c r="AD345" s="87" t="str">
        <f>IF(AND(MONTH(E345)='IN-NX'!$J$5,'IN-NX'!$D$7=D345),"x","")</f>
        <v/>
      </c>
      <c r="AE345" s="87" t="str">
        <f>IF(AND(OR(LEFT(TH!N345,2)="15",LEFT(TH!O345,2)="15"),'152-CT'!$J$8=TH!F345),"x","")</f>
        <v/>
      </c>
      <c r="AF345" s="87" t="str">
        <f>IF(AND(OR(LEFT(TH!N345,2)="15",LEFT(TH!O345,2)="15"),'THE KHO'!$E$7=TH!F345),"x","")</f>
        <v/>
      </c>
      <c r="AG345" s="87" t="str">
        <f>IF(AND(N345="1521",MONTH(C345)='BK NL'!$M$11),"x","")</f>
        <v/>
      </c>
    </row>
    <row r="346" spans="1:33" ht="15.75" customHeight="1">
      <c r="A346" s="399" t="str">
        <f>IF(B346&lt;&gt;"",IF(AND(B346&gt;=_TM1,B346&lt;=_TM2,OR(TH!N346="1111",TH!O346="1111")),TH!D346,""),"")</f>
        <v/>
      </c>
      <c r="B346" s="63" t="str">
        <f t="shared" si="10"/>
        <v/>
      </c>
      <c r="C346" s="64"/>
      <c r="D346" s="64"/>
      <c r="E346" s="64"/>
      <c r="F346" s="67"/>
      <c r="G346" s="362"/>
      <c r="H346" s="75"/>
      <c r="I346" s="518"/>
      <c r="J346" s="518"/>
      <c r="K346" s="509"/>
      <c r="L346" s="518"/>
      <c r="M346" s="65"/>
      <c r="N346" s="66"/>
      <c r="O346" s="66"/>
      <c r="P346" s="87" t="str">
        <f>IF(AND('331-CT'!$E$7=TH!H346,OR(N346="331",O346="331")),"x","")</f>
        <v/>
      </c>
      <c r="Q346" s="87" t="str">
        <f>IF(AND(B346='111'!$L$11,OR($N346=$Q$7,$O346=$Q$7)),"x","")</f>
        <v/>
      </c>
      <c r="R346" s="87" t="str">
        <f>IF(AND($N346=$Q$7,$B346&lt;'111'!$L$11),"x","")</f>
        <v/>
      </c>
      <c r="S346" s="87" t="str">
        <f>IF(AND($O346=$Q$7,$B346&lt;'111'!$L$11),"x","")</f>
        <v/>
      </c>
      <c r="T346" s="87" t="str">
        <f>IF(ISERROR(FIND('112'!$M$9,G346,1)),"",IF((AND(FIND('112'!$M$9,G346,1)&gt;=1,B346='112'!$K$9,OR($N346='112'!$I$6,$O346='112'!$I$6))),"x",""))</f>
        <v/>
      </c>
      <c r="U346" s="87" t="str">
        <f>IF(ISERROR(FIND('112'!$M$9,G346,1)),"",IF((AND(FIND('112'!$M$9,G346,1)&gt;=1,B346&lt;'112'!$K$9,$N346='112'!$I$6)),"x",""))</f>
        <v/>
      </c>
      <c r="V346" s="87" t="str">
        <f>IF(ISERROR(FIND('112'!$M$9,G346,1)),"",IF((AND(FIND('112'!$M$9,G346,1)&gt;=1,B346&lt;'112'!$K$9,$O346='112'!$I$6)),"x",""))</f>
        <v/>
      </c>
      <c r="W346" s="87" t="str">
        <f>IF(AND($B346&gt;='1331'!$I$9,$B346&lt;='1331'!$J$9,OR($N346=$W$7,$O346=$W$7)),"x","")</f>
        <v/>
      </c>
      <c r="X346" s="87" t="str">
        <f>IF(AND($N346=$W$7,$B346&lt;'1331'!$I$9),"x","")</f>
        <v/>
      </c>
      <c r="Y346" s="87" t="str">
        <f>IF(AND($O346=$W$7,$B346&lt;'1331'!$I$9),"x","")</f>
        <v/>
      </c>
      <c r="Z346" s="87" t="str">
        <f>IF(AND('341-CT'!$H$9=H346,OR(LEFT(N346,3)=$Z$7,LEFT(O346,3)=$Z$7)),"x","")</f>
        <v/>
      </c>
      <c r="AA346" s="87" t="str">
        <f>IF(OR(TH!N346=TH!$AA$7,O346=TH!$AA$7),"x","")</f>
        <v/>
      </c>
      <c r="AB346" s="87" t="str">
        <f>IF(AND(OR(N346="131",O346="131"),H346='131-CT'!$H$9),"x","")</f>
        <v/>
      </c>
      <c r="AC346" s="87"/>
      <c r="AD346" s="87" t="str">
        <f>IF(AND(MONTH(E346)='IN-NX'!$J$5,'IN-NX'!$D$7=D346),"x","")</f>
        <v/>
      </c>
      <c r="AE346" s="87" t="str">
        <f>IF(AND(OR(LEFT(TH!N346,2)="15",LEFT(TH!O346,2)="15"),'152-CT'!$J$8=TH!F346),"x","")</f>
        <v/>
      </c>
      <c r="AF346" s="87" t="str">
        <f>IF(AND(OR(LEFT(TH!N346,2)="15",LEFT(TH!O346,2)="15"),'THE KHO'!$E$7=TH!F346),"x","")</f>
        <v/>
      </c>
      <c r="AG346" s="87" t="str">
        <f>IF(AND(N346="1521",MONTH(C346)='BK NL'!$M$11),"x","")</f>
        <v/>
      </c>
    </row>
    <row r="347" spans="1:33" ht="15.75" customHeight="1">
      <c r="A347" s="399" t="str">
        <f>IF(B347&lt;&gt;"",IF(AND(B347&gt;=_TM1,B347&lt;=_TM2,OR(TH!N347="1111",TH!O347="1111")),TH!D347,""),"")</f>
        <v/>
      </c>
      <c r="B347" s="63" t="str">
        <f t="shared" si="10"/>
        <v/>
      </c>
      <c r="C347" s="64"/>
      <c r="D347" s="64"/>
      <c r="E347" s="64"/>
      <c r="F347" s="67"/>
      <c r="G347" s="362"/>
      <c r="H347" s="75"/>
      <c r="I347" s="518"/>
      <c r="J347" s="518"/>
      <c r="K347" s="509"/>
      <c r="L347" s="518"/>
      <c r="M347" s="65"/>
      <c r="N347" s="66"/>
      <c r="O347" s="66"/>
      <c r="P347" s="87" t="str">
        <f>IF(AND('331-CT'!$E$7=TH!H347,OR(N347="331",O347="331")),"x","")</f>
        <v/>
      </c>
      <c r="Q347" s="87" t="str">
        <f>IF(AND(B347='111'!$L$11,OR($N347=$Q$7,$O347=$Q$7)),"x","")</f>
        <v/>
      </c>
      <c r="R347" s="87" t="str">
        <f>IF(AND($N347=$Q$7,$B347&lt;'111'!$L$11),"x","")</f>
        <v/>
      </c>
      <c r="S347" s="87" t="str">
        <f>IF(AND($O347=$Q$7,$B347&lt;'111'!$L$11),"x","")</f>
        <v/>
      </c>
      <c r="T347" s="87" t="str">
        <f>IF(ISERROR(FIND('112'!$M$9,G347,1)),"",IF((AND(FIND('112'!$M$9,G347,1)&gt;=1,B347='112'!$K$9,OR($N347='112'!$I$6,$O347='112'!$I$6))),"x",""))</f>
        <v/>
      </c>
      <c r="U347" s="87" t="str">
        <f>IF(ISERROR(FIND('112'!$M$9,G347,1)),"",IF((AND(FIND('112'!$M$9,G347,1)&gt;=1,B347&lt;'112'!$K$9,$N347='112'!$I$6)),"x",""))</f>
        <v/>
      </c>
      <c r="V347" s="87" t="str">
        <f>IF(ISERROR(FIND('112'!$M$9,G347,1)),"",IF((AND(FIND('112'!$M$9,G347,1)&gt;=1,B347&lt;'112'!$K$9,$O347='112'!$I$6)),"x",""))</f>
        <v/>
      </c>
      <c r="W347" s="87" t="str">
        <f>IF(AND($B347&gt;='1331'!$I$9,$B347&lt;='1331'!$J$9,OR($N347=$W$7,$O347=$W$7)),"x","")</f>
        <v/>
      </c>
      <c r="X347" s="87" t="str">
        <f>IF(AND($N347=$W$7,$B347&lt;'1331'!$I$9),"x","")</f>
        <v/>
      </c>
      <c r="Y347" s="87" t="str">
        <f>IF(AND($O347=$W$7,$B347&lt;'1331'!$I$9),"x","")</f>
        <v/>
      </c>
      <c r="Z347" s="87" t="str">
        <f>IF(AND('341-CT'!$H$9=H347,OR(LEFT(N347,3)=$Z$7,LEFT(O347,3)=$Z$7)),"x","")</f>
        <v/>
      </c>
      <c r="AA347" s="87" t="str">
        <f>IF(OR(TH!N347=TH!$AA$7,O347=TH!$AA$7),"x","")</f>
        <v/>
      </c>
      <c r="AB347" s="87" t="str">
        <f>IF(AND(OR(N347="131",O347="131"),H347='131-CT'!$H$9),"x","")</f>
        <v/>
      </c>
      <c r="AC347" s="87"/>
      <c r="AD347" s="87" t="str">
        <f>IF(AND(MONTH(E347)='IN-NX'!$J$5,'IN-NX'!$D$7=D347),"x","")</f>
        <v/>
      </c>
      <c r="AE347" s="87" t="str">
        <f>IF(AND(OR(LEFT(TH!N347,2)="15",LEFT(TH!O347,2)="15"),'152-CT'!$J$8=TH!F347),"x","")</f>
        <v/>
      </c>
      <c r="AF347" s="87" t="str">
        <f>IF(AND(OR(LEFT(TH!N347,2)="15",LEFT(TH!O347,2)="15"),'THE KHO'!$E$7=TH!F347),"x","")</f>
        <v/>
      </c>
      <c r="AG347" s="87" t="str">
        <f>IF(AND(N347="1521",MONTH(C347)='BK NL'!$M$11),"x","")</f>
        <v/>
      </c>
    </row>
    <row r="348" spans="1:33" ht="15.75" customHeight="1">
      <c r="A348" s="399" t="str">
        <f>IF(B348&lt;&gt;"",IF(AND(B348&gt;=_TM1,B348&lt;=_TM2,OR(TH!N348="1111",TH!O348="1111")),TH!D348,""),"")</f>
        <v/>
      </c>
      <c r="B348" s="63" t="str">
        <f t="shared" si="10"/>
        <v/>
      </c>
      <c r="C348" s="64"/>
      <c r="D348" s="64"/>
      <c r="E348" s="64"/>
      <c r="F348" s="67"/>
      <c r="G348" s="362"/>
      <c r="H348" s="75"/>
      <c r="I348" s="518"/>
      <c r="J348" s="518"/>
      <c r="K348" s="509"/>
      <c r="L348" s="518"/>
      <c r="M348" s="65"/>
      <c r="N348" s="66"/>
      <c r="O348" s="66"/>
      <c r="P348" s="87" t="str">
        <f>IF(AND('331-CT'!$E$7=TH!H348,OR(N348="331",O348="331")),"x","")</f>
        <v/>
      </c>
      <c r="Q348" s="87" t="str">
        <f>IF(AND(B348='111'!$L$11,OR($N348=$Q$7,$O348=$Q$7)),"x","")</f>
        <v/>
      </c>
      <c r="R348" s="87" t="str">
        <f>IF(AND($N348=$Q$7,$B348&lt;'111'!$L$11),"x","")</f>
        <v/>
      </c>
      <c r="S348" s="87" t="str">
        <f>IF(AND($O348=$Q$7,$B348&lt;'111'!$L$11),"x","")</f>
        <v/>
      </c>
      <c r="T348" s="87" t="str">
        <f>IF(ISERROR(FIND('112'!$M$9,G348,1)),"",IF((AND(FIND('112'!$M$9,G348,1)&gt;=1,B348='112'!$K$9,OR($N348='112'!$I$6,$O348='112'!$I$6))),"x",""))</f>
        <v/>
      </c>
      <c r="U348" s="87" t="str">
        <f>IF(ISERROR(FIND('112'!$M$9,G348,1)),"",IF((AND(FIND('112'!$M$9,G348,1)&gt;=1,B348&lt;'112'!$K$9,$N348='112'!$I$6)),"x",""))</f>
        <v/>
      </c>
      <c r="V348" s="87" t="str">
        <f>IF(ISERROR(FIND('112'!$M$9,G348,1)),"",IF((AND(FIND('112'!$M$9,G348,1)&gt;=1,B348&lt;'112'!$K$9,$O348='112'!$I$6)),"x",""))</f>
        <v/>
      </c>
      <c r="W348" s="87" t="str">
        <f>IF(AND($B348&gt;='1331'!$I$9,$B348&lt;='1331'!$J$9,OR($N348=$W$7,$O348=$W$7)),"x","")</f>
        <v/>
      </c>
      <c r="X348" s="87" t="str">
        <f>IF(AND($N348=$W$7,$B348&lt;'1331'!$I$9),"x","")</f>
        <v/>
      </c>
      <c r="Y348" s="87" t="str">
        <f>IF(AND($O348=$W$7,$B348&lt;'1331'!$I$9),"x","")</f>
        <v/>
      </c>
      <c r="Z348" s="87" t="str">
        <f>IF(AND('341-CT'!$H$9=H348,OR(LEFT(N348,3)=$Z$7,LEFT(O348,3)=$Z$7)),"x","")</f>
        <v/>
      </c>
      <c r="AA348" s="87" t="str">
        <f>IF(OR(TH!N348=TH!$AA$7,O348=TH!$AA$7),"x","")</f>
        <v/>
      </c>
      <c r="AB348" s="87" t="str">
        <f>IF(AND(OR(N348="131",O348="131"),H348='131-CT'!$H$9),"x","")</f>
        <v/>
      </c>
      <c r="AC348" s="87"/>
      <c r="AD348" s="87" t="str">
        <f>IF(AND(MONTH(E348)='IN-NX'!$J$5,'IN-NX'!$D$7=D348),"x","")</f>
        <v/>
      </c>
      <c r="AE348" s="87" t="str">
        <f>IF(AND(OR(LEFT(TH!N348,2)="15",LEFT(TH!O348,2)="15"),'152-CT'!$J$8=TH!F348),"x","")</f>
        <v/>
      </c>
      <c r="AF348" s="87" t="str">
        <f>IF(AND(OR(LEFT(TH!N348,2)="15",LEFT(TH!O348,2)="15"),'THE KHO'!$E$7=TH!F348),"x","")</f>
        <v/>
      </c>
      <c r="AG348" s="87" t="str">
        <f>IF(AND(N348="1521",MONTH(C348)='BK NL'!$M$11),"x","")</f>
        <v/>
      </c>
    </row>
    <row r="349" spans="1:33" ht="15.75" customHeight="1">
      <c r="A349" s="399" t="str">
        <f>IF(B349&lt;&gt;"",IF(AND(B349&gt;=_TM1,B349&lt;=_TM2,OR(TH!N349="1111",TH!O349="1111")),TH!D349,""),"")</f>
        <v/>
      </c>
      <c r="B349" s="63" t="str">
        <f t="shared" si="10"/>
        <v/>
      </c>
      <c r="C349" s="64"/>
      <c r="D349" s="64"/>
      <c r="E349" s="64"/>
      <c r="F349" s="67"/>
      <c r="G349" s="362"/>
      <c r="H349" s="75"/>
      <c r="I349" s="518"/>
      <c r="J349" s="518"/>
      <c r="K349" s="509"/>
      <c r="L349" s="518"/>
      <c r="M349" s="65"/>
      <c r="N349" s="66"/>
      <c r="O349" s="66"/>
      <c r="P349" s="87" t="str">
        <f>IF(AND('331-CT'!$E$7=TH!H349,OR(N349="331",O349="331")),"x","")</f>
        <v/>
      </c>
      <c r="Q349" s="87" t="str">
        <f>IF(AND(B349='111'!$L$11,OR($N349=$Q$7,$O349=$Q$7)),"x","")</f>
        <v/>
      </c>
      <c r="R349" s="87" t="str">
        <f>IF(AND($N349=$Q$7,$B349&lt;'111'!$L$11),"x","")</f>
        <v/>
      </c>
      <c r="S349" s="87" t="str">
        <f>IF(AND($O349=$Q$7,$B349&lt;'111'!$L$11),"x","")</f>
        <v/>
      </c>
      <c r="T349" s="87" t="str">
        <f>IF(ISERROR(FIND('112'!$M$9,G349,1)),"",IF((AND(FIND('112'!$M$9,G349,1)&gt;=1,B349='112'!$K$9,OR($N349='112'!$I$6,$O349='112'!$I$6))),"x",""))</f>
        <v/>
      </c>
      <c r="U349" s="87" t="str">
        <f>IF(ISERROR(FIND('112'!$M$9,G349,1)),"",IF((AND(FIND('112'!$M$9,G349,1)&gt;=1,B349&lt;'112'!$K$9,$N349='112'!$I$6)),"x",""))</f>
        <v/>
      </c>
      <c r="V349" s="87" t="str">
        <f>IF(ISERROR(FIND('112'!$M$9,G349,1)),"",IF((AND(FIND('112'!$M$9,G349,1)&gt;=1,B349&lt;'112'!$K$9,$O349='112'!$I$6)),"x",""))</f>
        <v/>
      </c>
      <c r="W349" s="87" t="str">
        <f>IF(AND($B349&gt;='1331'!$I$9,$B349&lt;='1331'!$J$9,OR($N349=$W$7,$O349=$W$7)),"x","")</f>
        <v/>
      </c>
      <c r="X349" s="87" t="str">
        <f>IF(AND($N349=$W$7,$B349&lt;'1331'!$I$9),"x","")</f>
        <v/>
      </c>
      <c r="Y349" s="87" t="str">
        <f>IF(AND($O349=$W$7,$B349&lt;'1331'!$I$9),"x","")</f>
        <v/>
      </c>
      <c r="Z349" s="87" t="str">
        <f>IF(AND('341-CT'!$H$9=H349,OR(LEFT(N349,3)=$Z$7,LEFT(O349,3)=$Z$7)),"x","")</f>
        <v/>
      </c>
      <c r="AA349" s="87" t="str">
        <f>IF(OR(TH!N349=TH!$AA$7,O349=TH!$AA$7),"x","")</f>
        <v/>
      </c>
      <c r="AB349" s="87" t="str">
        <f>IF(AND(OR(N349="131",O349="131"),H349='131-CT'!$H$9),"x","")</f>
        <v/>
      </c>
      <c r="AC349" s="87"/>
      <c r="AD349" s="87" t="str">
        <f>IF(AND(MONTH(E349)='IN-NX'!$J$5,'IN-NX'!$D$7=D349),"x","")</f>
        <v/>
      </c>
      <c r="AE349" s="87" t="str">
        <f>IF(AND(OR(LEFT(TH!N349,2)="15",LEFT(TH!O349,2)="15"),'152-CT'!$J$8=TH!F349),"x","")</f>
        <v/>
      </c>
      <c r="AF349" s="87" t="str">
        <f>IF(AND(OR(LEFT(TH!N349,2)="15",LEFT(TH!O349,2)="15"),'THE KHO'!$E$7=TH!F349),"x","")</f>
        <v/>
      </c>
      <c r="AG349" s="87" t="str">
        <f>IF(AND(N349="1521",MONTH(C349)='BK NL'!$M$11),"x","")</f>
        <v/>
      </c>
    </row>
    <row r="350" spans="1:33" ht="15.75" customHeight="1">
      <c r="A350" s="399" t="str">
        <f>IF(B350&lt;&gt;"",IF(AND(B350&gt;=_TM1,B350&lt;=_TM2,OR(TH!N350="1111",TH!O350="1111")),TH!D350,""),"")</f>
        <v/>
      </c>
      <c r="B350" s="63" t="str">
        <f t="shared" si="10"/>
        <v/>
      </c>
      <c r="C350" s="64"/>
      <c r="D350" s="64"/>
      <c r="E350" s="64"/>
      <c r="F350" s="67"/>
      <c r="G350" s="362"/>
      <c r="H350" s="75"/>
      <c r="I350" s="518"/>
      <c r="J350" s="518"/>
      <c r="K350" s="509"/>
      <c r="L350" s="518"/>
      <c r="M350" s="65"/>
      <c r="N350" s="66"/>
      <c r="O350" s="66"/>
      <c r="P350" s="87" t="str">
        <f>IF(AND('331-CT'!$E$7=TH!H350,OR(N350="331",O350="331")),"x","")</f>
        <v/>
      </c>
      <c r="Q350" s="87" t="str">
        <f>IF(AND(B350='111'!$L$11,OR($N350=$Q$7,$O350=$Q$7)),"x","")</f>
        <v/>
      </c>
      <c r="R350" s="87" t="str">
        <f>IF(AND($N350=$Q$7,$B350&lt;'111'!$L$11),"x","")</f>
        <v/>
      </c>
      <c r="S350" s="87" t="str">
        <f>IF(AND($O350=$Q$7,$B350&lt;'111'!$L$11),"x","")</f>
        <v/>
      </c>
      <c r="T350" s="87" t="str">
        <f>IF(ISERROR(FIND('112'!$M$9,G350,1)),"",IF((AND(FIND('112'!$M$9,G350,1)&gt;=1,B350='112'!$K$9,OR($N350='112'!$I$6,$O350='112'!$I$6))),"x",""))</f>
        <v/>
      </c>
      <c r="U350" s="87" t="str">
        <f>IF(ISERROR(FIND('112'!$M$9,G350,1)),"",IF((AND(FIND('112'!$M$9,G350,1)&gt;=1,B350&lt;'112'!$K$9,$N350='112'!$I$6)),"x",""))</f>
        <v/>
      </c>
      <c r="V350" s="87" t="str">
        <f>IF(ISERROR(FIND('112'!$M$9,G350,1)),"",IF((AND(FIND('112'!$M$9,G350,1)&gt;=1,B350&lt;'112'!$K$9,$O350='112'!$I$6)),"x",""))</f>
        <v/>
      </c>
      <c r="W350" s="87" t="str">
        <f>IF(AND($B350&gt;='1331'!$I$9,$B350&lt;='1331'!$J$9,OR($N350=$W$7,$O350=$W$7)),"x","")</f>
        <v/>
      </c>
      <c r="X350" s="87" t="str">
        <f>IF(AND($N350=$W$7,$B350&lt;'1331'!$I$9),"x","")</f>
        <v/>
      </c>
      <c r="Y350" s="87" t="str">
        <f>IF(AND($O350=$W$7,$B350&lt;'1331'!$I$9),"x","")</f>
        <v/>
      </c>
      <c r="Z350" s="87" t="str">
        <f>IF(AND('341-CT'!$H$9=H350,OR(LEFT(N350,3)=$Z$7,LEFT(O350,3)=$Z$7)),"x","")</f>
        <v/>
      </c>
      <c r="AA350" s="87" t="str">
        <f>IF(OR(TH!N350=TH!$AA$7,O350=TH!$AA$7),"x","")</f>
        <v/>
      </c>
      <c r="AB350" s="87" t="str">
        <f>IF(AND(OR(N350="131",O350="131"),H350='131-CT'!$H$9),"x","")</f>
        <v/>
      </c>
      <c r="AC350" s="87"/>
      <c r="AD350" s="87" t="str">
        <f>IF(AND(MONTH(E350)='IN-NX'!$J$5,'IN-NX'!$D$7=D350),"x","")</f>
        <v/>
      </c>
      <c r="AE350" s="87" t="str">
        <f>IF(AND(OR(LEFT(TH!N350,2)="15",LEFT(TH!O350,2)="15"),'152-CT'!$J$8=TH!F350),"x","")</f>
        <v/>
      </c>
      <c r="AF350" s="87" t="str">
        <f>IF(AND(OR(LEFT(TH!N350,2)="15",LEFT(TH!O350,2)="15"),'THE KHO'!$E$7=TH!F350),"x","")</f>
        <v/>
      </c>
      <c r="AG350" s="87" t="str">
        <f>IF(AND(N350="1521",MONTH(C350)='BK NL'!$M$11),"x","")</f>
        <v/>
      </c>
    </row>
    <row r="351" spans="1:33" ht="15.75" customHeight="1">
      <c r="A351" s="399" t="str">
        <f>IF(B351&lt;&gt;"",IF(AND(B351&gt;=_TM1,B351&lt;=_TM2,OR(TH!N351="1111",TH!O351="1111")),TH!D351,""),"")</f>
        <v/>
      </c>
      <c r="B351" s="63" t="str">
        <f t="shared" si="10"/>
        <v/>
      </c>
      <c r="C351" s="64"/>
      <c r="D351" s="64"/>
      <c r="E351" s="64"/>
      <c r="F351" s="67"/>
      <c r="G351" s="362"/>
      <c r="H351" s="75"/>
      <c r="I351" s="518"/>
      <c r="J351" s="518"/>
      <c r="K351" s="509"/>
      <c r="L351" s="518"/>
      <c r="M351" s="65"/>
      <c r="N351" s="66"/>
      <c r="O351" s="66"/>
      <c r="P351" s="87" t="str">
        <f>IF(AND('331-CT'!$E$7=TH!H351,OR(N351="331",O351="331")),"x","")</f>
        <v/>
      </c>
      <c r="Q351" s="87" t="str">
        <f>IF(AND(B351='111'!$L$11,OR($N351=$Q$7,$O351=$Q$7)),"x","")</f>
        <v/>
      </c>
      <c r="R351" s="87" t="str">
        <f>IF(AND($N351=$Q$7,$B351&lt;'111'!$L$11),"x","")</f>
        <v/>
      </c>
      <c r="S351" s="87" t="str">
        <f>IF(AND($O351=$Q$7,$B351&lt;'111'!$L$11),"x","")</f>
        <v/>
      </c>
      <c r="T351" s="87" t="str">
        <f>IF(ISERROR(FIND('112'!$M$9,G351,1)),"",IF((AND(FIND('112'!$M$9,G351,1)&gt;=1,B351='112'!$K$9,OR($N351='112'!$I$6,$O351='112'!$I$6))),"x",""))</f>
        <v/>
      </c>
      <c r="U351" s="87" t="str">
        <f>IF(ISERROR(FIND('112'!$M$9,G351,1)),"",IF((AND(FIND('112'!$M$9,G351,1)&gt;=1,B351&lt;'112'!$K$9,$N351='112'!$I$6)),"x",""))</f>
        <v/>
      </c>
      <c r="V351" s="87" t="str">
        <f>IF(ISERROR(FIND('112'!$M$9,G351,1)),"",IF((AND(FIND('112'!$M$9,G351,1)&gt;=1,B351&lt;'112'!$K$9,$O351='112'!$I$6)),"x",""))</f>
        <v/>
      </c>
      <c r="W351" s="87" t="str">
        <f>IF(AND($B351&gt;='1331'!$I$9,$B351&lt;='1331'!$J$9,OR($N351=$W$7,$O351=$W$7)),"x","")</f>
        <v/>
      </c>
      <c r="X351" s="87" t="str">
        <f>IF(AND($N351=$W$7,$B351&lt;'1331'!$I$9),"x","")</f>
        <v/>
      </c>
      <c r="Y351" s="87" t="str">
        <f>IF(AND($O351=$W$7,$B351&lt;'1331'!$I$9),"x","")</f>
        <v/>
      </c>
      <c r="Z351" s="87" t="str">
        <f>IF(AND('341-CT'!$H$9=H351,OR(LEFT(N351,3)=$Z$7,LEFT(O351,3)=$Z$7)),"x","")</f>
        <v/>
      </c>
      <c r="AA351" s="87" t="str">
        <f>IF(OR(TH!N351=TH!$AA$7,O351=TH!$AA$7),"x","")</f>
        <v/>
      </c>
      <c r="AB351" s="87" t="str">
        <f>IF(AND(OR(N351="131",O351="131"),H351='131-CT'!$H$9),"x","")</f>
        <v/>
      </c>
      <c r="AC351" s="87"/>
      <c r="AD351" s="87" t="str">
        <f>IF(AND(MONTH(E351)='IN-NX'!$J$5,'IN-NX'!$D$7=D351),"x","")</f>
        <v/>
      </c>
      <c r="AE351" s="87" t="str">
        <f>IF(AND(OR(LEFT(TH!N351,2)="15",LEFT(TH!O351,2)="15"),'152-CT'!$J$8=TH!F351),"x","")</f>
        <v/>
      </c>
      <c r="AF351" s="87" t="str">
        <f>IF(AND(OR(LEFT(TH!N351,2)="15",LEFT(TH!O351,2)="15"),'THE KHO'!$E$7=TH!F351),"x","")</f>
        <v/>
      </c>
      <c r="AG351" s="87" t="str">
        <f>IF(AND(N351="1521",MONTH(C351)='BK NL'!$M$11),"x","")</f>
        <v/>
      </c>
    </row>
    <row r="352" spans="1:33" ht="15.75" customHeight="1">
      <c r="A352" s="399" t="str">
        <f>IF(B352&lt;&gt;"",IF(AND(B352&gt;=_TM1,B352&lt;=_TM2,OR(TH!N352="1111",TH!O352="1111")),TH!D352,""),"")</f>
        <v/>
      </c>
      <c r="B352" s="63" t="str">
        <f t="shared" si="10"/>
        <v/>
      </c>
      <c r="C352" s="64"/>
      <c r="D352" s="64"/>
      <c r="E352" s="64"/>
      <c r="F352" s="67"/>
      <c r="G352" s="362"/>
      <c r="H352" s="75"/>
      <c r="I352" s="518"/>
      <c r="J352" s="518"/>
      <c r="K352" s="509"/>
      <c r="L352" s="518"/>
      <c r="M352" s="65"/>
      <c r="N352" s="66"/>
      <c r="O352" s="66"/>
      <c r="P352" s="87" t="str">
        <f>IF(AND('331-CT'!$E$7=TH!H352,OR(N352="331",O352="331")),"x","")</f>
        <v/>
      </c>
      <c r="Q352" s="87" t="str">
        <f>IF(AND(B352='111'!$L$11,OR($N352=$Q$7,$O352=$Q$7)),"x","")</f>
        <v/>
      </c>
      <c r="R352" s="87" t="str">
        <f>IF(AND($N352=$Q$7,$B352&lt;'111'!$L$11),"x","")</f>
        <v/>
      </c>
      <c r="S352" s="87" t="str">
        <f>IF(AND($O352=$Q$7,$B352&lt;'111'!$L$11),"x","")</f>
        <v/>
      </c>
      <c r="T352" s="87" t="str">
        <f>IF(ISERROR(FIND('112'!$M$9,G352,1)),"",IF((AND(FIND('112'!$M$9,G352,1)&gt;=1,B352='112'!$K$9,OR($N352='112'!$I$6,$O352='112'!$I$6))),"x",""))</f>
        <v/>
      </c>
      <c r="U352" s="87" t="str">
        <f>IF(ISERROR(FIND('112'!$M$9,G352,1)),"",IF((AND(FIND('112'!$M$9,G352,1)&gt;=1,B352&lt;'112'!$K$9,$N352='112'!$I$6)),"x",""))</f>
        <v/>
      </c>
      <c r="V352" s="87" t="str">
        <f>IF(ISERROR(FIND('112'!$M$9,G352,1)),"",IF((AND(FIND('112'!$M$9,G352,1)&gt;=1,B352&lt;'112'!$K$9,$O352='112'!$I$6)),"x",""))</f>
        <v/>
      </c>
      <c r="W352" s="87" t="str">
        <f>IF(AND($B352&gt;='1331'!$I$9,$B352&lt;='1331'!$J$9,OR($N352=$W$7,$O352=$W$7)),"x","")</f>
        <v/>
      </c>
      <c r="X352" s="87" t="str">
        <f>IF(AND($N352=$W$7,$B352&lt;'1331'!$I$9),"x","")</f>
        <v/>
      </c>
      <c r="Y352" s="87" t="str">
        <f>IF(AND($O352=$W$7,$B352&lt;'1331'!$I$9),"x","")</f>
        <v/>
      </c>
      <c r="Z352" s="87" t="str">
        <f>IF(AND('341-CT'!$H$9=H352,OR(LEFT(N352,3)=$Z$7,LEFT(O352,3)=$Z$7)),"x","")</f>
        <v/>
      </c>
      <c r="AA352" s="87" t="str">
        <f>IF(OR(TH!N352=TH!$AA$7,O352=TH!$AA$7),"x","")</f>
        <v/>
      </c>
      <c r="AB352" s="87" t="str">
        <f>IF(AND(OR(N352="131",O352="131"),H352='131-CT'!$H$9),"x","")</f>
        <v/>
      </c>
      <c r="AC352" s="87"/>
      <c r="AD352" s="87" t="str">
        <f>IF(AND(MONTH(E352)='IN-NX'!$J$5,'IN-NX'!$D$7=D352),"x","")</f>
        <v/>
      </c>
      <c r="AE352" s="87" t="str">
        <f>IF(AND(OR(LEFT(TH!N352,2)="15",LEFT(TH!O352,2)="15"),'152-CT'!$J$8=TH!F352),"x","")</f>
        <v/>
      </c>
      <c r="AF352" s="87" t="str">
        <f>IF(AND(OR(LEFT(TH!N352,2)="15",LEFT(TH!O352,2)="15"),'THE KHO'!$E$7=TH!F352),"x","")</f>
        <v/>
      </c>
      <c r="AG352" s="87" t="str">
        <f>IF(AND(N352="1521",MONTH(C352)='BK NL'!$M$11),"x","")</f>
        <v/>
      </c>
    </row>
    <row r="353" spans="1:33" ht="15.75" customHeight="1">
      <c r="A353" s="399" t="str">
        <f>IF(B353&lt;&gt;"",IF(AND(B353&gt;=_TM1,B353&lt;=_TM2,OR(TH!N353="1111",TH!O353="1111")),TH!D353,""),"")</f>
        <v/>
      </c>
      <c r="B353" s="63" t="str">
        <f t="shared" si="10"/>
        <v/>
      </c>
      <c r="C353" s="64"/>
      <c r="D353" s="64"/>
      <c r="E353" s="64"/>
      <c r="F353" s="67"/>
      <c r="G353" s="362"/>
      <c r="H353" s="409"/>
      <c r="I353" s="522"/>
      <c r="J353" s="522"/>
      <c r="K353" s="513"/>
      <c r="L353" s="522"/>
      <c r="M353" s="65"/>
      <c r="N353" s="66"/>
      <c r="O353" s="66"/>
      <c r="P353" s="87" t="str">
        <f>IF(AND('331-CT'!$E$7=TH!H353,OR(N353="331",O353="331")),"x","")</f>
        <v/>
      </c>
      <c r="Q353" s="87" t="str">
        <f>IF(AND(B353='111'!$L$11,OR($N353=$Q$7,$O353=$Q$7)),"x","")</f>
        <v/>
      </c>
      <c r="R353" s="87" t="str">
        <f>IF(AND($N353=$Q$7,$B353&lt;'111'!$L$11),"x","")</f>
        <v/>
      </c>
      <c r="S353" s="87" t="str">
        <f>IF(AND($O353=$Q$7,$B353&lt;'111'!$L$11),"x","")</f>
        <v/>
      </c>
      <c r="T353" s="87" t="str">
        <f>IF(ISERROR(FIND('112'!$M$9,G353,1)),"",IF((AND(FIND('112'!$M$9,G353,1)&gt;=1,B353='112'!$K$9,OR($N353='112'!$I$6,$O353='112'!$I$6))),"x",""))</f>
        <v/>
      </c>
      <c r="U353" s="87" t="str">
        <f>IF(ISERROR(FIND('112'!$M$9,G353,1)),"",IF((AND(FIND('112'!$M$9,G353,1)&gt;=1,B353&lt;'112'!$K$9,$N353='112'!$I$6)),"x",""))</f>
        <v/>
      </c>
      <c r="V353" s="87" t="str">
        <f>IF(ISERROR(FIND('112'!$M$9,G353,1)),"",IF((AND(FIND('112'!$M$9,G353,1)&gt;=1,B353&lt;'112'!$K$9,$O353='112'!$I$6)),"x",""))</f>
        <v/>
      </c>
      <c r="W353" s="87" t="str">
        <f>IF(AND($B353&gt;='1331'!$I$9,$B353&lt;='1331'!$J$9,OR($N353=$W$7,$O353=$W$7)),"x","")</f>
        <v/>
      </c>
      <c r="X353" s="87" t="str">
        <f>IF(AND($N353=$W$7,$B353&lt;'1331'!$I$9),"x","")</f>
        <v/>
      </c>
      <c r="Y353" s="87" t="str">
        <f>IF(AND($O353=$W$7,$B353&lt;'1331'!$I$9),"x","")</f>
        <v/>
      </c>
      <c r="Z353" s="87" t="str">
        <f>IF(AND('341-CT'!$H$9=H353,OR(LEFT(N353,3)=$Z$7,LEFT(O353,3)=$Z$7)),"x","")</f>
        <v/>
      </c>
      <c r="AA353" s="87" t="str">
        <f>IF(OR(TH!N353=TH!$AA$7,O353=TH!$AA$7),"x","")</f>
        <v/>
      </c>
      <c r="AB353" s="87" t="str">
        <f>IF(AND(OR(N353="131",O353="131"),H353='131-CT'!$H$9),"x","")</f>
        <v/>
      </c>
      <c r="AC353" s="87"/>
      <c r="AD353" s="87" t="str">
        <f>IF(AND(MONTH(E353)='IN-NX'!$J$5,'IN-NX'!$D$7=D353),"x","")</f>
        <v/>
      </c>
      <c r="AE353" s="87" t="str">
        <f>IF(AND(OR(LEFT(TH!N353,2)="15",LEFT(TH!O353,2)="15"),'152-CT'!$J$8=TH!F353),"x","")</f>
        <v/>
      </c>
      <c r="AF353" s="87" t="str">
        <f>IF(AND(OR(LEFT(TH!N353,2)="15",LEFT(TH!O353,2)="15"),'THE KHO'!$E$7=TH!F353),"x","")</f>
        <v/>
      </c>
      <c r="AG353" s="87" t="str">
        <f>IF(AND(N353="1521",MONTH(C353)='BK NL'!$M$11),"x","")</f>
        <v/>
      </c>
    </row>
    <row r="354" spans="1:33" ht="15.75" customHeight="1">
      <c r="A354" s="399" t="str">
        <f>IF(B354&lt;&gt;"",IF(AND(B354&gt;=_TM1,B354&lt;=_TM2,OR(TH!N354="1111",TH!O354="1111")),TH!D354,""),"")</f>
        <v/>
      </c>
      <c r="B354" s="63" t="str">
        <f t="shared" si="10"/>
        <v/>
      </c>
      <c r="C354" s="64"/>
      <c r="D354" s="64"/>
      <c r="E354" s="64"/>
      <c r="F354" s="67"/>
      <c r="G354" s="362"/>
      <c r="H354" s="75"/>
      <c r="I354" s="518"/>
      <c r="J354" s="518"/>
      <c r="K354" s="509"/>
      <c r="L354" s="518"/>
      <c r="M354" s="65"/>
      <c r="N354" s="66"/>
      <c r="O354" s="66"/>
      <c r="P354" s="87" t="str">
        <f>IF(AND('331-CT'!$E$7=TH!H354,OR(N354="331",O354="331")),"x","")</f>
        <v/>
      </c>
      <c r="Q354" s="87" t="str">
        <f>IF(AND(B354='111'!$L$11,OR($N354=$Q$7,$O354=$Q$7)),"x","")</f>
        <v/>
      </c>
      <c r="R354" s="87" t="str">
        <f>IF(AND($N354=$Q$7,$B354&lt;'111'!$L$11),"x","")</f>
        <v/>
      </c>
      <c r="S354" s="87" t="str">
        <f>IF(AND($O354=$Q$7,$B354&lt;'111'!$L$11),"x","")</f>
        <v/>
      </c>
      <c r="T354" s="87" t="str">
        <f>IF(ISERROR(FIND('112'!$M$9,G354,1)),"",IF((AND(FIND('112'!$M$9,G354,1)&gt;=1,B354='112'!$K$9,OR($N354='112'!$I$6,$O354='112'!$I$6))),"x",""))</f>
        <v/>
      </c>
      <c r="U354" s="87" t="str">
        <f>IF(ISERROR(FIND('112'!$M$9,G354,1)),"",IF((AND(FIND('112'!$M$9,G354,1)&gt;=1,B354&lt;'112'!$K$9,$N354='112'!$I$6)),"x",""))</f>
        <v/>
      </c>
      <c r="V354" s="87" t="str">
        <f>IF(ISERROR(FIND('112'!$M$9,G354,1)),"",IF((AND(FIND('112'!$M$9,G354,1)&gt;=1,B354&lt;'112'!$K$9,$O354='112'!$I$6)),"x",""))</f>
        <v/>
      </c>
      <c r="W354" s="87" t="str">
        <f>IF(AND($B354&gt;='1331'!$I$9,$B354&lt;='1331'!$J$9,OR($N354=$W$7,$O354=$W$7)),"x","")</f>
        <v/>
      </c>
      <c r="X354" s="87" t="str">
        <f>IF(AND($N354=$W$7,$B354&lt;'1331'!$I$9),"x","")</f>
        <v/>
      </c>
      <c r="Y354" s="87" t="str">
        <f>IF(AND($O354=$W$7,$B354&lt;'1331'!$I$9),"x","")</f>
        <v/>
      </c>
      <c r="Z354" s="87" t="str">
        <f>IF(AND('341-CT'!$H$9=H354,OR(LEFT(N354,3)=$Z$7,LEFT(O354,3)=$Z$7)),"x","")</f>
        <v/>
      </c>
      <c r="AA354" s="87" t="str">
        <f>IF(OR(TH!N354=TH!$AA$7,O354=TH!$AA$7),"x","")</f>
        <v/>
      </c>
      <c r="AB354" s="87" t="str">
        <f>IF(AND(OR(N354="131",O354="131"),H354='131-CT'!$H$9),"x","")</f>
        <v/>
      </c>
      <c r="AC354" s="87"/>
      <c r="AD354" s="87" t="str">
        <f>IF(AND(MONTH(E354)='IN-NX'!$J$5,'IN-NX'!$D$7=D354),"x","")</f>
        <v/>
      </c>
      <c r="AE354" s="87" t="str">
        <f>IF(AND(OR(LEFT(TH!N354,2)="15",LEFT(TH!O354,2)="15"),'152-CT'!$J$8=TH!F354),"x","")</f>
        <v/>
      </c>
      <c r="AF354" s="87" t="str">
        <f>IF(AND(OR(LEFT(TH!N354,2)="15",LEFT(TH!O354,2)="15"),'THE KHO'!$E$7=TH!F354),"x","")</f>
        <v/>
      </c>
      <c r="AG354" s="87" t="str">
        <f>IF(AND(N354="1521",MONTH(C354)='BK NL'!$M$11),"x","")</f>
        <v/>
      </c>
    </row>
    <row r="355" spans="1:33" ht="15.75" customHeight="1">
      <c r="A355" s="399" t="str">
        <f>IF(B355&lt;&gt;"",IF(AND(B355&gt;=_TM1,B355&lt;=_TM2,OR(TH!N355="1111",TH!O355="1111")),TH!D355,""),"")</f>
        <v/>
      </c>
      <c r="B355" s="63" t="str">
        <f t="shared" si="10"/>
        <v/>
      </c>
      <c r="C355" s="64"/>
      <c r="D355" s="64"/>
      <c r="E355" s="64"/>
      <c r="F355" s="67"/>
      <c r="G355" s="362"/>
      <c r="H355" s="75"/>
      <c r="I355" s="518"/>
      <c r="J355" s="518"/>
      <c r="K355" s="509"/>
      <c r="L355" s="518"/>
      <c r="M355" s="65"/>
      <c r="N355" s="66"/>
      <c r="O355" s="66"/>
      <c r="P355" s="87" t="str">
        <f>IF(AND('331-CT'!$E$7=TH!H355,OR(N355="331",O355="331")),"x","")</f>
        <v/>
      </c>
      <c r="Q355" s="87" t="str">
        <f>IF(AND(B355='111'!$L$11,OR($N355=$Q$7,$O355=$Q$7)),"x","")</f>
        <v/>
      </c>
      <c r="R355" s="87" t="str">
        <f>IF(AND($N355=$Q$7,$B355&lt;'111'!$L$11),"x","")</f>
        <v/>
      </c>
      <c r="S355" s="87" t="str">
        <f>IF(AND($O355=$Q$7,$B355&lt;'111'!$L$11),"x","")</f>
        <v/>
      </c>
      <c r="T355" s="87" t="str">
        <f>IF(ISERROR(FIND('112'!$M$9,G355,1)),"",IF((AND(FIND('112'!$M$9,G355,1)&gt;=1,B355='112'!$K$9,OR($N355='112'!$I$6,$O355='112'!$I$6))),"x",""))</f>
        <v/>
      </c>
      <c r="U355" s="87" t="str">
        <f>IF(ISERROR(FIND('112'!$M$9,G355,1)),"",IF((AND(FIND('112'!$M$9,G355,1)&gt;=1,B355&lt;'112'!$K$9,$N355='112'!$I$6)),"x",""))</f>
        <v/>
      </c>
      <c r="V355" s="87" t="str">
        <f>IF(ISERROR(FIND('112'!$M$9,G355,1)),"",IF((AND(FIND('112'!$M$9,G355,1)&gt;=1,B355&lt;'112'!$K$9,$O355='112'!$I$6)),"x",""))</f>
        <v/>
      </c>
      <c r="W355" s="87" t="str">
        <f>IF(AND($B355&gt;='1331'!$I$9,$B355&lt;='1331'!$J$9,OR($N355=$W$7,$O355=$W$7)),"x","")</f>
        <v/>
      </c>
      <c r="X355" s="87" t="str">
        <f>IF(AND($N355=$W$7,$B355&lt;'1331'!$I$9),"x","")</f>
        <v/>
      </c>
      <c r="Y355" s="87" t="str">
        <f>IF(AND($O355=$W$7,$B355&lt;'1331'!$I$9),"x","")</f>
        <v/>
      </c>
      <c r="Z355" s="87" t="str">
        <f>IF(AND('341-CT'!$H$9=H355,OR(LEFT(N355,3)=$Z$7,LEFT(O355,3)=$Z$7)),"x","")</f>
        <v/>
      </c>
      <c r="AA355" s="87" t="str">
        <f>IF(OR(TH!N355=TH!$AA$7,O355=TH!$AA$7),"x","")</f>
        <v/>
      </c>
      <c r="AB355" s="87" t="str">
        <f>IF(AND(OR(N355="131",O355="131"),H355='131-CT'!$H$9),"x","")</f>
        <v/>
      </c>
      <c r="AC355" s="87"/>
      <c r="AD355" s="87" t="str">
        <f>IF(AND(MONTH(E355)='IN-NX'!$J$5,'IN-NX'!$D$7=D355),"x","")</f>
        <v/>
      </c>
      <c r="AE355" s="87" t="str">
        <f>IF(AND(OR(LEFT(TH!N355,2)="15",LEFT(TH!O355,2)="15"),'152-CT'!$J$8=TH!F355),"x","")</f>
        <v/>
      </c>
      <c r="AF355" s="87" t="str">
        <f>IF(AND(OR(LEFT(TH!N355,2)="15",LEFT(TH!O355,2)="15"),'THE KHO'!$E$7=TH!F355),"x","")</f>
        <v/>
      </c>
      <c r="AG355" s="87" t="str">
        <f>IF(AND(N355="1521",MONTH(C355)='BK NL'!$M$11),"x","")</f>
        <v/>
      </c>
    </row>
    <row r="356" spans="1:33" ht="15.75" customHeight="1">
      <c r="A356" s="399" t="str">
        <f>IF(B356&lt;&gt;"",IF(AND(B356&gt;=_TM1,B356&lt;=_TM2,OR(TH!N356="1111",TH!O356="1111")),TH!D356,""),"")</f>
        <v/>
      </c>
      <c r="B356" s="63" t="str">
        <f t="shared" si="10"/>
        <v/>
      </c>
      <c r="C356" s="64"/>
      <c r="D356" s="64"/>
      <c r="E356" s="64"/>
      <c r="F356" s="67"/>
      <c r="G356" s="362"/>
      <c r="H356" s="75"/>
      <c r="I356" s="518"/>
      <c r="J356" s="518"/>
      <c r="K356" s="509"/>
      <c r="L356" s="518"/>
      <c r="M356" s="65"/>
      <c r="N356" s="66"/>
      <c r="O356" s="66"/>
      <c r="P356" s="87" t="str">
        <f>IF(AND('331-CT'!$E$7=TH!H356,OR(N356="331",O356="331")),"x","")</f>
        <v/>
      </c>
      <c r="Q356" s="87" t="str">
        <f>IF(AND(B356='111'!$L$11,OR($N356=$Q$7,$O356=$Q$7)),"x","")</f>
        <v/>
      </c>
      <c r="R356" s="87" t="str">
        <f>IF(AND($N356=$Q$7,$B356&lt;'111'!$L$11),"x","")</f>
        <v/>
      </c>
      <c r="S356" s="87" t="str">
        <f>IF(AND($O356=$Q$7,$B356&lt;'111'!$L$11),"x","")</f>
        <v/>
      </c>
      <c r="T356" s="87" t="str">
        <f>IF(ISERROR(FIND('112'!$M$9,G356,1)),"",IF((AND(FIND('112'!$M$9,G356,1)&gt;=1,B356='112'!$K$9,OR($N356='112'!$I$6,$O356='112'!$I$6))),"x",""))</f>
        <v/>
      </c>
      <c r="U356" s="87" t="str">
        <f>IF(ISERROR(FIND('112'!$M$9,G356,1)),"",IF((AND(FIND('112'!$M$9,G356,1)&gt;=1,B356&lt;'112'!$K$9,$N356='112'!$I$6)),"x",""))</f>
        <v/>
      </c>
      <c r="V356" s="87" t="str">
        <f>IF(ISERROR(FIND('112'!$M$9,G356,1)),"",IF((AND(FIND('112'!$M$9,G356,1)&gt;=1,B356&lt;'112'!$K$9,$O356='112'!$I$6)),"x",""))</f>
        <v/>
      </c>
      <c r="W356" s="87" t="str">
        <f>IF(AND($B356&gt;='1331'!$I$9,$B356&lt;='1331'!$J$9,OR($N356=$W$7,$O356=$W$7)),"x","")</f>
        <v/>
      </c>
      <c r="X356" s="87" t="str">
        <f>IF(AND($N356=$W$7,$B356&lt;'1331'!$I$9),"x","")</f>
        <v/>
      </c>
      <c r="Y356" s="87" t="str">
        <f>IF(AND($O356=$W$7,$B356&lt;'1331'!$I$9),"x","")</f>
        <v/>
      </c>
      <c r="Z356" s="87" t="str">
        <f>IF(AND('341-CT'!$H$9=H356,OR(LEFT(N356,3)=$Z$7,LEFT(O356,3)=$Z$7)),"x","")</f>
        <v/>
      </c>
      <c r="AA356" s="87" t="str">
        <f>IF(OR(TH!N356=TH!$AA$7,O356=TH!$AA$7),"x","")</f>
        <v/>
      </c>
      <c r="AB356" s="87" t="str">
        <f>IF(AND(OR(N356="131",O356="131"),H356='131-CT'!$H$9),"x","")</f>
        <v/>
      </c>
      <c r="AC356" s="87"/>
      <c r="AD356" s="87" t="str">
        <f>IF(AND(MONTH(E356)='IN-NX'!$J$5,'IN-NX'!$D$7=D356),"x","")</f>
        <v/>
      </c>
      <c r="AE356" s="87" t="str">
        <f>IF(AND(OR(LEFT(TH!N356,2)="15",LEFT(TH!O356,2)="15"),'152-CT'!$J$8=TH!F356),"x","")</f>
        <v/>
      </c>
      <c r="AF356" s="87" t="str">
        <f>IF(AND(OR(LEFT(TH!N356,2)="15",LEFT(TH!O356,2)="15"),'THE KHO'!$E$7=TH!F356),"x","")</f>
        <v/>
      </c>
      <c r="AG356" s="87" t="str">
        <f>IF(AND(N356="1521",MONTH(C356)='BK NL'!$M$11),"x","")</f>
        <v/>
      </c>
    </row>
    <row r="357" spans="1:33" ht="15.75" customHeight="1">
      <c r="A357" s="399" t="str">
        <f>IF(B357&lt;&gt;"",IF(AND(B357&gt;=_TM1,B357&lt;=_TM2,OR(TH!N357="1111",TH!O357="1111")),TH!D357,""),"")</f>
        <v/>
      </c>
      <c r="B357" s="63" t="str">
        <f t="shared" si="10"/>
        <v/>
      </c>
      <c r="C357" s="64"/>
      <c r="D357" s="64"/>
      <c r="E357" s="64"/>
      <c r="F357" s="67"/>
      <c r="G357" s="362"/>
      <c r="H357" s="75"/>
      <c r="I357" s="518"/>
      <c r="J357" s="518"/>
      <c r="K357" s="509"/>
      <c r="L357" s="518"/>
      <c r="M357" s="65"/>
      <c r="N357" s="66"/>
      <c r="O357" s="66"/>
      <c r="P357" s="87" t="str">
        <f>IF(AND('331-CT'!$E$7=TH!H357,OR(N357="331",O357="331")),"x","")</f>
        <v/>
      </c>
      <c r="Q357" s="87" t="str">
        <f>IF(AND(B357='111'!$L$11,OR($N357=$Q$7,$O357=$Q$7)),"x","")</f>
        <v/>
      </c>
      <c r="R357" s="87" t="str">
        <f>IF(AND($N357=$Q$7,$B357&lt;'111'!$L$11),"x","")</f>
        <v/>
      </c>
      <c r="S357" s="87" t="str">
        <f>IF(AND($O357=$Q$7,$B357&lt;'111'!$L$11),"x","")</f>
        <v/>
      </c>
      <c r="T357" s="87" t="str">
        <f>IF(ISERROR(FIND('112'!$M$9,G357,1)),"",IF((AND(FIND('112'!$M$9,G357,1)&gt;=1,B357='112'!$K$9,OR($N357='112'!$I$6,$O357='112'!$I$6))),"x",""))</f>
        <v/>
      </c>
      <c r="U357" s="87" t="str">
        <f>IF(ISERROR(FIND('112'!$M$9,G357,1)),"",IF((AND(FIND('112'!$M$9,G357,1)&gt;=1,B357&lt;'112'!$K$9,$N357='112'!$I$6)),"x",""))</f>
        <v/>
      </c>
      <c r="V357" s="87" t="str">
        <f>IF(ISERROR(FIND('112'!$M$9,G357,1)),"",IF((AND(FIND('112'!$M$9,G357,1)&gt;=1,B357&lt;'112'!$K$9,$O357='112'!$I$6)),"x",""))</f>
        <v/>
      </c>
      <c r="W357" s="87" t="str">
        <f>IF(AND($B357&gt;='1331'!$I$9,$B357&lt;='1331'!$J$9,OR($N357=$W$7,$O357=$W$7)),"x","")</f>
        <v/>
      </c>
      <c r="X357" s="87" t="str">
        <f>IF(AND($N357=$W$7,$B357&lt;'1331'!$I$9),"x","")</f>
        <v/>
      </c>
      <c r="Y357" s="87" t="str">
        <f>IF(AND($O357=$W$7,$B357&lt;'1331'!$I$9),"x","")</f>
        <v/>
      </c>
      <c r="Z357" s="87" t="str">
        <f>IF(AND('341-CT'!$H$9=H357,OR(LEFT(N357,3)=$Z$7,LEFT(O357,3)=$Z$7)),"x","")</f>
        <v/>
      </c>
      <c r="AA357" s="87" t="str">
        <f>IF(OR(TH!N357=TH!$AA$7,O357=TH!$AA$7),"x","")</f>
        <v/>
      </c>
      <c r="AB357" s="87" t="str">
        <f>IF(AND(OR(N357="131",O357="131"),H357='131-CT'!$H$9),"x","")</f>
        <v/>
      </c>
      <c r="AC357" s="87"/>
      <c r="AD357" s="87" t="str">
        <f>IF(AND(MONTH(E357)='IN-NX'!$J$5,'IN-NX'!$D$7=D357),"x","")</f>
        <v/>
      </c>
      <c r="AE357" s="87" t="str">
        <f>IF(AND(OR(LEFT(TH!N357,2)="15",LEFT(TH!O357,2)="15"),'152-CT'!$J$8=TH!F357),"x","")</f>
        <v/>
      </c>
      <c r="AF357" s="87" t="str">
        <f>IF(AND(OR(LEFT(TH!N357,2)="15",LEFT(TH!O357,2)="15"),'THE KHO'!$E$7=TH!F357),"x","")</f>
        <v/>
      </c>
      <c r="AG357" s="87" t="str">
        <f>IF(AND(N357="1521",MONTH(C357)='BK NL'!$M$11),"x","")</f>
        <v/>
      </c>
    </row>
    <row r="358" spans="1:33" ht="15.75" customHeight="1">
      <c r="A358" s="399" t="str">
        <f>IF(B358&lt;&gt;"",IF(AND(B358&gt;=_TM1,B358&lt;=_TM2,OR(TH!N358="1111",TH!O358="1111")),TH!D358,""),"")</f>
        <v/>
      </c>
      <c r="B358" s="63" t="str">
        <f t="shared" si="10"/>
        <v/>
      </c>
      <c r="C358" s="64"/>
      <c r="D358" s="64"/>
      <c r="E358" s="64"/>
      <c r="F358" s="67"/>
      <c r="G358" s="362"/>
      <c r="H358" s="75"/>
      <c r="I358" s="518"/>
      <c r="J358" s="518"/>
      <c r="K358" s="509"/>
      <c r="L358" s="518"/>
      <c r="M358" s="65"/>
      <c r="N358" s="66"/>
      <c r="O358" s="66"/>
      <c r="P358" s="87" t="str">
        <f>IF(AND('331-CT'!$E$7=TH!H358,OR(N358="331",O358="331")),"x","")</f>
        <v/>
      </c>
      <c r="Q358" s="87" t="str">
        <f>IF(AND(B358='111'!$L$11,OR($N358=$Q$7,$O358=$Q$7)),"x","")</f>
        <v/>
      </c>
      <c r="R358" s="87" t="str">
        <f>IF(AND($N358=$Q$7,$B358&lt;'111'!$L$11),"x","")</f>
        <v/>
      </c>
      <c r="S358" s="87" t="str">
        <f>IF(AND($O358=$Q$7,$B358&lt;'111'!$L$11),"x","")</f>
        <v/>
      </c>
      <c r="T358" s="87" t="str">
        <f>IF(ISERROR(FIND('112'!$M$9,G358,1)),"",IF((AND(FIND('112'!$M$9,G358,1)&gt;=1,B358='112'!$K$9,OR($N358='112'!$I$6,$O358='112'!$I$6))),"x",""))</f>
        <v/>
      </c>
      <c r="U358" s="87" t="str">
        <f>IF(ISERROR(FIND('112'!$M$9,G358,1)),"",IF((AND(FIND('112'!$M$9,G358,1)&gt;=1,B358&lt;'112'!$K$9,$N358='112'!$I$6)),"x",""))</f>
        <v/>
      </c>
      <c r="V358" s="87" t="str">
        <f>IF(ISERROR(FIND('112'!$M$9,G358,1)),"",IF((AND(FIND('112'!$M$9,G358,1)&gt;=1,B358&lt;'112'!$K$9,$O358='112'!$I$6)),"x",""))</f>
        <v/>
      </c>
      <c r="W358" s="87" t="str">
        <f>IF(AND($B358&gt;='1331'!$I$9,$B358&lt;='1331'!$J$9,OR($N358=$W$7,$O358=$W$7)),"x","")</f>
        <v/>
      </c>
      <c r="X358" s="87" t="str">
        <f>IF(AND($N358=$W$7,$B358&lt;'1331'!$I$9),"x","")</f>
        <v/>
      </c>
      <c r="Y358" s="87" t="str">
        <f>IF(AND($O358=$W$7,$B358&lt;'1331'!$I$9),"x","")</f>
        <v/>
      </c>
      <c r="Z358" s="87" t="str">
        <f>IF(AND('341-CT'!$H$9=H358,OR(LEFT(N358,3)=$Z$7,LEFT(O358,3)=$Z$7)),"x","")</f>
        <v/>
      </c>
      <c r="AA358" s="87" t="str">
        <f>IF(OR(TH!N358=TH!$AA$7,O358=TH!$AA$7),"x","")</f>
        <v/>
      </c>
      <c r="AB358" s="87" t="str">
        <f>IF(AND(OR(N358="131",O358="131"),H358='131-CT'!$H$9),"x","")</f>
        <v/>
      </c>
      <c r="AC358" s="87"/>
      <c r="AD358" s="87" t="str">
        <f>IF(AND(MONTH(E358)='IN-NX'!$J$5,'IN-NX'!$D$7=D358),"x","")</f>
        <v/>
      </c>
      <c r="AE358" s="87" t="str">
        <f>IF(AND(OR(LEFT(TH!N358,2)="15",LEFT(TH!O358,2)="15"),'152-CT'!$J$8=TH!F358),"x","")</f>
        <v/>
      </c>
      <c r="AF358" s="87" t="str">
        <f>IF(AND(OR(LEFT(TH!N358,2)="15",LEFT(TH!O358,2)="15"),'THE KHO'!$E$7=TH!F358),"x","")</f>
        <v/>
      </c>
      <c r="AG358" s="87" t="str">
        <f>IF(AND(N358="1521",MONTH(C358)='BK NL'!$M$11),"x","")</f>
        <v/>
      </c>
    </row>
    <row r="359" spans="1:33" ht="15.75" customHeight="1">
      <c r="A359" s="399" t="str">
        <f>IF(B359&lt;&gt;"",IF(AND(B359&gt;=_TM1,B359&lt;=_TM2,OR(TH!N359="1111",TH!O359="1111")),TH!D359,""),"")</f>
        <v/>
      </c>
      <c r="B359" s="63" t="str">
        <f t="shared" si="10"/>
        <v/>
      </c>
      <c r="C359" s="64"/>
      <c r="D359" s="64"/>
      <c r="E359" s="64"/>
      <c r="F359" s="67"/>
      <c r="G359" s="362"/>
      <c r="H359" s="75"/>
      <c r="I359" s="518"/>
      <c r="J359" s="518"/>
      <c r="K359" s="509"/>
      <c r="L359" s="518"/>
      <c r="M359" s="65"/>
      <c r="N359" s="66"/>
      <c r="O359" s="66"/>
      <c r="P359" s="87" t="str">
        <f>IF(AND('331-CT'!$E$7=TH!H359,OR(N359="331",O359="331")),"x","")</f>
        <v/>
      </c>
      <c r="Q359" s="87" t="str">
        <f>IF(AND(B359='111'!$L$11,OR($N359=$Q$7,$O359=$Q$7)),"x","")</f>
        <v/>
      </c>
      <c r="R359" s="87" t="str">
        <f>IF(AND($N359=$Q$7,$B359&lt;'111'!$L$11),"x","")</f>
        <v/>
      </c>
      <c r="S359" s="87" t="str">
        <f>IF(AND($O359=$Q$7,$B359&lt;'111'!$L$11),"x","")</f>
        <v/>
      </c>
      <c r="T359" s="87" t="str">
        <f>IF(ISERROR(FIND('112'!$M$9,G359,1)),"",IF((AND(FIND('112'!$M$9,G359,1)&gt;=1,B359='112'!$K$9,OR($N359='112'!$I$6,$O359='112'!$I$6))),"x",""))</f>
        <v/>
      </c>
      <c r="U359" s="87" t="str">
        <f>IF(ISERROR(FIND('112'!$M$9,G359,1)),"",IF((AND(FIND('112'!$M$9,G359,1)&gt;=1,B359&lt;'112'!$K$9,$N359='112'!$I$6)),"x",""))</f>
        <v/>
      </c>
      <c r="V359" s="87" t="str">
        <f>IF(ISERROR(FIND('112'!$M$9,G359,1)),"",IF((AND(FIND('112'!$M$9,G359,1)&gt;=1,B359&lt;'112'!$K$9,$O359='112'!$I$6)),"x",""))</f>
        <v/>
      </c>
      <c r="W359" s="87" t="str">
        <f>IF(AND($B359&gt;='1331'!$I$9,$B359&lt;='1331'!$J$9,OR($N359=$W$7,$O359=$W$7)),"x","")</f>
        <v/>
      </c>
      <c r="X359" s="87" t="str">
        <f>IF(AND($N359=$W$7,$B359&lt;'1331'!$I$9),"x","")</f>
        <v/>
      </c>
      <c r="Y359" s="87" t="str">
        <f>IF(AND($O359=$W$7,$B359&lt;'1331'!$I$9),"x","")</f>
        <v/>
      </c>
      <c r="Z359" s="87" t="str">
        <f>IF(AND('341-CT'!$H$9=H359,OR(LEFT(N359,3)=$Z$7,LEFT(O359,3)=$Z$7)),"x","")</f>
        <v/>
      </c>
      <c r="AA359" s="87" t="str">
        <f>IF(OR(TH!N359=TH!$AA$7,O359=TH!$AA$7),"x","")</f>
        <v/>
      </c>
      <c r="AB359" s="87" t="str">
        <f>IF(AND(OR(N359="131",O359="131"),H359='131-CT'!$H$9),"x","")</f>
        <v/>
      </c>
      <c r="AC359" s="87"/>
      <c r="AD359" s="87" t="str">
        <f>IF(AND(MONTH(E359)='IN-NX'!$J$5,'IN-NX'!$D$7=D359),"x","")</f>
        <v/>
      </c>
      <c r="AE359" s="87" t="str">
        <f>IF(AND(OR(LEFT(TH!N359,2)="15",LEFT(TH!O359,2)="15"),'152-CT'!$J$8=TH!F359),"x","")</f>
        <v/>
      </c>
      <c r="AF359" s="87" t="str">
        <f>IF(AND(OR(LEFT(TH!N359,2)="15",LEFT(TH!O359,2)="15"),'THE KHO'!$E$7=TH!F359),"x","")</f>
        <v/>
      </c>
      <c r="AG359" s="87" t="str">
        <f>IF(AND(N359="1521",MONTH(C359)='BK NL'!$M$11),"x","")</f>
        <v/>
      </c>
    </row>
    <row r="360" spans="1:33" ht="15.75" customHeight="1">
      <c r="A360" s="399" t="str">
        <f>IF(B360&lt;&gt;"",IF(AND(B360&gt;=_TM1,B360&lt;=_TM2,OR(TH!N360="1111",TH!O360="1111")),TH!D360,""),"")</f>
        <v/>
      </c>
      <c r="B360" s="63" t="str">
        <f t="shared" si="10"/>
        <v/>
      </c>
      <c r="C360" s="64"/>
      <c r="D360" s="64"/>
      <c r="E360" s="64"/>
      <c r="F360" s="67"/>
      <c r="G360" s="376"/>
      <c r="H360" s="75"/>
      <c r="I360" s="518"/>
      <c r="J360" s="518"/>
      <c r="K360" s="509"/>
      <c r="L360" s="518"/>
      <c r="M360" s="65"/>
      <c r="N360" s="66"/>
      <c r="O360" s="66"/>
      <c r="P360" s="87" t="str">
        <f>IF(AND('331-CT'!$E$7=TH!H360,OR(N360="331",O360="331")),"x","")</f>
        <v/>
      </c>
      <c r="Q360" s="87" t="str">
        <f>IF(AND(B360='111'!$L$11,OR($N360=$Q$7,$O360=$Q$7)),"x","")</f>
        <v/>
      </c>
      <c r="R360" s="87" t="str">
        <f>IF(AND($N360=$Q$7,$B360&lt;'111'!$L$11),"x","")</f>
        <v/>
      </c>
      <c r="S360" s="87" t="str">
        <f>IF(AND($O360=$Q$7,$B360&lt;'111'!$L$11),"x","")</f>
        <v/>
      </c>
      <c r="T360" s="87" t="str">
        <f>IF(ISERROR(FIND('112'!$M$9,G360,1)),"",IF((AND(FIND('112'!$M$9,G360,1)&gt;=1,B360='112'!$K$9,OR($N360='112'!$I$6,$O360='112'!$I$6))),"x",""))</f>
        <v/>
      </c>
      <c r="U360" s="87" t="str">
        <f>IF(ISERROR(FIND('112'!$M$9,G360,1)),"",IF((AND(FIND('112'!$M$9,G360,1)&gt;=1,B360&lt;'112'!$K$9,$N360='112'!$I$6)),"x",""))</f>
        <v/>
      </c>
      <c r="V360" s="87" t="str">
        <f>IF(ISERROR(FIND('112'!$M$9,G360,1)),"",IF((AND(FIND('112'!$M$9,G360,1)&gt;=1,B360&lt;'112'!$K$9,$O360='112'!$I$6)),"x",""))</f>
        <v/>
      </c>
      <c r="W360" s="87" t="str">
        <f>IF(AND($B360&gt;='1331'!$I$9,$B360&lt;='1331'!$J$9,OR($N360=$W$7,$O360=$W$7)),"x","")</f>
        <v/>
      </c>
      <c r="X360" s="87" t="str">
        <f>IF(AND($N360=$W$7,$B360&lt;'1331'!$I$9),"x","")</f>
        <v/>
      </c>
      <c r="Y360" s="87" t="str">
        <f>IF(AND($O360=$W$7,$B360&lt;'1331'!$I$9),"x","")</f>
        <v/>
      </c>
      <c r="Z360" s="87" t="str">
        <f>IF(AND('341-CT'!$H$9=H360,OR(LEFT(N360,3)=$Z$7,LEFT(O360,3)=$Z$7)),"x","")</f>
        <v/>
      </c>
      <c r="AA360" s="87" t="str">
        <f>IF(OR(TH!N360=TH!$AA$7,O360=TH!$AA$7),"x","")</f>
        <v/>
      </c>
      <c r="AB360" s="87" t="str">
        <f>IF(AND(OR(N360="131",O360="131"),H360='131-CT'!$H$9),"x","")</f>
        <v/>
      </c>
      <c r="AC360" s="87"/>
      <c r="AD360" s="87" t="str">
        <f>IF(AND(MONTH(E360)='IN-NX'!$J$5,'IN-NX'!$D$7=D360),"x","")</f>
        <v/>
      </c>
      <c r="AE360" s="87" t="str">
        <f>IF(AND(OR(LEFT(TH!N360,2)="15",LEFT(TH!O360,2)="15"),'152-CT'!$J$8=TH!F360),"x","")</f>
        <v/>
      </c>
      <c r="AF360" s="87" t="str">
        <f>IF(AND(OR(LEFT(TH!N360,2)="15",LEFT(TH!O360,2)="15"),'THE KHO'!$E$7=TH!F360),"x","")</f>
        <v/>
      </c>
      <c r="AG360" s="87" t="str">
        <f>IF(AND(N360="1521",MONTH(C360)='BK NL'!$M$11),"x","")</f>
        <v/>
      </c>
    </row>
    <row r="361" spans="1:33" ht="15.75" customHeight="1">
      <c r="A361" s="399" t="str">
        <f>IF(B361&lt;&gt;"",IF(AND(B361&gt;=_TM1,B361&lt;=_TM2,OR(TH!N361="1111",TH!O361="1111")),TH!D361,""),"")</f>
        <v/>
      </c>
      <c r="B361" s="63" t="str">
        <f t="shared" si="10"/>
        <v/>
      </c>
      <c r="C361" s="64"/>
      <c r="D361" s="64"/>
      <c r="E361" s="64"/>
      <c r="F361" s="67"/>
      <c r="G361" s="376"/>
      <c r="H361" s="75"/>
      <c r="I361" s="518"/>
      <c r="J361" s="518"/>
      <c r="K361" s="509"/>
      <c r="L361" s="518"/>
      <c r="M361" s="65"/>
      <c r="N361" s="66"/>
      <c r="O361" s="66"/>
      <c r="P361" s="87" t="str">
        <f>IF(AND('331-CT'!$E$7=TH!H361,OR(N361="331",O361="331")),"x","")</f>
        <v/>
      </c>
      <c r="Q361" s="87" t="str">
        <f>IF(AND(B361='111'!$L$11,OR($N361=$Q$7,$O361=$Q$7)),"x","")</f>
        <v/>
      </c>
      <c r="R361" s="87" t="str">
        <f>IF(AND($N361=$Q$7,$B361&lt;'111'!$L$11),"x","")</f>
        <v/>
      </c>
      <c r="S361" s="87" t="str">
        <f>IF(AND($O361=$Q$7,$B361&lt;'111'!$L$11),"x","")</f>
        <v/>
      </c>
      <c r="T361" s="87" t="str">
        <f>IF(ISERROR(FIND('112'!$M$9,G361,1)),"",IF((AND(FIND('112'!$M$9,G361,1)&gt;=1,B361='112'!$K$9,OR($N361='112'!$I$6,$O361='112'!$I$6))),"x",""))</f>
        <v/>
      </c>
      <c r="U361" s="87" t="str">
        <f>IF(ISERROR(FIND('112'!$M$9,G361,1)),"",IF((AND(FIND('112'!$M$9,G361,1)&gt;=1,B361&lt;'112'!$K$9,$N361='112'!$I$6)),"x",""))</f>
        <v/>
      </c>
      <c r="V361" s="87" t="str">
        <f>IF(ISERROR(FIND('112'!$M$9,G361,1)),"",IF((AND(FIND('112'!$M$9,G361,1)&gt;=1,B361&lt;'112'!$K$9,$O361='112'!$I$6)),"x",""))</f>
        <v/>
      </c>
      <c r="W361" s="87" t="str">
        <f>IF(AND($B361&gt;='1331'!$I$9,$B361&lt;='1331'!$J$9,OR($N361=$W$7,$O361=$W$7)),"x","")</f>
        <v/>
      </c>
      <c r="X361" s="87" t="str">
        <f>IF(AND($N361=$W$7,$B361&lt;'1331'!$I$9),"x","")</f>
        <v/>
      </c>
      <c r="Y361" s="87" t="str">
        <f>IF(AND($O361=$W$7,$B361&lt;'1331'!$I$9),"x","")</f>
        <v/>
      </c>
      <c r="Z361" s="87" t="str">
        <f>IF(AND('341-CT'!$H$9=H361,OR(LEFT(N361,3)=$Z$7,LEFT(O361,3)=$Z$7)),"x","")</f>
        <v/>
      </c>
      <c r="AA361" s="87" t="str">
        <f>IF(OR(TH!N361=TH!$AA$7,O361=TH!$AA$7),"x","")</f>
        <v/>
      </c>
      <c r="AB361" s="87" t="str">
        <f>IF(AND(OR(N361="131",O361="131"),H361='131-CT'!$H$9),"x","")</f>
        <v/>
      </c>
      <c r="AC361" s="87"/>
      <c r="AD361" s="87" t="str">
        <f>IF(AND(MONTH(E361)='IN-NX'!$J$5,'IN-NX'!$D$7=D361),"x","")</f>
        <v/>
      </c>
      <c r="AE361" s="87" t="str">
        <f>IF(AND(OR(LEFT(TH!N361,2)="15",LEFT(TH!O361,2)="15"),'152-CT'!$J$8=TH!F361),"x","")</f>
        <v/>
      </c>
      <c r="AF361" s="87" t="str">
        <f>IF(AND(OR(LEFT(TH!N361,2)="15",LEFT(TH!O361,2)="15"),'THE KHO'!$E$7=TH!F361),"x","")</f>
        <v/>
      </c>
      <c r="AG361" s="87" t="str">
        <f>IF(AND(N361="1521",MONTH(C361)='BK NL'!$M$11),"x","")</f>
        <v/>
      </c>
    </row>
    <row r="362" spans="1:33" ht="15.75" customHeight="1">
      <c r="A362" s="399" t="str">
        <f>IF(B362&lt;&gt;"",IF(AND(B362&gt;=_TM1,B362&lt;=_TM2,OR(TH!N362="1111",TH!O362="1111")),TH!D362,""),"")</f>
        <v/>
      </c>
      <c r="B362" s="63" t="str">
        <f t="shared" si="10"/>
        <v/>
      </c>
      <c r="C362" s="64"/>
      <c r="D362" s="64"/>
      <c r="E362" s="64"/>
      <c r="F362" s="67"/>
      <c r="G362" s="362"/>
      <c r="H362" s="75"/>
      <c r="I362" s="518"/>
      <c r="J362" s="518"/>
      <c r="K362" s="509"/>
      <c r="L362" s="518"/>
      <c r="M362" s="65"/>
      <c r="N362" s="66"/>
      <c r="O362" s="66"/>
      <c r="P362" s="87" t="str">
        <f>IF(AND('331-CT'!$E$7=TH!H362,OR(N362="331",O362="331")),"x","")</f>
        <v/>
      </c>
      <c r="Q362" s="87" t="str">
        <f>IF(AND(B362='111'!$L$11,OR($N362=$Q$7,$O362=$Q$7)),"x","")</f>
        <v/>
      </c>
      <c r="R362" s="87" t="str">
        <f>IF(AND($N362=$Q$7,$B362&lt;'111'!$L$11),"x","")</f>
        <v/>
      </c>
      <c r="S362" s="87" t="str">
        <f>IF(AND($O362=$Q$7,$B362&lt;'111'!$L$11),"x","")</f>
        <v/>
      </c>
      <c r="T362" s="87" t="str">
        <f>IF(ISERROR(FIND('112'!$M$9,G362,1)),"",IF((AND(FIND('112'!$M$9,G362,1)&gt;=1,B362='112'!$K$9,OR($N362='112'!$I$6,$O362='112'!$I$6))),"x",""))</f>
        <v/>
      </c>
      <c r="U362" s="87" t="str">
        <f>IF(ISERROR(FIND('112'!$M$9,G362,1)),"",IF((AND(FIND('112'!$M$9,G362,1)&gt;=1,B362&lt;'112'!$K$9,$N362='112'!$I$6)),"x",""))</f>
        <v/>
      </c>
      <c r="V362" s="87" t="str">
        <f>IF(ISERROR(FIND('112'!$M$9,G362,1)),"",IF((AND(FIND('112'!$M$9,G362,1)&gt;=1,B362&lt;'112'!$K$9,$O362='112'!$I$6)),"x",""))</f>
        <v/>
      </c>
      <c r="W362" s="87" t="str">
        <f>IF(AND($B362&gt;='1331'!$I$9,$B362&lt;='1331'!$J$9,OR($N362=$W$7,$O362=$W$7)),"x","")</f>
        <v/>
      </c>
      <c r="X362" s="87" t="str">
        <f>IF(AND($N362=$W$7,$B362&lt;'1331'!$I$9),"x","")</f>
        <v/>
      </c>
      <c r="Y362" s="87" t="str">
        <f>IF(AND($O362=$W$7,$B362&lt;'1331'!$I$9),"x","")</f>
        <v/>
      </c>
      <c r="Z362" s="87" t="str">
        <f>IF(AND('341-CT'!$H$9=H362,OR(LEFT(N362,3)=$Z$7,LEFT(O362,3)=$Z$7)),"x","")</f>
        <v/>
      </c>
      <c r="AA362" s="87" t="str">
        <f>IF(OR(TH!N362=TH!$AA$7,O362=TH!$AA$7),"x","")</f>
        <v/>
      </c>
      <c r="AB362" s="87" t="str">
        <f>IF(AND(OR(N362="131",O362="131"),H362='131-CT'!$H$9),"x","")</f>
        <v/>
      </c>
      <c r="AC362" s="87"/>
      <c r="AD362" s="87" t="str">
        <f>IF(AND(MONTH(E362)='IN-NX'!$J$5,'IN-NX'!$D$7=D362),"x","")</f>
        <v/>
      </c>
      <c r="AE362" s="87" t="str">
        <f>IF(AND(OR(LEFT(TH!N362,2)="15",LEFT(TH!O362,2)="15"),'152-CT'!$J$8=TH!F362),"x","")</f>
        <v/>
      </c>
      <c r="AF362" s="87" t="str">
        <f>IF(AND(OR(LEFT(TH!N362,2)="15",LEFT(TH!O362,2)="15"),'THE KHO'!$E$7=TH!F362),"x","")</f>
        <v/>
      </c>
      <c r="AG362" s="87" t="str">
        <f>IF(AND(N362="1521",MONTH(C362)='BK NL'!$M$11),"x","")</f>
        <v/>
      </c>
    </row>
    <row r="363" spans="1:33" ht="15.75" customHeight="1">
      <c r="A363" s="399" t="str">
        <f>IF(B363&lt;&gt;"",IF(AND(B363&gt;=_TM1,B363&lt;=_TM2,OR(TH!N363="1111",TH!O363="1111")),TH!D363,""),"")</f>
        <v/>
      </c>
      <c r="B363" s="63" t="str">
        <f t="shared" si="10"/>
        <v/>
      </c>
      <c r="C363" s="64"/>
      <c r="D363" s="64"/>
      <c r="E363" s="64"/>
      <c r="F363" s="67"/>
      <c r="G363" s="362"/>
      <c r="H363" s="75"/>
      <c r="I363" s="518"/>
      <c r="J363" s="518"/>
      <c r="K363" s="509"/>
      <c r="L363" s="518"/>
      <c r="M363" s="65"/>
      <c r="N363" s="66"/>
      <c r="O363" s="66"/>
      <c r="P363" s="87" t="str">
        <f>IF(AND('331-CT'!$E$7=TH!H363,OR(N363="331",O363="331")),"x","")</f>
        <v/>
      </c>
      <c r="Q363" s="87" t="str">
        <f>IF(AND(B363='111'!$L$11,OR($N363=$Q$7,$O363=$Q$7)),"x","")</f>
        <v/>
      </c>
      <c r="R363" s="87" t="str">
        <f>IF(AND($N363=$Q$7,$B363&lt;'111'!$L$11),"x","")</f>
        <v/>
      </c>
      <c r="S363" s="87" t="str">
        <f>IF(AND($O363=$Q$7,$B363&lt;'111'!$L$11),"x","")</f>
        <v/>
      </c>
      <c r="T363" s="87" t="str">
        <f>IF(ISERROR(FIND('112'!$M$9,G363,1)),"",IF((AND(FIND('112'!$M$9,G363,1)&gt;=1,B363='112'!$K$9,OR($N363='112'!$I$6,$O363='112'!$I$6))),"x",""))</f>
        <v/>
      </c>
      <c r="U363" s="87" t="str">
        <f>IF(ISERROR(FIND('112'!$M$9,G363,1)),"",IF((AND(FIND('112'!$M$9,G363,1)&gt;=1,B363&lt;'112'!$K$9,$N363='112'!$I$6)),"x",""))</f>
        <v/>
      </c>
      <c r="V363" s="87" t="str">
        <f>IF(ISERROR(FIND('112'!$M$9,G363,1)),"",IF((AND(FIND('112'!$M$9,G363,1)&gt;=1,B363&lt;'112'!$K$9,$O363='112'!$I$6)),"x",""))</f>
        <v/>
      </c>
      <c r="W363" s="87" t="str">
        <f>IF(AND($B363&gt;='1331'!$I$9,$B363&lt;='1331'!$J$9,OR($N363=$W$7,$O363=$W$7)),"x","")</f>
        <v/>
      </c>
      <c r="X363" s="87" t="str">
        <f>IF(AND($N363=$W$7,$B363&lt;'1331'!$I$9),"x","")</f>
        <v/>
      </c>
      <c r="Y363" s="87" t="str">
        <f>IF(AND($O363=$W$7,$B363&lt;'1331'!$I$9),"x","")</f>
        <v/>
      </c>
      <c r="Z363" s="87" t="str">
        <f>IF(AND('341-CT'!$H$9=H363,OR(LEFT(N363,3)=$Z$7,LEFT(O363,3)=$Z$7)),"x","")</f>
        <v/>
      </c>
      <c r="AA363" s="87" t="str">
        <f>IF(OR(TH!N363=TH!$AA$7,O363=TH!$AA$7),"x","")</f>
        <v/>
      </c>
      <c r="AB363" s="87" t="str">
        <f>IF(AND(OR(N363="131",O363="131"),H363='131-CT'!$H$9),"x","")</f>
        <v/>
      </c>
      <c r="AC363" s="87"/>
      <c r="AD363" s="87" t="str">
        <f>IF(AND(MONTH(E363)='IN-NX'!$J$5,'IN-NX'!$D$7=D363),"x","")</f>
        <v/>
      </c>
      <c r="AE363" s="87" t="str">
        <f>IF(AND(OR(LEFT(TH!N363,2)="15",LEFT(TH!O363,2)="15"),'152-CT'!$J$8=TH!F363),"x","")</f>
        <v/>
      </c>
      <c r="AF363" s="87" t="str">
        <f>IF(AND(OR(LEFT(TH!N363,2)="15",LEFT(TH!O363,2)="15"),'THE KHO'!$E$7=TH!F363),"x","")</f>
        <v/>
      </c>
      <c r="AG363" s="87" t="str">
        <f>IF(AND(N363="1521",MONTH(C363)='BK NL'!$M$11),"x","")</f>
        <v/>
      </c>
    </row>
    <row r="364" spans="1:33" ht="15.75" customHeight="1">
      <c r="A364" s="399" t="str">
        <f>IF(B364&lt;&gt;"",IF(AND(B364&gt;=_TM1,B364&lt;=_TM2,OR(TH!N364="1111",TH!O364="1111")),TH!D364,""),"")</f>
        <v/>
      </c>
      <c r="B364" s="63" t="str">
        <f t="shared" si="10"/>
        <v/>
      </c>
      <c r="C364" s="64"/>
      <c r="D364" s="64"/>
      <c r="E364" s="64"/>
      <c r="F364" s="67"/>
      <c r="G364" s="362"/>
      <c r="H364" s="75"/>
      <c r="I364" s="518"/>
      <c r="J364" s="518"/>
      <c r="K364" s="509"/>
      <c r="L364" s="518"/>
      <c r="M364" s="65"/>
      <c r="N364" s="66"/>
      <c r="O364" s="66"/>
      <c r="P364" s="87" t="str">
        <f>IF(AND('331-CT'!$E$7=TH!H364,OR(N364="331",O364="331")),"x","")</f>
        <v/>
      </c>
      <c r="Q364" s="87" t="str">
        <f>IF(AND(B364='111'!$L$11,OR($N364=$Q$7,$O364=$Q$7)),"x","")</f>
        <v/>
      </c>
      <c r="R364" s="87" t="str">
        <f>IF(AND($N364=$Q$7,$B364&lt;'111'!$L$11),"x","")</f>
        <v/>
      </c>
      <c r="S364" s="87" t="str">
        <f>IF(AND($O364=$Q$7,$B364&lt;'111'!$L$11),"x","")</f>
        <v/>
      </c>
      <c r="T364" s="87" t="str">
        <f>IF(ISERROR(FIND('112'!$M$9,G364,1)),"",IF((AND(FIND('112'!$M$9,G364,1)&gt;=1,B364='112'!$K$9,OR($N364='112'!$I$6,$O364='112'!$I$6))),"x",""))</f>
        <v/>
      </c>
      <c r="U364" s="87" t="str">
        <f>IF(ISERROR(FIND('112'!$M$9,G364,1)),"",IF((AND(FIND('112'!$M$9,G364,1)&gt;=1,B364&lt;'112'!$K$9,$N364='112'!$I$6)),"x",""))</f>
        <v/>
      </c>
      <c r="V364" s="87" t="str">
        <f>IF(ISERROR(FIND('112'!$M$9,G364,1)),"",IF((AND(FIND('112'!$M$9,G364,1)&gt;=1,B364&lt;'112'!$K$9,$O364='112'!$I$6)),"x",""))</f>
        <v/>
      </c>
      <c r="W364" s="87" t="str">
        <f>IF(AND($B364&gt;='1331'!$I$9,$B364&lt;='1331'!$J$9,OR($N364=$W$7,$O364=$W$7)),"x","")</f>
        <v/>
      </c>
      <c r="X364" s="87" t="str">
        <f>IF(AND($N364=$W$7,$B364&lt;'1331'!$I$9),"x","")</f>
        <v/>
      </c>
      <c r="Y364" s="87" t="str">
        <f>IF(AND($O364=$W$7,$B364&lt;'1331'!$I$9),"x","")</f>
        <v/>
      </c>
      <c r="Z364" s="87" t="str">
        <f>IF(AND('341-CT'!$H$9=H364,OR(LEFT(N364,3)=$Z$7,LEFT(O364,3)=$Z$7)),"x","")</f>
        <v/>
      </c>
      <c r="AA364" s="87" t="str">
        <f>IF(OR(TH!N364=TH!$AA$7,O364=TH!$AA$7),"x","")</f>
        <v/>
      </c>
      <c r="AB364" s="87" t="str">
        <f>IF(AND(OR(N364="131",O364="131"),H364='131-CT'!$H$9),"x","")</f>
        <v/>
      </c>
      <c r="AC364" s="87"/>
      <c r="AD364" s="87" t="str">
        <f>IF(AND(MONTH(E364)='IN-NX'!$J$5,'IN-NX'!$D$7=D364),"x","")</f>
        <v/>
      </c>
      <c r="AE364" s="87" t="str">
        <f>IF(AND(OR(LEFT(TH!N364,2)="15",LEFT(TH!O364,2)="15"),'152-CT'!$J$8=TH!F364),"x","")</f>
        <v/>
      </c>
      <c r="AF364" s="87" t="str">
        <f>IF(AND(OR(LEFT(TH!N364,2)="15",LEFT(TH!O364,2)="15"),'THE KHO'!$E$7=TH!F364),"x","")</f>
        <v/>
      </c>
      <c r="AG364" s="87" t="str">
        <f>IF(AND(N364="1521",MONTH(C364)='BK NL'!$M$11),"x","")</f>
        <v/>
      </c>
    </row>
    <row r="365" spans="1:33" s="411" customFormat="1" ht="15.75" customHeight="1">
      <c r="A365" s="399" t="str">
        <f>IF(B365&lt;&gt;"",IF(AND(B365&gt;=_TM1,B365&lt;=_TM2,OR(TH!N365="1111",TH!O365="1111")),TH!D365,""),"")</f>
        <v/>
      </c>
      <c r="B365" s="156" t="str">
        <f t="shared" si="10"/>
        <v/>
      </c>
      <c r="C365" s="157"/>
      <c r="D365" s="157"/>
      <c r="E365" s="157"/>
      <c r="F365" s="96"/>
      <c r="G365" s="362"/>
      <c r="H365" s="78"/>
      <c r="I365" s="523"/>
      <c r="J365" s="523"/>
      <c r="K365" s="514"/>
      <c r="L365" s="523"/>
      <c r="M365" s="158"/>
      <c r="N365" s="159"/>
      <c r="O365" s="159"/>
      <c r="P365" s="87" t="str">
        <f>IF(AND('331-CT'!$E$7=TH!H365,OR(N365="331",O365="331")),"x","")</f>
        <v/>
      </c>
      <c r="Q365" s="87" t="str">
        <f>IF(AND(B365='111'!$L$11,OR($N365=$Q$7,$O365=$Q$7)),"x","")</f>
        <v/>
      </c>
      <c r="R365" s="87" t="str">
        <f>IF(AND($N365=$Q$7,$B365&lt;'111'!$L$11),"x","")</f>
        <v/>
      </c>
      <c r="S365" s="87" t="str">
        <f>IF(AND($O365=$Q$7,$B365&lt;'111'!$L$11),"x","")</f>
        <v/>
      </c>
      <c r="T365" s="87" t="str">
        <f>IF(ISERROR(FIND('112'!$M$9,G365,1)),"",IF((AND(FIND('112'!$M$9,G365,1)&gt;=1,B365='112'!$K$9,OR($N365='112'!$I$6,$O365='112'!$I$6))),"x",""))</f>
        <v/>
      </c>
      <c r="U365" s="87" t="str">
        <f>IF(ISERROR(FIND('112'!$M$9,G365,1)),"",IF((AND(FIND('112'!$M$9,G365,1)&gt;=1,B365&lt;'112'!$K$9,$N365='112'!$I$6)),"x",""))</f>
        <v/>
      </c>
      <c r="V365" s="87" t="str">
        <f>IF(ISERROR(FIND('112'!$M$9,G365,1)),"",IF((AND(FIND('112'!$M$9,G365,1)&gt;=1,B365&lt;'112'!$K$9,$O365='112'!$I$6)),"x",""))</f>
        <v/>
      </c>
      <c r="W365" s="87" t="str">
        <f>IF(AND($B365&gt;='1331'!$I$9,$B365&lt;='1331'!$J$9,OR($N365=$W$7,$O365=$W$7)),"x","")</f>
        <v/>
      </c>
      <c r="X365" s="87" t="str">
        <f>IF(AND($N365=$W$7,$B365&lt;'1331'!$I$9),"x","")</f>
        <v/>
      </c>
      <c r="Y365" s="87" t="str">
        <f>IF(AND($O365=$W$7,$B365&lt;'1331'!$I$9),"x","")</f>
        <v/>
      </c>
      <c r="Z365" s="87" t="str">
        <f>IF(AND('341-CT'!$H$9=H365,OR(LEFT(N365,3)=$Z$7,LEFT(O365,3)=$Z$7)),"x","")</f>
        <v/>
      </c>
      <c r="AA365" s="87" t="str">
        <f>IF(OR(TH!N365=TH!$AA$7,O365=TH!$AA$7),"x","")</f>
        <v/>
      </c>
      <c r="AB365" s="87" t="str">
        <f>IF(AND(OR(N365="131",O365="131"),H365='131-CT'!$H$9),"x","")</f>
        <v/>
      </c>
      <c r="AC365" s="87"/>
      <c r="AD365" s="87" t="str">
        <f>IF(AND(MONTH(E365)='IN-NX'!$J$5,'IN-NX'!$D$7=D365),"x","")</f>
        <v/>
      </c>
      <c r="AE365" s="87" t="str">
        <f>IF(AND(OR(LEFT(TH!N365,2)="15",LEFT(TH!O365,2)="15"),'152-CT'!$J$8=TH!F365),"x","")</f>
        <v/>
      </c>
      <c r="AF365" s="87" t="str">
        <f>IF(AND(OR(LEFT(TH!N365,2)="15",LEFT(TH!O365,2)="15"),'THE KHO'!$E$7=TH!F365),"x","")</f>
        <v/>
      </c>
      <c r="AG365" s="87" t="str">
        <f>IF(AND(N365="1521",MONTH(C365)='BK NL'!$M$11),"x","")</f>
        <v/>
      </c>
    </row>
    <row r="366" spans="1:33" ht="15.75" customHeight="1">
      <c r="A366" s="399" t="str">
        <f>IF(B366&lt;&gt;"",IF(AND(B366&gt;=_TM1,B366&lt;=_TM2,OR(TH!N366="1111",TH!O366="1111")),TH!D366,""),"")</f>
        <v/>
      </c>
      <c r="B366" s="63" t="str">
        <f t="shared" si="10"/>
        <v/>
      </c>
      <c r="C366" s="64"/>
      <c r="D366" s="64"/>
      <c r="E366" s="64"/>
      <c r="F366" s="67"/>
      <c r="G366" s="362"/>
      <c r="H366" s="75"/>
      <c r="I366" s="518"/>
      <c r="J366" s="518"/>
      <c r="K366" s="509"/>
      <c r="L366" s="518"/>
      <c r="M366" s="65"/>
      <c r="N366" s="66"/>
      <c r="O366" s="66"/>
      <c r="P366" s="87" t="str">
        <f>IF(AND('331-CT'!$E$7=TH!H366,OR(N366="331",O366="331")),"x","")</f>
        <v/>
      </c>
      <c r="Q366" s="87" t="str">
        <f>IF(AND(B366='111'!$L$11,OR($N366=$Q$7,$O366=$Q$7)),"x","")</f>
        <v/>
      </c>
      <c r="R366" s="87" t="str">
        <f>IF(AND($N366=$Q$7,$B366&lt;'111'!$L$11),"x","")</f>
        <v/>
      </c>
      <c r="S366" s="87" t="str">
        <f>IF(AND($O366=$Q$7,$B366&lt;'111'!$L$11),"x","")</f>
        <v/>
      </c>
      <c r="T366" s="87" t="str">
        <f>IF(ISERROR(FIND('112'!$M$9,G366,1)),"",IF((AND(FIND('112'!$M$9,G366,1)&gt;=1,B366='112'!$K$9,OR($N366='112'!$I$6,$O366='112'!$I$6))),"x",""))</f>
        <v/>
      </c>
      <c r="U366" s="87" t="str">
        <f>IF(ISERROR(FIND('112'!$M$9,G366,1)),"",IF((AND(FIND('112'!$M$9,G366,1)&gt;=1,B366&lt;'112'!$K$9,$N366='112'!$I$6)),"x",""))</f>
        <v/>
      </c>
      <c r="V366" s="87" t="str">
        <f>IF(ISERROR(FIND('112'!$M$9,G366,1)),"",IF((AND(FIND('112'!$M$9,G366,1)&gt;=1,B366&lt;'112'!$K$9,$O366='112'!$I$6)),"x",""))</f>
        <v/>
      </c>
      <c r="W366" s="87" t="str">
        <f>IF(AND($B366&gt;='1331'!$I$9,$B366&lt;='1331'!$J$9,OR($N366=$W$7,$O366=$W$7)),"x","")</f>
        <v/>
      </c>
      <c r="X366" s="87" t="str">
        <f>IF(AND($N366=$W$7,$B366&lt;'1331'!$I$9),"x","")</f>
        <v/>
      </c>
      <c r="Y366" s="87" t="str">
        <f>IF(AND($O366=$W$7,$B366&lt;'1331'!$I$9),"x","")</f>
        <v/>
      </c>
      <c r="Z366" s="87" t="str">
        <f>IF(AND('341-CT'!$H$9=H366,OR(LEFT(N366,3)=$Z$7,LEFT(O366,3)=$Z$7)),"x","")</f>
        <v/>
      </c>
      <c r="AA366" s="87" t="str">
        <f>IF(OR(TH!N366=TH!$AA$7,O366=TH!$AA$7),"x","")</f>
        <v/>
      </c>
      <c r="AB366" s="87" t="str">
        <f>IF(AND(OR(N366="131",O366="131"),H366='131-CT'!$H$9),"x","")</f>
        <v/>
      </c>
      <c r="AC366" s="87"/>
      <c r="AD366" s="87" t="str">
        <f>IF(AND(MONTH(E366)='IN-NX'!$J$5,'IN-NX'!$D$7=D366),"x","")</f>
        <v/>
      </c>
      <c r="AE366" s="87" t="str">
        <f>IF(AND(OR(LEFT(TH!N366,2)="15",LEFT(TH!O366,2)="15"),'152-CT'!$J$8=TH!F366),"x","")</f>
        <v/>
      </c>
      <c r="AF366" s="87" t="str">
        <f>IF(AND(OR(LEFT(TH!N366,2)="15",LEFT(TH!O366,2)="15"),'THE KHO'!$E$7=TH!F366),"x","")</f>
        <v/>
      </c>
      <c r="AG366" s="87" t="str">
        <f>IF(AND(N366="1521",MONTH(C366)='BK NL'!$M$11),"x","")</f>
        <v/>
      </c>
    </row>
    <row r="367" spans="1:33" ht="15.75" customHeight="1">
      <c r="A367" s="399" t="str">
        <f>IF(B367&lt;&gt;"",IF(AND(B367&gt;=_TM1,B367&lt;=_TM2,OR(TH!N367="1111",TH!O367="1111")),TH!D367,""),"")</f>
        <v/>
      </c>
      <c r="B367" s="63" t="str">
        <f t="shared" si="10"/>
        <v/>
      </c>
      <c r="C367" s="64"/>
      <c r="D367" s="64"/>
      <c r="E367" s="64"/>
      <c r="F367" s="67"/>
      <c r="G367" s="362"/>
      <c r="H367" s="75"/>
      <c r="I367" s="518"/>
      <c r="J367" s="518"/>
      <c r="K367" s="509"/>
      <c r="L367" s="518"/>
      <c r="M367" s="65"/>
      <c r="N367" s="66"/>
      <c r="O367" s="66"/>
      <c r="P367" s="87" t="str">
        <f>IF(AND('331-CT'!$E$7=TH!H367,OR(N367="331",O367="331")),"x","")</f>
        <v/>
      </c>
      <c r="Q367" s="87" t="str">
        <f>IF(AND(B367='111'!$L$11,OR($N367=$Q$7,$O367=$Q$7)),"x","")</f>
        <v/>
      </c>
      <c r="R367" s="87" t="str">
        <f>IF(AND($N367=$Q$7,$B367&lt;'111'!$L$11),"x","")</f>
        <v/>
      </c>
      <c r="S367" s="87" t="str">
        <f>IF(AND($O367=$Q$7,$B367&lt;'111'!$L$11),"x","")</f>
        <v/>
      </c>
      <c r="T367" s="87" t="str">
        <f>IF(ISERROR(FIND('112'!$M$9,G367,1)),"",IF((AND(FIND('112'!$M$9,G367,1)&gt;=1,B367='112'!$K$9,OR($N367='112'!$I$6,$O367='112'!$I$6))),"x",""))</f>
        <v/>
      </c>
      <c r="U367" s="87" t="str">
        <f>IF(ISERROR(FIND('112'!$M$9,G367,1)),"",IF((AND(FIND('112'!$M$9,G367,1)&gt;=1,B367&lt;'112'!$K$9,$N367='112'!$I$6)),"x",""))</f>
        <v/>
      </c>
      <c r="V367" s="87" t="str">
        <f>IF(ISERROR(FIND('112'!$M$9,G367,1)),"",IF((AND(FIND('112'!$M$9,G367,1)&gt;=1,B367&lt;'112'!$K$9,$O367='112'!$I$6)),"x",""))</f>
        <v/>
      </c>
      <c r="W367" s="87" t="str">
        <f>IF(AND($B367&gt;='1331'!$I$9,$B367&lt;='1331'!$J$9,OR($N367=$W$7,$O367=$W$7)),"x","")</f>
        <v/>
      </c>
      <c r="X367" s="87" t="str">
        <f>IF(AND($N367=$W$7,$B367&lt;'1331'!$I$9),"x","")</f>
        <v/>
      </c>
      <c r="Y367" s="87" t="str">
        <f>IF(AND($O367=$W$7,$B367&lt;'1331'!$I$9),"x","")</f>
        <v/>
      </c>
      <c r="Z367" s="87" t="str">
        <f>IF(AND('341-CT'!$H$9=H367,OR(LEFT(N367,3)=$Z$7,LEFT(O367,3)=$Z$7)),"x","")</f>
        <v/>
      </c>
      <c r="AA367" s="87" t="str">
        <f>IF(OR(TH!N367=TH!$AA$7,O367=TH!$AA$7),"x","")</f>
        <v/>
      </c>
      <c r="AB367" s="87" t="str">
        <f>IF(AND(OR(N367="131",O367="131"),H367='131-CT'!$H$9),"x","")</f>
        <v/>
      </c>
      <c r="AC367" s="87"/>
      <c r="AD367" s="87" t="str">
        <f>IF(AND(MONTH(E367)='IN-NX'!$J$5,'IN-NX'!$D$7=D367),"x","")</f>
        <v/>
      </c>
      <c r="AE367" s="87" t="str">
        <f>IF(AND(OR(LEFT(TH!N367,2)="15",LEFT(TH!O367,2)="15"),'152-CT'!$J$8=TH!F367),"x","")</f>
        <v/>
      </c>
      <c r="AF367" s="87" t="str">
        <f>IF(AND(OR(LEFT(TH!N367,2)="15",LEFT(TH!O367,2)="15"),'THE KHO'!$E$7=TH!F367),"x","")</f>
        <v/>
      </c>
      <c r="AG367" s="87" t="str">
        <f>IF(AND(N367="1521",MONTH(C367)='BK NL'!$M$11),"x","")</f>
        <v/>
      </c>
    </row>
    <row r="368" spans="1:33" s="410" customFormat="1" ht="15.75" customHeight="1">
      <c r="A368" s="399" t="str">
        <f>IF(B368&lt;&gt;"",IF(AND(B368&gt;=_TM1,B368&lt;=_TM2,OR(TH!N368="1111",TH!O368="1111")),TH!D368,""),"")</f>
        <v/>
      </c>
      <c r="B368" s="82" t="str">
        <f t="shared" si="10"/>
        <v/>
      </c>
      <c r="C368" s="83"/>
      <c r="D368" s="83"/>
      <c r="E368" s="83"/>
      <c r="F368" s="84"/>
      <c r="G368" s="378"/>
      <c r="H368" s="85"/>
      <c r="I368" s="516"/>
      <c r="J368" s="516"/>
      <c r="K368" s="507"/>
      <c r="L368" s="516"/>
      <c r="M368" s="86"/>
      <c r="N368" s="87"/>
      <c r="O368" s="87"/>
      <c r="P368" s="87" t="str">
        <f>IF(AND('331-CT'!$E$7=TH!H368,OR(N368="331",O368="331")),"x","")</f>
        <v/>
      </c>
      <c r="Q368" s="87" t="str">
        <f>IF(AND(B368='111'!$L$11,OR($N368=$Q$7,$O368=$Q$7)),"x","")</f>
        <v/>
      </c>
      <c r="R368" s="87" t="str">
        <f>IF(AND($N368=$Q$7,$B368&lt;'111'!$L$11),"x","")</f>
        <v/>
      </c>
      <c r="S368" s="87" t="str">
        <f>IF(AND($O368=$Q$7,$B368&lt;'111'!$L$11),"x","")</f>
        <v/>
      </c>
      <c r="T368" s="87" t="str">
        <f>IF(ISERROR(FIND('112'!$M$9,G368,1)),"",IF((AND(FIND('112'!$M$9,G368,1)&gt;=1,B368='112'!$K$9,OR($N368='112'!$I$6,$O368='112'!$I$6))),"x",""))</f>
        <v/>
      </c>
      <c r="U368" s="87" t="str">
        <f>IF(ISERROR(FIND('112'!$M$9,G368,1)),"",IF((AND(FIND('112'!$M$9,G368,1)&gt;=1,B368&lt;'112'!$K$9,$N368='112'!$I$6)),"x",""))</f>
        <v/>
      </c>
      <c r="V368" s="87" t="str">
        <f>IF(ISERROR(FIND('112'!$M$9,G368,1)),"",IF((AND(FIND('112'!$M$9,G368,1)&gt;=1,B368&lt;'112'!$K$9,$O368='112'!$I$6)),"x",""))</f>
        <v/>
      </c>
      <c r="W368" s="87" t="str">
        <f>IF(AND($B368&gt;='1331'!$I$9,$B368&lt;='1331'!$J$9,OR($N368=$W$7,$O368=$W$7)),"x","")</f>
        <v/>
      </c>
      <c r="X368" s="87" t="str">
        <f>IF(AND($N368=$W$7,$B368&lt;'1331'!$I$9),"x","")</f>
        <v/>
      </c>
      <c r="Y368" s="87" t="str">
        <f>IF(AND($O368=$W$7,$B368&lt;'1331'!$I$9),"x","")</f>
        <v/>
      </c>
      <c r="Z368" s="87" t="str">
        <f>IF(AND('341-CT'!$H$9=H368,OR(LEFT(N368,3)=$Z$7,LEFT(O368,3)=$Z$7)),"x","")</f>
        <v/>
      </c>
      <c r="AA368" s="87" t="str">
        <f>IF(OR(TH!N368=TH!$AA$7,O368=TH!$AA$7),"x","")</f>
        <v/>
      </c>
      <c r="AB368" s="87" t="str">
        <f>IF(AND(OR(N368="131",O368="131"),H368='131-CT'!$H$9),"x","")</f>
        <v/>
      </c>
      <c r="AC368" s="87"/>
      <c r="AD368" s="87" t="str">
        <f>IF(AND(MONTH(E368)='IN-NX'!$J$5,'IN-NX'!$D$7=D368),"x","")</f>
        <v/>
      </c>
      <c r="AE368" s="87" t="str">
        <f>IF(AND(OR(LEFT(TH!N368,2)="15",LEFT(TH!O368,2)="15"),'152-CT'!$J$8=TH!F368),"x","")</f>
        <v/>
      </c>
      <c r="AF368" s="87" t="str">
        <f>IF(AND(OR(LEFT(TH!N368,2)="15",LEFT(TH!O368,2)="15"),'THE KHO'!$E$7=TH!F368),"x","")</f>
        <v/>
      </c>
      <c r="AG368" s="87" t="str">
        <f>IF(AND(N368="1521",MONTH(C368)='BK NL'!$M$11),"x","")</f>
        <v/>
      </c>
    </row>
    <row r="369" spans="1:33" ht="15.75" customHeight="1">
      <c r="A369" s="399" t="str">
        <f>IF(B369&lt;&gt;"",IF(AND(B369&gt;=_TM1,B369&lt;=_TM2,OR(TH!N369="1111",TH!O369="1111")),TH!D369,""),"")</f>
        <v/>
      </c>
      <c r="B369" s="63" t="str">
        <f t="shared" si="10"/>
        <v/>
      </c>
      <c r="C369" s="64"/>
      <c r="D369" s="83"/>
      <c r="E369" s="64"/>
      <c r="F369" s="67"/>
      <c r="G369" s="376"/>
      <c r="H369" s="75"/>
      <c r="I369" s="518"/>
      <c r="J369" s="518"/>
      <c r="K369" s="509"/>
      <c r="L369" s="518"/>
      <c r="M369" s="65"/>
      <c r="N369" s="66"/>
      <c r="O369" s="66"/>
      <c r="P369" s="87" t="str">
        <f>IF(AND('331-CT'!$E$7=TH!H369,OR(N369="331",O369="331")),"x","")</f>
        <v/>
      </c>
      <c r="Q369" s="87" t="str">
        <f>IF(AND(B369='111'!$L$11,OR($N369=$Q$7,$O369=$Q$7)),"x","")</f>
        <v/>
      </c>
      <c r="R369" s="87" t="str">
        <f>IF(AND($N369=$Q$7,$B369&lt;'111'!$L$11),"x","")</f>
        <v/>
      </c>
      <c r="S369" s="87" t="str">
        <f>IF(AND($O369=$Q$7,$B369&lt;'111'!$L$11),"x","")</f>
        <v/>
      </c>
      <c r="T369" s="87" t="str">
        <f>IF(ISERROR(FIND('112'!$M$9,G369,1)),"",IF((AND(FIND('112'!$M$9,G369,1)&gt;=1,B369='112'!$K$9,OR($N369='112'!$I$6,$O369='112'!$I$6))),"x",""))</f>
        <v/>
      </c>
      <c r="U369" s="87" t="str">
        <f>IF(ISERROR(FIND('112'!$M$9,G369,1)),"",IF((AND(FIND('112'!$M$9,G369,1)&gt;=1,B369&lt;'112'!$K$9,$N369='112'!$I$6)),"x",""))</f>
        <v/>
      </c>
      <c r="V369" s="87" t="str">
        <f>IF(ISERROR(FIND('112'!$M$9,G369,1)),"",IF((AND(FIND('112'!$M$9,G369,1)&gt;=1,B369&lt;'112'!$K$9,$O369='112'!$I$6)),"x",""))</f>
        <v/>
      </c>
      <c r="W369" s="87" t="str">
        <f>IF(AND($B369&gt;='1331'!$I$9,$B369&lt;='1331'!$J$9,OR($N369=$W$7,$O369=$W$7)),"x","")</f>
        <v/>
      </c>
      <c r="X369" s="87" t="str">
        <f>IF(AND($N369=$W$7,$B369&lt;'1331'!$I$9),"x","")</f>
        <v/>
      </c>
      <c r="Y369" s="87" t="str">
        <f>IF(AND($O369=$W$7,$B369&lt;'1331'!$I$9),"x","")</f>
        <v/>
      </c>
      <c r="Z369" s="87" t="str">
        <f>IF(AND('341-CT'!$H$9=H369,OR(LEFT(N369,3)=$Z$7,LEFT(O369,3)=$Z$7)),"x","")</f>
        <v/>
      </c>
      <c r="AA369" s="87" t="str">
        <f>IF(OR(TH!N369=TH!$AA$7,O369=TH!$AA$7),"x","")</f>
        <v/>
      </c>
      <c r="AB369" s="87" t="str">
        <f>IF(AND(OR(N369="131",O369="131"),H369='131-CT'!$H$9),"x","")</f>
        <v/>
      </c>
      <c r="AC369" s="87"/>
      <c r="AD369" s="87" t="str">
        <f>IF(AND(MONTH(E369)='IN-NX'!$J$5,'IN-NX'!$D$7=D369),"x","")</f>
        <v/>
      </c>
      <c r="AE369" s="87" t="str">
        <f>IF(AND(OR(LEFT(TH!N369,2)="15",LEFT(TH!O369,2)="15"),'152-CT'!$J$8=TH!F369),"x","")</f>
        <v/>
      </c>
      <c r="AF369" s="87" t="str">
        <f>IF(AND(OR(LEFT(TH!N369,2)="15",LEFT(TH!O369,2)="15"),'THE KHO'!$E$7=TH!F369),"x","")</f>
        <v/>
      </c>
      <c r="AG369" s="87" t="str">
        <f>IF(AND(N369="1521",MONTH(C369)='BK NL'!$M$11),"x","")</f>
        <v/>
      </c>
    </row>
    <row r="370" spans="1:33" ht="15.75" customHeight="1">
      <c r="A370" s="399" t="str">
        <f>IF(B370&lt;&gt;"",IF(AND(B370&gt;=_TM1,B370&lt;=_TM2,OR(TH!N370="1111",TH!O370="1111")),TH!D370,""),"")</f>
        <v/>
      </c>
      <c r="B370" s="63" t="str">
        <f t="shared" si="10"/>
        <v/>
      </c>
      <c r="C370" s="64"/>
      <c r="D370" s="64"/>
      <c r="E370" s="64"/>
      <c r="F370" s="67"/>
      <c r="G370" s="362"/>
      <c r="H370" s="75"/>
      <c r="I370" s="518"/>
      <c r="J370" s="518"/>
      <c r="K370" s="509"/>
      <c r="L370" s="518"/>
      <c r="M370" s="65"/>
      <c r="N370" s="66"/>
      <c r="O370" s="66"/>
      <c r="P370" s="87" t="str">
        <f>IF(AND('331-CT'!$E$7=TH!H370,OR(N370="331",O370="331")),"x","")</f>
        <v/>
      </c>
      <c r="Q370" s="87" t="str">
        <f>IF(AND(B370='111'!$L$11,OR($N370=$Q$7,$O370=$Q$7)),"x","")</f>
        <v/>
      </c>
      <c r="R370" s="87" t="str">
        <f>IF(AND($N370=$Q$7,$B370&lt;'111'!$L$11),"x","")</f>
        <v/>
      </c>
      <c r="S370" s="87" t="str">
        <f>IF(AND($O370=$Q$7,$B370&lt;'111'!$L$11),"x","")</f>
        <v/>
      </c>
      <c r="T370" s="87" t="str">
        <f>IF(ISERROR(FIND('112'!$M$9,G370,1)),"",IF((AND(FIND('112'!$M$9,G370,1)&gt;=1,B370='112'!$K$9,OR($N370='112'!$I$6,$O370='112'!$I$6))),"x",""))</f>
        <v/>
      </c>
      <c r="U370" s="87" t="str">
        <f>IF(ISERROR(FIND('112'!$M$9,G370,1)),"",IF((AND(FIND('112'!$M$9,G370,1)&gt;=1,B370&lt;'112'!$K$9,$N370='112'!$I$6)),"x",""))</f>
        <v/>
      </c>
      <c r="V370" s="87" t="str">
        <f>IF(ISERROR(FIND('112'!$M$9,G370,1)),"",IF((AND(FIND('112'!$M$9,G370,1)&gt;=1,B370&lt;'112'!$K$9,$O370='112'!$I$6)),"x",""))</f>
        <v/>
      </c>
      <c r="W370" s="87" t="str">
        <f>IF(AND($B370&gt;='1331'!$I$9,$B370&lt;='1331'!$J$9,OR($N370=$W$7,$O370=$W$7)),"x","")</f>
        <v/>
      </c>
      <c r="X370" s="87" t="str">
        <f>IF(AND($N370=$W$7,$B370&lt;'1331'!$I$9),"x","")</f>
        <v/>
      </c>
      <c r="Y370" s="87" t="str">
        <f>IF(AND($O370=$W$7,$B370&lt;'1331'!$I$9),"x","")</f>
        <v/>
      </c>
      <c r="Z370" s="87" t="str">
        <f>IF(AND('341-CT'!$H$9=H370,OR(LEFT(N370,3)=$Z$7,LEFT(O370,3)=$Z$7)),"x","")</f>
        <v/>
      </c>
      <c r="AA370" s="87" t="str">
        <f>IF(OR(TH!N370=TH!$AA$7,O370=TH!$AA$7),"x","")</f>
        <v/>
      </c>
      <c r="AB370" s="87" t="str">
        <f>IF(AND(OR(N370="131",O370="131"),H370='131-CT'!$H$9),"x","")</f>
        <v/>
      </c>
      <c r="AC370" s="87"/>
      <c r="AD370" s="87" t="str">
        <f>IF(AND(MONTH(E370)='IN-NX'!$J$5,'IN-NX'!$D$7=D370),"x","")</f>
        <v/>
      </c>
      <c r="AE370" s="87" t="str">
        <f>IF(AND(OR(LEFT(TH!N370,2)="15",LEFT(TH!O370,2)="15"),'152-CT'!$J$8=TH!F370),"x","")</f>
        <v/>
      </c>
      <c r="AF370" s="87" t="str">
        <f>IF(AND(OR(LEFT(TH!N370,2)="15",LEFT(TH!O370,2)="15"),'THE KHO'!$E$7=TH!F370),"x","")</f>
        <v/>
      </c>
      <c r="AG370" s="87" t="str">
        <f>IF(AND(N370="1521",MONTH(C370)='BK NL'!$M$11),"x","")</f>
        <v/>
      </c>
    </row>
    <row r="371" spans="1:33" ht="15.75" customHeight="1">
      <c r="A371" s="399" t="str">
        <f>IF(B371&lt;&gt;"",IF(AND(B371&gt;=_TM1,B371&lt;=_TM2,OR(TH!N371="1111",TH!O371="1111")),TH!D371,""),"")</f>
        <v/>
      </c>
      <c r="B371" s="63" t="str">
        <f t="shared" si="10"/>
        <v/>
      </c>
      <c r="C371" s="64"/>
      <c r="D371" s="64"/>
      <c r="E371" s="64"/>
      <c r="F371" s="67"/>
      <c r="G371" s="376"/>
      <c r="H371" s="75"/>
      <c r="I371" s="518"/>
      <c r="J371" s="518"/>
      <c r="K371" s="509"/>
      <c r="L371" s="518"/>
      <c r="M371" s="65"/>
      <c r="N371" s="66"/>
      <c r="O371" s="66"/>
      <c r="P371" s="87" t="str">
        <f>IF(AND('331-CT'!$E$7=TH!H371,OR(N371="331",O371="331")),"x","")</f>
        <v/>
      </c>
      <c r="Q371" s="87" t="str">
        <f>IF(AND(B371='111'!$L$11,OR($N371=$Q$7,$O371=$Q$7)),"x","")</f>
        <v/>
      </c>
      <c r="R371" s="87" t="str">
        <f>IF(AND($N371=$Q$7,$B371&lt;'111'!$L$11),"x","")</f>
        <v/>
      </c>
      <c r="S371" s="87" t="str">
        <f>IF(AND($O371=$Q$7,$B371&lt;'111'!$L$11),"x","")</f>
        <v/>
      </c>
      <c r="T371" s="87" t="str">
        <f>IF(ISERROR(FIND('112'!$M$9,G371,1)),"",IF((AND(FIND('112'!$M$9,G371,1)&gt;=1,B371='112'!$K$9,OR($N371='112'!$I$6,$O371='112'!$I$6))),"x",""))</f>
        <v/>
      </c>
      <c r="U371" s="87" t="str">
        <f>IF(ISERROR(FIND('112'!$M$9,G371,1)),"",IF((AND(FIND('112'!$M$9,G371,1)&gt;=1,B371&lt;'112'!$K$9,$N371='112'!$I$6)),"x",""))</f>
        <v/>
      </c>
      <c r="V371" s="87" t="str">
        <f>IF(ISERROR(FIND('112'!$M$9,G371,1)),"",IF((AND(FIND('112'!$M$9,G371,1)&gt;=1,B371&lt;'112'!$K$9,$O371='112'!$I$6)),"x",""))</f>
        <v/>
      </c>
      <c r="W371" s="87" t="str">
        <f>IF(AND($B371&gt;='1331'!$I$9,$B371&lt;='1331'!$J$9,OR($N371=$W$7,$O371=$W$7)),"x","")</f>
        <v/>
      </c>
      <c r="X371" s="87" t="str">
        <f>IF(AND($N371=$W$7,$B371&lt;'1331'!$I$9),"x","")</f>
        <v/>
      </c>
      <c r="Y371" s="87" t="str">
        <f>IF(AND($O371=$W$7,$B371&lt;'1331'!$I$9),"x","")</f>
        <v/>
      </c>
      <c r="Z371" s="87" t="str">
        <f>IF(AND('341-CT'!$H$9=H371,OR(LEFT(N371,3)=$Z$7,LEFT(O371,3)=$Z$7)),"x","")</f>
        <v/>
      </c>
      <c r="AA371" s="87" t="str">
        <f>IF(OR(TH!N371=TH!$AA$7,O371=TH!$AA$7),"x","")</f>
        <v/>
      </c>
      <c r="AB371" s="87" t="str">
        <f>IF(AND(OR(N371="131",O371="131"),H371='131-CT'!$H$9),"x","")</f>
        <v/>
      </c>
      <c r="AC371" s="87"/>
      <c r="AD371" s="87" t="str">
        <f>IF(AND(MONTH(E371)='IN-NX'!$J$5,'IN-NX'!$D$7=D371),"x","")</f>
        <v/>
      </c>
      <c r="AE371" s="87" t="str">
        <f>IF(AND(OR(LEFT(TH!N371,2)="15",LEFT(TH!O371,2)="15"),'152-CT'!$J$8=TH!F371),"x","")</f>
        <v/>
      </c>
      <c r="AF371" s="87" t="str">
        <f>IF(AND(OR(LEFT(TH!N371,2)="15",LEFT(TH!O371,2)="15"),'THE KHO'!$E$7=TH!F371),"x","")</f>
        <v/>
      </c>
      <c r="AG371" s="87" t="str">
        <f>IF(AND(N371="1521",MONTH(C371)='BK NL'!$M$11),"x","")</f>
        <v/>
      </c>
    </row>
    <row r="372" spans="1:33" ht="15.75" customHeight="1">
      <c r="A372" s="399" t="str">
        <f>IF(B372&lt;&gt;"",IF(AND(B372&gt;=_TM1,B372&lt;=_TM2,OR(TH!N372="1111",TH!O372="1111")),TH!D372,""),"")</f>
        <v/>
      </c>
      <c r="B372" s="63" t="str">
        <f t="shared" si="10"/>
        <v/>
      </c>
      <c r="C372" s="64"/>
      <c r="D372" s="64"/>
      <c r="E372" s="64"/>
      <c r="F372" s="67"/>
      <c r="G372" s="362"/>
      <c r="H372" s="75"/>
      <c r="I372" s="518"/>
      <c r="J372" s="518"/>
      <c r="K372" s="509"/>
      <c r="L372" s="518"/>
      <c r="M372" s="65"/>
      <c r="N372" s="66"/>
      <c r="O372" s="66"/>
      <c r="P372" s="87" t="str">
        <f>IF(AND('331-CT'!$E$7=TH!H372,OR(N372="331",O372="331")),"x","")</f>
        <v/>
      </c>
      <c r="Q372" s="87" t="str">
        <f>IF(AND(B372='111'!$L$11,OR($N372=$Q$7,$O372=$Q$7)),"x","")</f>
        <v/>
      </c>
      <c r="R372" s="87" t="str">
        <f>IF(AND($N372=$Q$7,$B372&lt;'111'!$L$11),"x","")</f>
        <v/>
      </c>
      <c r="S372" s="87" t="str">
        <f>IF(AND($O372=$Q$7,$B372&lt;'111'!$L$11),"x","")</f>
        <v/>
      </c>
      <c r="T372" s="87" t="str">
        <f>IF(ISERROR(FIND('112'!$M$9,G372,1)),"",IF((AND(FIND('112'!$M$9,G372,1)&gt;=1,B372='112'!$K$9,OR($N372='112'!$I$6,$O372='112'!$I$6))),"x",""))</f>
        <v/>
      </c>
      <c r="U372" s="87" t="str">
        <f>IF(ISERROR(FIND('112'!$M$9,G372,1)),"",IF((AND(FIND('112'!$M$9,G372,1)&gt;=1,B372&lt;'112'!$K$9,$N372='112'!$I$6)),"x",""))</f>
        <v/>
      </c>
      <c r="V372" s="87" t="str">
        <f>IF(ISERROR(FIND('112'!$M$9,G372,1)),"",IF((AND(FIND('112'!$M$9,G372,1)&gt;=1,B372&lt;'112'!$K$9,$O372='112'!$I$6)),"x",""))</f>
        <v/>
      </c>
      <c r="W372" s="87" t="str">
        <f>IF(AND($B372&gt;='1331'!$I$9,$B372&lt;='1331'!$J$9,OR($N372=$W$7,$O372=$W$7)),"x","")</f>
        <v/>
      </c>
      <c r="X372" s="87" t="str">
        <f>IF(AND($N372=$W$7,$B372&lt;'1331'!$I$9),"x","")</f>
        <v/>
      </c>
      <c r="Y372" s="87" t="str">
        <f>IF(AND($O372=$W$7,$B372&lt;'1331'!$I$9),"x","")</f>
        <v/>
      </c>
      <c r="Z372" s="87" t="str">
        <f>IF(AND('341-CT'!$H$9=H372,OR(LEFT(N372,3)=$Z$7,LEFT(O372,3)=$Z$7)),"x","")</f>
        <v/>
      </c>
      <c r="AA372" s="87" t="str">
        <f>IF(OR(TH!N372=TH!$AA$7,O372=TH!$AA$7),"x","")</f>
        <v/>
      </c>
      <c r="AB372" s="87" t="str">
        <f>IF(AND(OR(N372="131",O372="131"),H372='131-CT'!$H$9),"x","")</f>
        <v/>
      </c>
      <c r="AC372" s="87"/>
      <c r="AD372" s="87" t="str">
        <f>IF(AND(MONTH(E372)='IN-NX'!$J$5,'IN-NX'!$D$7=D372),"x","")</f>
        <v/>
      </c>
      <c r="AE372" s="87" t="str">
        <f>IF(AND(OR(LEFT(TH!N372,2)="15",LEFT(TH!O372,2)="15"),'152-CT'!$J$8=TH!F372),"x","")</f>
        <v/>
      </c>
      <c r="AF372" s="87" t="str">
        <f>IF(AND(OR(LEFT(TH!N372,2)="15",LEFT(TH!O372,2)="15"),'THE KHO'!$E$7=TH!F372),"x","")</f>
        <v/>
      </c>
      <c r="AG372" s="87" t="str">
        <f>IF(AND(N372="1521",MONTH(C372)='BK NL'!$M$11),"x","")</f>
        <v/>
      </c>
    </row>
    <row r="373" spans="1:33" ht="15.75" customHeight="1">
      <c r="A373" s="399" t="str">
        <f>IF(B373&lt;&gt;"",IF(AND(B373&gt;=_TM1,B373&lt;=_TM2,OR(TH!N373="1111",TH!O373="1111")),TH!D373,""),"")</f>
        <v/>
      </c>
      <c r="B373" s="63" t="str">
        <f t="shared" si="10"/>
        <v/>
      </c>
      <c r="C373" s="64"/>
      <c r="D373" s="64"/>
      <c r="E373" s="64"/>
      <c r="F373" s="67"/>
      <c r="G373" s="362"/>
      <c r="H373" s="75"/>
      <c r="I373" s="518"/>
      <c r="J373" s="518"/>
      <c r="K373" s="509"/>
      <c r="L373" s="518"/>
      <c r="M373" s="65"/>
      <c r="N373" s="66"/>
      <c r="O373" s="66"/>
      <c r="P373" s="87" t="str">
        <f>IF(AND('331-CT'!$E$7=TH!H373,OR(N373="331",O373="331")),"x","")</f>
        <v/>
      </c>
      <c r="Q373" s="87" t="str">
        <f>IF(AND(B373='111'!$L$11,OR($N373=$Q$7,$O373=$Q$7)),"x","")</f>
        <v/>
      </c>
      <c r="R373" s="87" t="str">
        <f>IF(AND($N373=$Q$7,$B373&lt;'111'!$L$11),"x","")</f>
        <v/>
      </c>
      <c r="S373" s="87" t="str">
        <f>IF(AND($O373=$Q$7,$B373&lt;'111'!$L$11),"x","")</f>
        <v/>
      </c>
      <c r="T373" s="87" t="str">
        <f>IF(ISERROR(FIND('112'!$M$9,G373,1)),"",IF((AND(FIND('112'!$M$9,G373,1)&gt;=1,B373='112'!$K$9,OR($N373='112'!$I$6,$O373='112'!$I$6))),"x",""))</f>
        <v/>
      </c>
      <c r="U373" s="87" t="str">
        <f>IF(ISERROR(FIND('112'!$M$9,G373,1)),"",IF((AND(FIND('112'!$M$9,G373,1)&gt;=1,B373&lt;'112'!$K$9,$N373='112'!$I$6)),"x",""))</f>
        <v/>
      </c>
      <c r="V373" s="87" t="str">
        <f>IF(ISERROR(FIND('112'!$M$9,G373,1)),"",IF((AND(FIND('112'!$M$9,G373,1)&gt;=1,B373&lt;'112'!$K$9,$O373='112'!$I$6)),"x",""))</f>
        <v/>
      </c>
      <c r="W373" s="87" t="str">
        <f>IF(AND($B373&gt;='1331'!$I$9,$B373&lt;='1331'!$J$9,OR($N373=$W$7,$O373=$W$7)),"x","")</f>
        <v/>
      </c>
      <c r="X373" s="87" t="str">
        <f>IF(AND($N373=$W$7,$B373&lt;'1331'!$I$9),"x","")</f>
        <v/>
      </c>
      <c r="Y373" s="87" t="str">
        <f>IF(AND($O373=$W$7,$B373&lt;'1331'!$I$9),"x","")</f>
        <v/>
      </c>
      <c r="Z373" s="87" t="str">
        <f>IF(AND('341-CT'!$H$9=H373,OR(LEFT(N373,3)=$Z$7,LEFT(O373,3)=$Z$7)),"x","")</f>
        <v/>
      </c>
      <c r="AA373" s="87" t="str">
        <f>IF(OR(TH!N373=TH!$AA$7,O373=TH!$AA$7),"x","")</f>
        <v/>
      </c>
      <c r="AB373" s="87" t="str">
        <f>IF(AND(OR(N373="131",O373="131"),H373='131-CT'!$H$9),"x","")</f>
        <v/>
      </c>
      <c r="AC373" s="87"/>
      <c r="AD373" s="87" t="str">
        <f>IF(AND(MONTH(E373)='IN-NX'!$J$5,'IN-NX'!$D$7=D373),"x","")</f>
        <v/>
      </c>
      <c r="AE373" s="87" t="str">
        <f>IF(AND(OR(LEFT(TH!N373,2)="15",LEFT(TH!O373,2)="15"),'152-CT'!$J$8=TH!F373),"x","")</f>
        <v/>
      </c>
      <c r="AF373" s="87" t="str">
        <f>IF(AND(OR(LEFT(TH!N373,2)="15",LEFT(TH!O373,2)="15"),'THE KHO'!$E$7=TH!F373),"x","")</f>
        <v/>
      </c>
      <c r="AG373" s="87" t="str">
        <f>IF(AND(N373="1521",MONTH(C373)='BK NL'!$M$11),"x","")</f>
        <v/>
      </c>
    </row>
    <row r="374" spans="1:33" ht="15.75" customHeight="1">
      <c r="A374" s="399" t="str">
        <f>IF(B374&lt;&gt;"",IF(AND(B374&gt;=_TM1,B374&lt;=_TM2,OR(TH!N374="1111",TH!O374="1111")),TH!D374,""),"")</f>
        <v/>
      </c>
      <c r="B374" s="63" t="str">
        <f t="shared" ref="B374:B424" si="11">IF(C374&lt;&gt;"",MONTH(C374),"")</f>
        <v/>
      </c>
      <c r="C374" s="64"/>
      <c r="D374" s="64"/>
      <c r="E374" s="64"/>
      <c r="F374" s="67"/>
      <c r="G374" s="362"/>
      <c r="H374" s="75"/>
      <c r="I374" s="518"/>
      <c r="J374" s="518"/>
      <c r="K374" s="509"/>
      <c r="L374" s="518"/>
      <c r="M374" s="65"/>
      <c r="N374" s="66"/>
      <c r="O374" s="66"/>
      <c r="P374" s="87" t="str">
        <f>IF(AND('331-CT'!$E$7=TH!H374,OR(N374="331",O374="331")),"x","")</f>
        <v/>
      </c>
      <c r="Q374" s="87" t="str">
        <f>IF(AND(B374='111'!$L$11,OR($N374=$Q$7,$O374=$Q$7)),"x","")</f>
        <v/>
      </c>
      <c r="R374" s="87" t="str">
        <f>IF(AND($N374=$Q$7,$B374&lt;'111'!$L$11),"x","")</f>
        <v/>
      </c>
      <c r="S374" s="87" t="str">
        <f>IF(AND($O374=$Q$7,$B374&lt;'111'!$L$11),"x","")</f>
        <v/>
      </c>
      <c r="T374" s="87" t="str">
        <f>IF(ISERROR(FIND('112'!$M$9,G374,1)),"",IF((AND(FIND('112'!$M$9,G374,1)&gt;=1,B374='112'!$K$9,OR($N374='112'!$I$6,$O374='112'!$I$6))),"x",""))</f>
        <v/>
      </c>
      <c r="U374" s="87" t="str">
        <f>IF(ISERROR(FIND('112'!$M$9,G374,1)),"",IF((AND(FIND('112'!$M$9,G374,1)&gt;=1,B374&lt;'112'!$K$9,$N374='112'!$I$6)),"x",""))</f>
        <v/>
      </c>
      <c r="V374" s="87" t="str">
        <f>IF(ISERROR(FIND('112'!$M$9,G374,1)),"",IF((AND(FIND('112'!$M$9,G374,1)&gt;=1,B374&lt;'112'!$K$9,$O374='112'!$I$6)),"x",""))</f>
        <v/>
      </c>
      <c r="W374" s="87" t="str">
        <f>IF(AND($B374&gt;='1331'!$I$9,$B374&lt;='1331'!$J$9,OR($N374=$W$7,$O374=$W$7)),"x","")</f>
        <v/>
      </c>
      <c r="X374" s="87" t="str">
        <f>IF(AND($N374=$W$7,$B374&lt;'1331'!$I$9),"x","")</f>
        <v/>
      </c>
      <c r="Y374" s="87" t="str">
        <f>IF(AND($O374=$W$7,$B374&lt;'1331'!$I$9),"x","")</f>
        <v/>
      </c>
      <c r="Z374" s="87" t="str">
        <f>IF(AND('341-CT'!$H$9=H374,OR(LEFT(N374,3)=$Z$7,LEFT(O374,3)=$Z$7)),"x","")</f>
        <v/>
      </c>
      <c r="AA374" s="87" t="str">
        <f>IF(OR(TH!N374=TH!$AA$7,O374=TH!$AA$7),"x","")</f>
        <v/>
      </c>
      <c r="AB374" s="87" t="str">
        <f>IF(AND(OR(N374="131",O374="131"),H374='131-CT'!$H$9),"x","")</f>
        <v/>
      </c>
      <c r="AC374" s="87"/>
      <c r="AD374" s="87" t="str">
        <f>IF(AND(MONTH(E374)='IN-NX'!$J$5,'IN-NX'!$D$7=D374),"x","")</f>
        <v/>
      </c>
      <c r="AE374" s="87" t="str">
        <f>IF(AND(OR(LEFT(TH!N374,2)="15",LEFT(TH!O374,2)="15"),'152-CT'!$J$8=TH!F374),"x","")</f>
        <v/>
      </c>
      <c r="AF374" s="87" t="str">
        <f>IF(AND(OR(LEFT(TH!N374,2)="15",LEFT(TH!O374,2)="15"),'THE KHO'!$E$7=TH!F374),"x","")</f>
        <v/>
      </c>
      <c r="AG374" s="87" t="str">
        <f>IF(AND(N374="1521",MONTH(C374)='BK NL'!$M$11),"x","")</f>
        <v/>
      </c>
    </row>
    <row r="375" spans="1:33" ht="15.75" customHeight="1">
      <c r="A375" s="399" t="str">
        <f>IF(B375&lt;&gt;"",IF(AND(B375&gt;=_TM1,B375&lt;=_TM2,OR(TH!N375="1111",TH!O375="1111")),TH!D375,""),"")</f>
        <v/>
      </c>
      <c r="B375" s="63" t="str">
        <f t="shared" si="11"/>
        <v/>
      </c>
      <c r="C375" s="64"/>
      <c r="D375" s="64"/>
      <c r="E375" s="64"/>
      <c r="F375" s="67"/>
      <c r="G375" s="362"/>
      <c r="H375" s="75"/>
      <c r="I375" s="518"/>
      <c r="J375" s="518"/>
      <c r="K375" s="509"/>
      <c r="L375" s="518"/>
      <c r="M375" s="65"/>
      <c r="N375" s="66"/>
      <c r="O375" s="66"/>
      <c r="P375" s="87" t="str">
        <f>IF(AND('331-CT'!$E$7=TH!H375,OR(N375="331",O375="331")),"x","")</f>
        <v/>
      </c>
      <c r="Q375" s="87" t="str">
        <f>IF(AND(B375='111'!$L$11,OR($N375=$Q$7,$O375=$Q$7)),"x","")</f>
        <v/>
      </c>
      <c r="R375" s="87" t="str">
        <f>IF(AND($N375=$Q$7,$B375&lt;'111'!$L$11),"x","")</f>
        <v/>
      </c>
      <c r="S375" s="87" t="str">
        <f>IF(AND($O375=$Q$7,$B375&lt;'111'!$L$11),"x","")</f>
        <v/>
      </c>
      <c r="T375" s="87" t="str">
        <f>IF(ISERROR(FIND('112'!$M$9,G375,1)),"",IF((AND(FIND('112'!$M$9,G375,1)&gt;=1,B375='112'!$K$9,OR($N375='112'!$I$6,$O375='112'!$I$6))),"x",""))</f>
        <v/>
      </c>
      <c r="U375" s="87" t="str">
        <f>IF(ISERROR(FIND('112'!$M$9,G375,1)),"",IF((AND(FIND('112'!$M$9,G375,1)&gt;=1,B375&lt;'112'!$K$9,$N375='112'!$I$6)),"x",""))</f>
        <v/>
      </c>
      <c r="V375" s="87" t="str">
        <f>IF(ISERROR(FIND('112'!$M$9,G375,1)),"",IF((AND(FIND('112'!$M$9,G375,1)&gt;=1,B375&lt;'112'!$K$9,$O375='112'!$I$6)),"x",""))</f>
        <v/>
      </c>
      <c r="W375" s="87" t="str">
        <f>IF(AND($B375&gt;='1331'!$I$9,$B375&lt;='1331'!$J$9,OR($N375=$W$7,$O375=$W$7)),"x","")</f>
        <v/>
      </c>
      <c r="X375" s="87" t="str">
        <f>IF(AND($N375=$W$7,$B375&lt;'1331'!$I$9),"x","")</f>
        <v/>
      </c>
      <c r="Y375" s="87" t="str">
        <f>IF(AND($O375=$W$7,$B375&lt;'1331'!$I$9),"x","")</f>
        <v/>
      </c>
      <c r="Z375" s="87" t="str">
        <f>IF(AND('341-CT'!$H$9=H375,OR(LEFT(N375,3)=$Z$7,LEFT(O375,3)=$Z$7)),"x","")</f>
        <v/>
      </c>
      <c r="AA375" s="87" t="str">
        <f>IF(OR(TH!N375=TH!$AA$7,O375=TH!$AA$7),"x","")</f>
        <v/>
      </c>
      <c r="AB375" s="87" t="str">
        <f>IF(AND(OR(N375="131",O375="131"),H375='131-CT'!$H$9),"x","")</f>
        <v/>
      </c>
      <c r="AC375" s="87"/>
      <c r="AD375" s="87" t="str">
        <f>IF(AND(MONTH(E375)='IN-NX'!$J$5,'IN-NX'!$D$7=D375),"x","")</f>
        <v/>
      </c>
      <c r="AE375" s="87" t="str">
        <f>IF(AND(OR(LEFT(TH!N375,2)="15",LEFT(TH!O375,2)="15"),'152-CT'!$J$8=TH!F375),"x","")</f>
        <v/>
      </c>
      <c r="AF375" s="87" t="str">
        <f>IF(AND(OR(LEFT(TH!N375,2)="15",LEFT(TH!O375,2)="15"),'THE KHO'!$E$7=TH!F375),"x","")</f>
        <v/>
      </c>
      <c r="AG375" s="87" t="str">
        <f>IF(AND(N375="1521",MONTH(C375)='BK NL'!$M$11),"x","")</f>
        <v/>
      </c>
    </row>
    <row r="376" spans="1:33" ht="15.75" customHeight="1">
      <c r="A376" s="399" t="str">
        <f>IF(B376&lt;&gt;"",IF(AND(B376&gt;=_TM1,B376&lt;=_TM2,OR(TH!N376="1111",TH!O376="1111")),TH!D376,""),"")</f>
        <v/>
      </c>
      <c r="B376" s="63" t="str">
        <f t="shared" si="11"/>
        <v/>
      </c>
      <c r="C376" s="64"/>
      <c r="D376" s="64"/>
      <c r="E376" s="64"/>
      <c r="F376" s="67"/>
      <c r="G376" s="362"/>
      <c r="H376" s="75"/>
      <c r="I376" s="518"/>
      <c r="J376" s="518"/>
      <c r="K376" s="509"/>
      <c r="L376" s="518"/>
      <c r="M376" s="65"/>
      <c r="N376" s="66"/>
      <c r="O376" s="66"/>
      <c r="P376" s="87" t="str">
        <f>IF(AND('331-CT'!$E$7=TH!H376,OR(N376="331",O376="331")),"x","")</f>
        <v/>
      </c>
      <c r="Q376" s="87" t="str">
        <f>IF(AND(B376='111'!$L$11,OR($N376=$Q$7,$O376=$Q$7)),"x","")</f>
        <v/>
      </c>
      <c r="R376" s="87" t="str">
        <f>IF(AND($N376=$Q$7,$B376&lt;'111'!$L$11),"x","")</f>
        <v/>
      </c>
      <c r="S376" s="87" t="str">
        <f>IF(AND($O376=$Q$7,$B376&lt;'111'!$L$11),"x","")</f>
        <v/>
      </c>
      <c r="T376" s="87" t="str">
        <f>IF(ISERROR(FIND('112'!$M$9,G376,1)),"",IF((AND(FIND('112'!$M$9,G376,1)&gt;=1,B376='112'!$K$9,OR($N376='112'!$I$6,$O376='112'!$I$6))),"x",""))</f>
        <v/>
      </c>
      <c r="U376" s="87" t="str">
        <f>IF(ISERROR(FIND('112'!$M$9,G376,1)),"",IF((AND(FIND('112'!$M$9,G376,1)&gt;=1,B376&lt;'112'!$K$9,$N376='112'!$I$6)),"x",""))</f>
        <v/>
      </c>
      <c r="V376" s="87" t="str">
        <f>IF(ISERROR(FIND('112'!$M$9,G376,1)),"",IF((AND(FIND('112'!$M$9,G376,1)&gt;=1,B376&lt;'112'!$K$9,$O376='112'!$I$6)),"x",""))</f>
        <v/>
      </c>
      <c r="W376" s="87" t="str">
        <f>IF(AND($B376&gt;='1331'!$I$9,$B376&lt;='1331'!$J$9,OR($N376=$W$7,$O376=$W$7)),"x","")</f>
        <v/>
      </c>
      <c r="X376" s="87" t="str">
        <f>IF(AND($N376=$W$7,$B376&lt;'1331'!$I$9),"x","")</f>
        <v/>
      </c>
      <c r="Y376" s="87" t="str">
        <f>IF(AND($O376=$W$7,$B376&lt;'1331'!$I$9),"x","")</f>
        <v/>
      </c>
      <c r="Z376" s="87" t="str">
        <f>IF(AND('341-CT'!$H$9=H376,OR(LEFT(N376,3)=$Z$7,LEFT(O376,3)=$Z$7)),"x","")</f>
        <v/>
      </c>
      <c r="AA376" s="87" t="str">
        <f>IF(OR(TH!N376=TH!$AA$7,O376=TH!$AA$7),"x","")</f>
        <v/>
      </c>
      <c r="AB376" s="87" t="str">
        <f>IF(AND(OR(N376="131",O376="131"),H376='131-CT'!$H$9),"x","")</f>
        <v/>
      </c>
      <c r="AC376" s="87"/>
      <c r="AD376" s="87" t="str">
        <f>IF(AND(MONTH(E376)='IN-NX'!$J$5,'IN-NX'!$D$7=D376),"x","")</f>
        <v/>
      </c>
      <c r="AE376" s="87" t="str">
        <f>IF(AND(OR(LEFT(TH!N376,2)="15",LEFT(TH!O376,2)="15"),'152-CT'!$J$8=TH!F376),"x","")</f>
        <v/>
      </c>
      <c r="AF376" s="87" t="str">
        <f>IF(AND(OR(LEFT(TH!N376,2)="15",LEFT(TH!O376,2)="15"),'THE KHO'!$E$7=TH!F376),"x","")</f>
        <v/>
      </c>
      <c r="AG376" s="87" t="str">
        <f>IF(AND(N376="1521",MONTH(C376)='BK NL'!$M$11),"x","")</f>
        <v/>
      </c>
    </row>
    <row r="377" spans="1:33" ht="15.75" customHeight="1">
      <c r="A377" s="399" t="str">
        <f>IF(B377&lt;&gt;"",IF(AND(B377&gt;=_TM1,B377&lt;=_TM2,OR(TH!N377="1111",TH!O377="1111")),TH!D377,""),"")</f>
        <v/>
      </c>
      <c r="B377" s="63" t="str">
        <f t="shared" si="11"/>
        <v/>
      </c>
      <c r="C377" s="64"/>
      <c r="D377" s="64"/>
      <c r="E377" s="64"/>
      <c r="F377" s="67"/>
      <c r="G377" s="362"/>
      <c r="H377" s="75"/>
      <c r="I377" s="518"/>
      <c r="J377" s="518"/>
      <c r="K377" s="509"/>
      <c r="L377" s="518"/>
      <c r="M377" s="65"/>
      <c r="N377" s="66"/>
      <c r="O377" s="66"/>
      <c r="P377" s="87" t="str">
        <f>IF(AND('331-CT'!$E$7=TH!H377,OR(N377="331",O377="331")),"x","")</f>
        <v/>
      </c>
      <c r="Q377" s="87" t="str">
        <f>IF(AND(B377='111'!$L$11,OR($N377=$Q$7,$O377=$Q$7)),"x","")</f>
        <v/>
      </c>
      <c r="R377" s="87" t="str">
        <f>IF(AND($N377=$Q$7,$B377&lt;'111'!$L$11),"x","")</f>
        <v/>
      </c>
      <c r="S377" s="87" t="str">
        <f>IF(AND($O377=$Q$7,$B377&lt;'111'!$L$11),"x","")</f>
        <v/>
      </c>
      <c r="T377" s="87" t="str">
        <f>IF(ISERROR(FIND('112'!$M$9,G377,1)),"",IF((AND(FIND('112'!$M$9,G377,1)&gt;=1,B377='112'!$K$9,OR($N377='112'!$I$6,$O377='112'!$I$6))),"x",""))</f>
        <v/>
      </c>
      <c r="U377" s="87" t="str">
        <f>IF(ISERROR(FIND('112'!$M$9,G377,1)),"",IF((AND(FIND('112'!$M$9,G377,1)&gt;=1,B377&lt;'112'!$K$9,$N377='112'!$I$6)),"x",""))</f>
        <v/>
      </c>
      <c r="V377" s="87" t="str">
        <f>IF(ISERROR(FIND('112'!$M$9,G377,1)),"",IF((AND(FIND('112'!$M$9,G377,1)&gt;=1,B377&lt;'112'!$K$9,$O377='112'!$I$6)),"x",""))</f>
        <v/>
      </c>
      <c r="W377" s="87" t="str">
        <f>IF(AND($B377&gt;='1331'!$I$9,$B377&lt;='1331'!$J$9,OR($N377=$W$7,$O377=$W$7)),"x","")</f>
        <v/>
      </c>
      <c r="X377" s="87" t="str">
        <f>IF(AND($N377=$W$7,$B377&lt;'1331'!$I$9),"x","")</f>
        <v/>
      </c>
      <c r="Y377" s="87" t="str">
        <f>IF(AND($O377=$W$7,$B377&lt;'1331'!$I$9),"x","")</f>
        <v/>
      </c>
      <c r="Z377" s="87" t="str">
        <f>IF(AND('341-CT'!$H$9=H377,OR(LEFT(N377,3)=$Z$7,LEFT(O377,3)=$Z$7)),"x","")</f>
        <v/>
      </c>
      <c r="AA377" s="87" t="str">
        <f>IF(OR(TH!N377=TH!$AA$7,O377=TH!$AA$7),"x","")</f>
        <v/>
      </c>
      <c r="AB377" s="87" t="str">
        <f>IF(AND(OR(N377="131",O377="131"),H377='131-CT'!$H$9),"x","")</f>
        <v/>
      </c>
      <c r="AC377" s="87"/>
      <c r="AD377" s="87" t="str">
        <f>IF(AND(MONTH(E377)='IN-NX'!$J$5,'IN-NX'!$D$7=D377),"x","")</f>
        <v/>
      </c>
      <c r="AE377" s="87" t="str">
        <f>IF(AND(OR(LEFT(TH!N377,2)="15",LEFT(TH!O377,2)="15"),'152-CT'!$J$8=TH!F377),"x","")</f>
        <v/>
      </c>
      <c r="AF377" s="87" t="str">
        <f>IF(AND(OR(LEFT(TH!N377,2)="15",LEFT(TH!O377,2)="15"),'THE KHO'!$E$7=TH!F377),"x","")</f>
        <v/>
      </c>
      <c r="AG377" s="87" t="str">
        <f>IF(AND(N377="1521",MONTH(C377)='BK NL'!$M$11),"x","")</f>
        <v/>
      </c>
    </row>
    <row r="378" spans="1:33" s="411" customFormat="1" ht="15.75" customHeight="1">
      <c r="A378" s="399" t="str">
        <f>IF(B378&lt;&gt;"",IF(AND(B378&gt;=_TM1,B378&lt;=_TM2,OR(TH!N378="1111",TH!O378="1111")),TH!D378,""),"")</f>
        <v/>
      </c>
      <c r="B378" s="156" t="str">
        <f t="shared" si="11"/>
        <v/>
      </c>
      <c r="C378" s="157"/>
      <c r="D378" s="64"/>
      <c r="E378" s="157"/>
      <c r="F378" s="96"/>
      <c r="G378" s="362"/>
      <c r="H378" s="78"/>
      <c r="I378" s="523"/>
      <c r="J378" s="523"/>
      <c r="K378" s="514"/>
      <c r="L378" s="523"/>
      <c r="M378" s="158"/>
      <c r="N378" s="159"/>
      <c r="O378" s="159"/>
      <c r="P378" s="87" t="str">
        <f>IF(AND('331-CT'!$E$7=TH!H378,OR(N378="331",O378="331")),"x","")</f>
        <v/>
      </c>
      <c r="Q378" s="87" t="str">
        <f>IF(AND(B378='111'!$L$11,OR($N378=$Q$7,$O378=$Q$7)),"x","")</f>
        <v/>
      </c>
      <c r="R378" s="87" t="str">
        <f>IF(AND($N378=$Q$7,$B378&lt;'111'!$L$11),"x","")</f>
        <v/>
      </c>
      <c r="S378" s="87" t="str">
        <f>IF(AND($O378=$Q$7,$B378&lt;'111'!$L$11),"x","")</f>
        <v/>
      </c>
      <c r="T378" s="87" t="str">
        <f>IF(ISERROR(FIND('112'!$M$9,G378,1)),"",IF((AND(FIND('112'!$M$9,G378,1)&gt;=1,B378='112'!$K$9,OR($N378='112'!$I$6,$O378='112'!$I$6))),"x",""))</f>
        <v/>
      </c>
      <c r="U378" s="87" t="str">
        <f>IF(ISERROR(FIND('112'!$M$9,G378,1)),"",IF((AND(FIND('112'!$M$9,G378,1)&gt;=1,B378&lt;'112'!$K$9,$N378='112'!$I$6)),"x",""))</f>
        <v/>
      </c>
      <c r="V378" s="87" t="str">
        <f>IF(ISERROR(FIND('112'!$M$9,G378,1)),"",IF((AND(FIND('112'!$M$9,G378,1)&gt;=1,B378&lt;'112'!$K$9,$O378='112'!$I$6)),"x",""))</f>
        <v/>
      </c>
      <c r="W378" s="87" t="str">
        <f>IF(AND($B378&gt;='1331'!$I$9,$B378&lt;='1331'!$J$9,OR($N378=$W$7,$O378=$W$7)),"x","")</f>
        <v/>
      </c>
      <c r="X378" s="87" t="str">
        <f>IF(AND($N378=$W$7,$B378&lt;'1331'!$I$9),"x","")</f>
        <v/>
      </c>
      <c r="Y378" s="87" t="str">
        <f>IF(AND($O378=$W$7,$B378&lt;'1331'!$I$9),"x","")</f>
        <v/>
      </c>
      <c r="Z378" s="87" t="str">
        <f>IF(AND('341-CT'!$H$9=H378,OR(LEFT(N378,3)=$Z$7,LEFT(O378,3)=$Z$7)),"x","")</f>
        <v/>
      </c>
      <c r="AA378" s="87" t="str">
        <f>IF(OR(TH!N378=TH!$AA$7,O378=TH!$AA$7),"x","")</f>
        <v/>
      </c>
      <c r="AB378" s="87" t="str">
        <f>IF(AND(OR(N378="131",O378="131"),H378='131-CT'!$H$9),"x","")</f>
        <v/>
      </c>
      <c r="AC378" s="87"/>
      <c r="AD378" s="87" t="str">
        <f>IF(AND(MONTH(E378)='IN-NX'!$J$5,'IN-NX'!$D$7=D378),"x","")</f>
        <v/>
      </c>
      <c r="AE378" s="87" t="str">
        <f>IF(AND(OR(LEFT(TH!N378,2)="15",LEFT(TH!O378,2)="15"),'152-CT'!$J$8=TH!F378),"x","")</f>
        <v/>
      </c>
      <c r="AF378" s="87" t="str">
        <f>IF(AND(OR(LEFT(TH!N378,2)="15",LEFT(TH!O378,2)="15"),'THE KHO'!$E$7=TH!F378),"x","")</f>
        <v/>
      </c>
      <c r="AG378" s="87" t="str">
        <f>IF(AND(N378="1521",MONTH(C378)='BK NL'!$M$11),"x","")</f>
        <v/>
      </c>
    </row>
    <row r="379" spans="1:33" s="411" customFormat="1" ht="15.75" customHeight="1">
      <c r="A379" s="399" t="str">
        <f>IF(B379&lt;&gt;"",IF(AND(B379&gt;=_TM1,B379&lt;=_TM2,OR(TH!N379="1111",TH!O379="1111")),TH!D379,""),"")</f>
        <v/>
      </c>
      <c r="B379" s="156" t="str">
        <f t="shared" si="11"/>
        <v/>
      </c>
      <c r="C379" s="157"/>
      <c r="D379" s="64"/>
      <c r="E379" s="157"/>
      <c r="F379" s="96"/>
      <c r="G379" s="362"/>
      <c r="H379" s="78"/>
      <c r="I379" s="523"/>
      <c r="J379" s="523"/>
      <c r="K379" s="514"/>
      <c r="L379" s="523"/>
      <c r="M379" s="158"/>
      <c r="N379" s="159"/>
      <c r="O379" s="159"/>
      <c r="P379" s="87" t="str">
        <f>IF(AND('331-CT'!$E$7=TH!H379,OR(N379="331",O379="331")),"x","")</f>
        <v/>
      </c>
      <c r="Q379" s="87" t="str">
        <f>IF(AND(B379='111'!$L$11,OR($N379=$Q$7,$O379=$Q$7)),"x","")</f>
        <v/>
      </c>
      <c r="R379" s="87" t="str">
        <f>IF(AND($N379=$Q$7,$B379&lt;'111'!$L$11),"x","")</f>
        <v/>
      </c>
      <c r="S379" s="87" t="str">
        <f>IF(AND($O379=$Q$7,$B379&lt;'111'!$L$11),"x","")</f>
        <v/>
      </c>
      <c r="T379" s="87" t="str">
        <f>IF(ISERROR(FIND('112'!$M$9,G379,1)),"",IF((AND(FIND('112'!$M$9,G379,1)&gt;=1,B379='112'!$K$9,OR($N379='112'!$I$6,$O379='112'!$I$6))),"x",""))</f>
        <v/>
      </c>
      <c r="U379" s="87" t="str">
        <f>IF(ISERROR(FIND('112'!$M$9,G379,1)),"",IF((AND(FIND('112'!$M$9,G379,1)&gt;=1,B379&lt;'112'!$K$9,$N379='112'!$I$6)),"x",""))</f>
        <v/>
      </c>
      <c r="V379" s="87" t="str">
        <f>IF(ISERROR(FIND('112'!$M$9,G379,1)),"",IF((AND(FIND('112'!$M$9,G379,1)&gt;=1,B379&lt;'112'!$K$9,$O379='112'!$I$6)),"x",""))</f>
        <v/>
      </c>
      <c r="W379" s="87" t="str">
        <f>IF(AND($B379&gt;='1331'!$I$9,$B379&lt;='1331'!$J$9,OR($N379=$W$7,$O379=$W$7)),"x","")</f>
        <v/>
      </c>
      <c r="X379" s="87" t="str">
        <f>IF(AND($N379=$W$7,$B379&lt;'1331'!$I$9),"x","")</f>
        <v/>
      </c>
      <c r="Y379" s="87" t="str">
        <f>IF(AND($O379=$W$7,$B379&lt;'1331'!$I$9),"x","")</f>
        <v/>
      </c>
      <c r="Z379" s="87" t="str">
        <f>IF(AND('341-CT'!$H$9=H379,OR(LEFT(N379,3)=$Z$7,LEFT(O379,3)=$Z$7)),"x","")</f>
        <v/>
      </c>
      <c r="AA379" s="87" t="str">
        <f>IF(OR(TH!N379=TH!$AA$7,O379=TH!$AA$7),"x","")</f>
        <v/>
      </c>
      <c r="AB379" s="87" t="str">
        <f>IF(AND(OR(N379="131",O379="131"),H379='131-CT'!$H$9),"x","")</f>
        <v/>
      </c>
      <c r="AC379" s="87"/>
      <c r="AD379" s="87" t="str">
        <f>IF(AND(MONTH(E379)='IN-NX'!$J$5,'IN-NX'!$D$7=D379),"x","")</f>
        <v/>
      </c>
      <c r="AE379" s="87" t="str">
        <f>IF(AND(OR(LEFT(TH!N379,2)="15",LEFT(TH!O379,2)="15"),'152-CT'!$J$8=TH!F379),"x","")</f>
        <v/>
      </c>
      <c r="AF379" s="87" t="str">
        <f>IF(AND(OR(LEFT(TH!N379,2)="15",LEFT(TH!O379,2)="15"),'THE KHO'!$E$7=TH!F379),"x","")</f>
        <v/>
      </c>
      <c r="AG379" s="87" t="str">
        <f>IF(AND(N379="1521",MONTH(C379)='BK NL'!$M$11),"x","")</f>
        <v/>
      </c>
    </row>
    <row r="380" spans="1:33" s="412" customFormat="1" ht="15.75" customHeight="1">
      <c r="A380" s="399" t="str">
        <f>IF(B380&lt;&gt;"",IF(AND(B380&gt;=_TM1,B380&lt;=_TM2,OR(TH!N380="1111",TH!O380="1111")),TH!D380,""),"")</f>
        <v/>
      </c>
      <c r="B380" s="161" t="str">
        <f t="shared" si="11"/>
        <v/>
      </c>
      <c r="C380" s="162"/>
      <c r="D380" s="83"/>
      <c r="E380" s="162"/>
      <c r="F380" s="163"/>
      <c r="G380" s="377"/>
      <c r="H380" s="85"/>
      <c r="I380" s="516"/>
      <c r="J380" s="516"/>
      <c r="K380" s="507"/>
      <c r="L380" s="516"/>
      <c r="M380" s="164"/>
      <c r="N380" s="165"/>
      <c r="O380" s="165"/>
      <c r="P380" s="87" t="str">
        <f>IF(AND('331-CT'!$E$7=TH!H380,OR(N380="331",O380="331")),"x","")</f>
        <v/>
      </c>
      <c r="Q380" s="87" t="str">
        <f>IF(AND(B380='111'!$L$11,OR($N380=$Q$7,$O380=$Q$7)),"x","")</f>
        <v/>
      </c>
      <c r="R380" s="87" t="str">
        <f>IF(AND($N380=$Q$7,$B380&lt;'111'!$L$11),"x","")</f>
        <v/>
      </c>
      <c r="S380" s="87" t="str">
        <f>IF(AND($O380=$Q$7,$B380&lt;'111'!$L$11),"x","")</f>
        <v/>
      </c>
      <c r="T380" s="87" t="str">
        <f>IF(ISERROR(FIND('112'!$M$9,G380,1)),"",IF((AND(FIND('112'!$M$9,G380,1)&gt;=1,B380='112'!$K$9,OR($N380='112'!$I$6,$O380='112'!$I$6))),"x",""))</f>
        <v/>
      </c>
      <c r="U380" s="87" t="str">
        <f>IF(ISERROR(FIND('112'!$M$9,G380,1)),"",IF((AND(FIND('112'!$M$9,G380,1)&gt;=1,B380&lt;'112'!$K$9,$N380='112'!$I$6)),"x",""))</f>
        <v/>
      </c>
      <c r="V380" s="87" t="str">
        <f>IF(ISERROR(FIND('112'!$M$9,G380,1)),"",IF((AND(FIND('112'!$M$9,G380,1)&gt;=1,B380&lt;'112'!$K$9,$O380='112'!$I$6)),"x",""))</f>
        <v/>
      </c>
      <c r="W380" s="87" t="str">
        <f>IF(AND($B380&gt;='1331'!$I$9,$B380&lt;='1331'!$J$9,OR($N380=$W$7,$O380=$W$7)),"x","")</f>
        <v/>
      </c>
      <c r="X380" s="87" t="str">
        <f>IF(AND($N380=$W$7,$B380&lt;'1331'!$I$9),"x","")</f>
        <v/>
      </c>
      <c r="Y380" s="87" t="str">
        <f>IF(AND($O380=$W$7,$B380&lt;'1331'!$I$9),"x","")</f>
        <v/>
      </c>
      <c r="Z380" s="87" t="str">
        <f>IF(AND('341-CT'!$H$9=H380,OR(LEFT(N380,3)=$Z$7,LEFT(O380,3)=$Z$7)),"x","")</f>
        <v/>
      </c>
      <c r="AA380" s="87" t="str">
        <f>IF(OR(TH!N380=TH!$AA$7,O380=TH!$AA$7),"x","")</f>
        <v/>
      </c>
      <c r="AB380" s="87" t="str">
        <f>IF(AND(OR(N380="131",O380="131"),H380='131-CT'!$H$9),"x","")</f>
        <v/>
      </c>
      <c r="AC380" s="87"/>
      <c r="AD380" s="87" t="str">
        <f>IF(AND(MONTH(E380)='IN-NX'!$J$5,'IN-NX'!$D$7=D380),"x","")</f>
        <v/>
      </c>
      <c r="AE380" s="87" t="str">
        <f>IF(AND(OR(LEFT(TH!N380,2)="15",LEFT(TH!O380,2)="15"),'152-CT'!$J$8=TH!F380),"x","")</f>
        <v/>
      </c>
      <c r="AF380" s="87" t="str">
        <f>IF(AND(OR(LEFT(TH!N380,2)="15",LEFT(TH!O380,2)="15"),'THE KHO'!$E$7=TH!F380),"x","")</f>
        <v/>
      </c>
      <c r="AG380" s="87" t="str">
        <f>IF(AND(N380="1521",MONTH(C380)='BK NL'!$M$11),"x","")</f>
        <v/>
      </c>
    </row>
    <row r="381" spans="1:33" ht="15.75" customHeight="1">
      <c r="A381" s="399" t="str">
        <f>IF(B381&lt;&gt;"",IF(AND(B381&gt;=_TM1,B381&lt;=_TM2,OR(TH!N381="1111",TH!O381="1111")),TH!D381,""),"")</f>
        <v/>
      </c>
      <c r="B381" s="63" t="str">
        <f t="shared" si="11"/>
        <v/>
      </c>
      <c r="C381" s="64"/>
      <c r="D381" s="64"/>
      <c r="E381" s="64"/>
      <c r="F381" s="67"/>
      <c r="G381" s="379"/>
      <c r="H381" s="409"/>
      <c r="I381" s="522"/>
      <c r="J381" s="522"/>
      <c r="K381" s="513"/>
      <c r="L381" s="522"/>
      <c r="M381" s="65"/>
      <c r="N381" s="159"/>
      <c r="O381" s="66"/>
      <c r="P381" s="87" t="str">
        <f>IF(AND('331-CT'!$E$7=TH!H381,OR(N381="331",O381="331")),"x","")</f>
        <v/>
      </c>
      <c r="Q381" s="87" t="str">
        <f>IF(AND(B381='111'!$L$11,OR($N381=$Q$7,$O381=$Q$7)),"x","")</f>
        <v/>
      </c>
      <c r="R381" s="87" t="str">
        <f>IF(AND($N381=$Q$7,$B381&lt;'111'!$L$11),"x","")</f>
        <v/>
      </c>
      <c r="S381" s="87" t="str">
        <f>IF(AND($O381=$Q$7,$B381&lt;'111'!$L$11),"x","")</f>
        <v/>
      </c>
      <c r="T381" s="87" t="str">
        <f>IF(ISERROR(FIND('112'!$M$9,G381,1)),"",IF((AND(FIND('112'!$M$9,G381,1)&gt;=1,B381='112'!$K$9,OR($N381='112'!$I$6,$O381='112'!$I$6))),"x",""))</f>
        <v/>
      </c>
      <c r="U381" s="87" t="str">
        <f>IF(ISERROR(FIND('112'!$M$9,G381,1)),"",IF((AND(FIND('112'!$M$9,G381,1)&gt;=1,B381&lt;'112'!$K$9,$N381='112'!$I$6)),"x",""))</f>
        <v/>
      </c>
      <c r="V381" s="87" t="str">
        <f>IF(ISERROR(FIND('112'!$M$9,G381,1)),"",IF((AND(FIND('112'!$M$9,G381,1)&gt;=1,B381&lt;'112'!$K$9,$O381='112'!$I$6)),"x",""))</f>
        <v/>
      </c>
      <c r="W381" s="87" t="str">
        <f>IF(AND($B381&gt;='1331'!$I$9,$B381&lt;='1331'!$J$9,OR($N381=$W$7,$O381=$W$7)),"x","")</f>
        <v/>
      </c>
      <c r="X381" s="87" t="str">
        <f>IF(AND($N381=$W$7,$B381&lt;'1331'!$I$9),"x","")</f>
        <v/>
      </c>
      <c r="Y381" s="87" t="str">
        <f>IF(AND($O381=$W$7,$B381&lt;'1331'!$I$9),"x","")</f>
        <v/>
      </c>
      <c r="Z381" s="87" t="str">
        <f>IF(AND('341-CT'!$H$9=H381,OR(LEFT(N381,3)=$Z$7,LEFT(O381,3)=$Z$7)),"x","")</f>
        <v/>
      </c>
      <c r="AA381" s="87" t="str">
        <f>IF(OR(TH!N381=TH!$AA$7,O381=TH!$AA$7),"x","")</f>
        <v/>
      </c>
      <c r="AB381" s="87" t="str">
        <f>IF(AND(OR(N381="131",O381="131"),H381='131-CT'!$H$9),"x","")</f>
        <v/>
      </c>
      <c r="AC381" s="87"/>
      <c r="AD381" s="87" t="str">
        <f>IF(AND(MONTH(E381)='IN-NX'!$J$5,'IN-NX'!$D$7=D381),"x","")</f>
        <v/>
      </c>
      <c r="AE381" s="87" t="str">
        <f>IF(AND(OR(LEFT(TH!N381,2)="15",LEFT(TH!O381,2)="15"),'152-CT'!$J$8=TH!F381),"x","")</f>
        <v/>
      </c>
      <c r="AF381" s="87" t="str">
        <f>IF(AND(OR(LEFT(TH!N381,2)="15",LEFT(TH!O381,2)="15"),'THE KHO'!$E$7=TH!F381),"x","")</f>
        <v/>
      </c>
      <c r="AG381" s="87" t="str">
        <f>IF(AND(N381="1521",MONTH(C381)='BK NL'!$M$11),"x","")</f>
        <v/>
      </c>
    </row>
    <row r="382" spans="1:33" ht="15.75" customHeight="1">
      <c r="A382" s="399" t="str">
        <f>IF(B382&lt;&gt;"",IF(AND(B382&gt;=_TM1,B382&lt;=_TM2,OR(TH!N382="1111",TH!O382="1111")),TH!D382,""),"")</f>
        <v/>
      </c>
      <c r="B382" s="63" t="str">
        <f t="shared" si="11"/>
        <v/>
      </c>
      <c r="C382" s="64"/>
      <c r="D382" s="64"/>
      <c r="E382" s="64"/>
      <c r="F382" s="67"/>
      <c r="G382" s="379"/>
      <c r="H382" s="409"/>
      <c r="I382" s="522"/>
      <c r="J382" s="522"/>
      <c r="K382" s="513"/>
      <c r="L382" s="522"/>
      <c r="M382" s="65"/>
      <c r="N382" s="66"/>
      <c r="O382" s="66"/>
      <c r="P382" s="87" t="str">
        <f>IF(AND('331-CT'!$E$7=TH!H382,OR(N382="331",O382="331")),"x","")</f>
        <v/>
      </c>
      <c r="Q382" s="87" t="str">
        <f>IF(AND(B382='111'!$L$11,OR($N382=$Q$7,$O382=$Q$7)),"x","")</f>
        <v/>
      </c>
      <c r="R382" s="87" t="str">
        <f>IF(AND($N382=$Q$7,$B382&lt;'111'!$L$11),"x","")</f>
        <v/>
      </c>
      <c r="S382" s="87" t="str">
        <f>IF(AND($O382=$Q$7,$B382&lt;'111'!$L$11),"x","")</f>
        <v/>
      </c>
      <c r="T382" s="87" t="str">
        <f>IF(ISERROR(FIND('112'!$M$9,G382,1)),"",IF((AND(FIND('112'!$M$9,G382,1)&gt;=1,B382='112'!$K$9,OR($N382='112'!$I$6,$O382='112'!$I$6))),"x",""))</f>
        <v/>
      </c>
      <c r="U382" s="87" t="str">
        <f>IF(ISERROR(FIND('112'!$M$9,G382,1)),"",IF((AND(FIND('112'!$M$9,G382,1)&gt;=1,B382&lt;'112'!$K$9,$N382='112'!$I$6)),"x",""))</f>
        <v/>
      </c>
      <c r="V382" s="87" t="str">
        <f>IF(ISERROR(FIND('112'!$M$9,G382,1)),"",IF((AND(FIND('112'!$M$9,G382,1)&gt;=1,B382&lt;'112'!$K$9,$O382='112'!$I$6)),"x",""))</f>
        <v/>
      </c>
      <c r="W382" s="87" t="str">
        <f>IF(AND($B382&gt;='1331'!$I$9,$B382&lt;='1331'!$J$9,OR($N382=$W$7,$O382=$W$7)),"x","")</f>
        <v/>
      </c>
      <c r="X382" s="87" t="str">
        <f>IF(AND($N382=$W$7,$B382&lt;'1331'!$I$9),"x","")</f>
        <v/>
      </c>
      <c r="Y382" s="87" t="str">
        <f>IF(AND($O382=$W$7,$B382&lt;'1331'!$I$9),"x","")</f>
        <v/>
      </c>
      <c r="Z382" s="87" t="str">
        <f>IF(AND('341-CT'!$H$9=H382,OR(LEFT(N382,3)=$Z$7,LEFT(O382,3)=$Z$7)),"x","")</f>
        <v/>
      </c>
      <c r="AA382" s="87" t="str">
        <f>IF(OR(TH!N382=TH!$AA$7,O382=TH!$AA$7),"x","")</f>
        <v/>
      </c>
      <c r="AB382" s="87" t="str">
        <f>IF(AND(OR(N382="131",O382="131"),H382='131-CT'!$H$9),"x","")</f>
        <v/>
      </c>
      <c r="AC382" s="87"/>
      <c r="AD382" s="87" t="str">
        <f>IF(AND(MONTH(E382)='IN-NX'!$J$5,'IN-NX'!$D$7=D382),"x","")</f>
        <v/>
      </c>
      <c r="AE382" s="87" t="str">
        <f>IF(AND(OR(LEFT(TH!N382,2)="15",LEFT(TH!O382,2)="15"),'152-CT'!$J$8=TH!F382),"x","")</f>
        <v/>
      </c>
      <c r="AF382" s="87" t="str">
        <f>IF(AND(OR(LEFT(TH!N382,2)="15",LEFT(TH!O382,2)="15"),'THE KHO'!$E$7=TH!F382),"x","")</f>
        <v/>
      </c>
      <c r="AG382" s="87" t="str">
        <f>IF(AND(N382="1521",MONTH(C382)='BK NL'!$M$11),"x","")</f>
        <v/>
      </c>
    </row>
    <row r="383" spans="1:33" s="413" customFormat="1" ht="15.75" customHeight="1">
      <c r="A383" s="399" t="str">
        <f>IF(B383&lt;&gt;"",IF(AND(B383&gt;=_TM1,B383&lt;=_TM2,OR(TH!N383="1111",TH!O383="1111")),TH!D383,""),"")</f>
        <v/>
      </c>
      <c r="B383" s="63" t="str">
        <f t="shared" si="11"/>
        <v/>
      </c>
      <c r="C383" s="64"/>
      <c r="D383" s="64"/>
      <c r="E383" s="64"/>
      <c r="F383" s="67"/>
      <c r="G383" s="362"/>
      <c r="H383" s="75"/>
      <c r="I383" s="518"/>
      <c r="J383" s="518"/>
      <c r="K383" s="509"/>
      <c r="L383" s="518"/>
      <c r="M383" s="65"/>
      <c r="N383" s="66"/>
      <c r="O383" s="66"/>
      <c r="P383" s="87" t="str">
        <f>IF(AND('331-CT'!$E$7=TH!H383,OR(N383="331",O383="331")),"x","")</f>
        <v/>
      </c>
      <c r="Q383" s="87" t="str">
        <f>IF(AND(B383='111'!$L$11,OR($N383=$Q$7,$O383=$Q$7)),"x","")</f>
        <v/>
      </c>
      <c r="R383" s="87" t="str">
        <f>IF(AND($N383=$Q$7,$B383&lt;'111'!$L$11),"x","")</f>
        <v/>
      </c>
      <c r="S383" s="87" t="str">
        <f>IF(AND($O383=$Q$7,$B383&lt;'111'!$L$11),"x","")</f>
        <v/>
      </c>
      <c r="T383" s="87" t="str">
        <f>IF(ISERROR(FIND('112'!$M$9,G383,1)),"",IF((AND(FIND('112'!$M$9,G383,1)&gt;=1,B383='112'!$K$9,OR($N383='112'!$I$6,$O383='112'!$I$6))),"x",""))</f>
        <v/>
      </c>
      <c r="U383" s="87" t="str">
        <f>IF(ISERROR(FIND('112'!$M$9,G383,1)),"",IF((AND(FIND('112'!$M$9,G383,1)&gt;=1,B383&lt;'112'!$K$9,$N383='112'!$I$6)),"x",""))</f>
        <v/>
      </c>
      <c r="V383" s="87" t="str">
        <f>IF(ISERROR(FIND('112'!$M$9,G383,1)),"",IF((AND(FIND('112'!$M$9,G383,1)&gt;=1,B383&lt;'112'!$K$9,$O383='112'!$I$6)),"x",""))</f>
        <v/>
      </c>
      <c r="W383" s="87" t="str">
        <f>IF(AND($B383&gt;='1331'!$I$9,$B383&lt;='1331'!$J$9,OR($N383=$W$7,$O383=$W$7)),"x","")</f>
        <v/>
      </c>
      <c r="X383" s="87" t="str">
        <f>IF(AND($N383=$W$7,$B383&lt;'1331'!$I$9),"x","")</f>
        <v/>
      </c>
      <c r="Y383" s="87" t="str">
        <f>IF(AND($O383=$W$7,$B383&lt;'1331'!$I$9),"x","")</f>
        <v/>
      </c>
      <c r="Z383" s="87" t="str">
        <f>IF(AND('341-CT'!$H$9=H383,OR(LEFT(N383,3)=$Z$7,LEFT(O383,3)=$Z$7)),"x","")</f>
        <v/>
      </c>
      <c r="AA383" s="87" t="str">
        <f>IF(OR(TH!N383=TH!$AA$7,O383=TH!$AA$7),"x","")</f>
        <v/>
      </c>
      <c r="AB383" s="87" t="str">
        <f>IF(AND(OR(N383="131",O383="131"),H383='131-CT'!$H$9),"x","")</f>
        <v/>
      </c>
      <c r="AC383" s="87"/>
      <c r="AD383" s="87" t="str">
        <f>IF(AND(MONTH(E383)='IN-NX'!$J$5,'IN-NX'!$D$7=D383),"x","")</f>
        <v/>
      </c>
      <c r="AE383" s="87" t="str">
        <f>IF(AND(OR(LEFT(TH!N383,2)="15",LEFT(TH!O383,2)="15"),'152-CT'!$J$8=TH!F383),"x","")</f>
        <v/>
      </c>
      <c r="AF383" s="87" t="str">
        <f>IF(AND(OR(LEFT(TH!N383,2)="15",LEFT(TH!O383,2)="15"),'THE KHO'!$E$7=TH!F383),"x","")</f>
        <v/>
      </c>
      <c r="AG383" s="87" t="str">
        <f>IF(AND(N383="1521",MONTH(C383)='BK NL'!$M$11),"x","")</f>
        <v/>
      </c>
    </row>
    <row r="384" spans="1:33" s="413" customFormat="1" ht="15.75" customHeight="1">
      <c r="A384" s="399" t="str">
        <f>IF(B384&lt;&gt;"",IF(AND(B384&gt;=_TM1,B384&lt;=_TM2,OR(TH!N384="1111",TH!O384="1111")),TH!D384,""),"")</f>
        <v/>
      </c>
      <c r="B384" s="63" t="str">
        <f t="shared" si="11"/>
        <v/>
      </c>
      <c r="C384" s="64"/>
      <c r="D384" s="64"/>
      <c r="E384" s="64"/>
      <c r="F384" s="67"/>
      <c r="G384" s="362"/>
      <c r="H384" s="409"/>
      <c r="I384" s="522"/>
      <c r="J384" s="522"/>
      <c r="K384" s="513"/>
      <c r="L384" s="522"/>
      <c r="M384" s="65"/>
      <c r="N384" s="66"/>
      <c r="O384" s="66"/>
      <c r="P384" s="87" t="str">
        <f>IF(AND('331-CT'!$E$7=TH!H384,OR(N384="331",O384="331")),"x","")</f>
        <v/>
      </c>
      <c r="Q384" s="87" t="str">
        <f>IF(AND(B384='111'!$L$11,OR($N384=$Q$7,$O384=$Q$7)),"x","")</f>
        <v/>
      </c>
      <c r="R384" s="87" t="str">
        <f>IF(AND($N384=$Q$7,$B384&lt;'111'!$L$11),"x","")</f>
        <v/>
      </c>
      <c r="S384" s="87" t="str">
        <f>IF(AND($O384=$Q$7,$B384&lt;'111'!$L$11),"x","")</f>
        <v/>
      </c>
      <c r="T384" s="87" t="str">
        <f>IF(ISERROR(FIND('112'!$M$9,G384,1)),"",IF((AND(FIND('112'!$M$9,G384,1)&gt;=1,B384='112'!$K$9,OR($N384='112'!$I$6,$O384='112'!$I$6))),"x",""))</f>
        <v/>
      </c>
      <c r="U384" s="87" t="str">
        <f>IF(ISERROR(FIND('112'!$M$9,G384,1)),"",IF((AND(FIND('112'!$M$9,G384,1)&gt;=1,B384&lt;'112'!$K$9,$N384='112'!$I$6)),"x",""))</f>
        <v/>
      </c>
      <c r="V384" s="87" t="str">
        <f>IF(ISERROR(FIND('112'!$M$9,G384,1)),"",IF((AND(FIND('112'!$M$9,G384,1)&gt;=1,B384&lt;'112'!$K$9,$O384='112'!$I$6)),"x",""))</f>
        <v/>
      </c>
      <c r="W384" s="87" t="str">
        <f>IF(AND($B384&gt;='1331'!$I$9,$B384&lt;='1331'!$J$9,OR($N384=$W$7,$O384=$W$7)),"x","")</f>
        <v/>
      </c>
      <c r="X384" s="87" t="str">
        <f>IF(AND($N384=$W$7,$B384&lt;'1331'!$I$9),"x","")</f>
        <v/>
      </c>
      <c r="Y384" s="87" t="str">
        <f>IF(AND($O384=$W$7,$B384&lt;'1331'!$I$9),"x","")</f>
        <v/>
      </c>
      <c r="Z384" s="87" t="str">
        <f>IF(AND('341-CT'!$H$9=H384,OR(LEFT(N384,3)=$Z$7,LEFT(O384,3)=$Z$7)),"x","")</f>
        <v/>
      </c>
      <c r="AA384" s="87" t="str">
        <f>IF(OR(TH!N384=TH!$AA$7,O384=TH!$AA$7),"x","")</f>
        <v/>
      </c>
      <c r="AB384" s="87" t="str">
        <f>IF(AND(OR(N384="131",O384="131"),H384='131-CT'!$H$9),"x","")</f>
        <v/>
      </c>
      <c r="AC384" s="87"/>
      <c r="AD384" s="87" t="str">
        <f>IF(AND(MONTH(E384)='IN-NX'!$J$5,'IN-NX'!$D$7=D384),"x","")</f>
        <v/>
      </c>
      <c r="AE384" s="87" t="str">
        <f>IF(AND(OR(LEFT(TH!N384,2)="15",LEFT(TH!O384,2)="15"),'152-CT'!$J$8=TH!F384),"x","")</f>
        <v/>
      </c>
      <c r="AF384" s="87" t="str">
        <f>IF(AND(OR(LEFT(TH!N384,2)="15",LEFT(TH!O384,2)="15"),'THE KHO'!$E$7=TH!F384),"x","")</f>
        <v/>
      </c>
      <c r="AG384" s="87" t="str">
        <f>IF(AND(N384="1521",MONTH(C384)='BK NL'!$M$11),"x","")</f>
        <v/>
      </c>
    </row>
    <row r="385" spans="1:33" ht="15.75" customHeight="1">
      <c r="A385" s="399" t="str">
        <f>IF(B385&lt;&gt;"",IF(AND(B385&gt;=_TM1,B385&lt;=_TM2,OR(TH!N385="1111",TH!O385="1111")),TH!D385,""),"")</f>
        <v/>
      </c>
      <c r="B385" s="63" t="str">
        <f t="shared" si="11"/>
        <v/>
      </c>
      <c r="C385" s="64"/>
      <c r="D385" s="64"/>
      <c r="E385" s="64"/>
      <c r="F385" s="67"/>
      <c r="G385" s="362"/>
      <c r="H385" s="75"/>
      <c r="I385" s="518"/>
      <c r="J385" s="518"/>
      <c r="K385" s="509"/>
      <c r="L385" s="518"/>
      <c r="M385" s="65"/>
      <c r="N385" s="66"/>
      <c r="O385" s="66"/>
      <c r="P385" s="87" t="str">
        <f>IF(AND('331-CT'!$E$7=TH!H385,OR(N385="331",O385="331")),"x","")</f>
        <v/>
      </c>
      <c r="Q385" s="87" t="str">
        <f>IF(AND(B385='111'!$L$11,OR($N385=$Q$7,$O385=$Q$7)),"x","")</f>
        <v/>
      </c>
      <c r="R385" s="87" t="str">
        <f>IF(AND($N385=$Q$7,$B385&lt;'111'!$L$11),"x","")</f>
        <v/>
      </c>
      <c r="S385" s="87" t="str">
        <f>IF(AND($O385=$Q$7,$B385&lt;'111'!$L$11),"x","")</f>
        <v/>
      </c>
      <c r="T385" s="87" t="str">
        <f>IF(ISERROR(FIND('112'!$M$9,G385,1)),"",IF((AND(FIND('112'!$M$9,G385,1)&gt;=1,B385='112'!$K$9,OR($N385='112'!$I$6,$O385='112'!$I$6))),"x",""))</f>
        <v/>
      </c>
      <c r="U385" s="87" t="str">
        <f>IF(ISERROR(FIND('112'!$M$9,G385,1)),"",IF((AND(FIND('112'!$M$9,G385,1)&gt;=1,B385&lt;'112'!$K$9,$N385='112'!$I$6)),"x",""))</f>
        <v/>
      </c>
      <c r="V385" s="87" t="str">
        <f>IF(ISERROR(FIND('112'!$M$9,G385,1)),"",IF((AND(FIND('112'!$M$9,G385,1)&gt;=1,B385&lt;'112'!$K$9,$O385='112'!$I$6)),"x",""))</f>
        <v/>
      </c>
      <c r="W385" s="87" t="str">
        <f>IF(AND($B385&gt;='1331'!$I$9,$B385&lt;='1331'!$J$9,OR($N385=$W$7,$O385=$W$7)),"x","")</f>
        <v/>
      </c>
      <c r="X385" s="87" t="str">
        <f>IF(AND($N385=$W$7,$B385&lt;'1331'!$I$9),"x","")</f>
        <v/>
      </c>
      <c r="Y385" s="87" t="str">
        <f>IF(AND($O385=$W$7,$B385&lt;'1331'!$I$9),"x","")</f>
        <v/>
      </c>
      <c r="Z385" s="87" t="str">
        <f>IF(AND('341-CT'!$H$9=H385,OR(LEFT(N385,3)=$Z$7,LEFT(O385,3)=$Z$7)),"x","")</f>
        <v/>
      </c>
      <c r="AA385" s="87" t="str">
        <f>IF(OR(TH!N385=TH!$AA$7,O385=TH!$AA$7),"x","")</f>
        <v/>
      </c>
      <c r="AB385" s="87" t="str">
        <f>IF(AND(OR(N385="131",O385="131"),H385='131-CT'!$H$9),"x","")</f>
        <v/>
      </c>
      <c r="AC385" s="87"/>
      <c r="AD385" s="87" t="str">
        <f>IF(AND(MONTH(E385)='IN-NX'!$J$5,'IN-NX'!$D$7=D385),"x","")</f>
        <v/>
      </c>
      <c r="AE385" s="87" t="str">
        <f>IF(AND(OR(LEFT(TH!N385,2)="15",LEFT(TH!O385,2)="15"),'152-CT'!$J$8=TH!F385),"x","")</f>
        <v/>
      </c>
      <c r="AF385" s="87" t="str">
        <f>IF(AND(OR(LEFT(TH!N385,2)="15",LEFT(TH!O385,2)="15"),'THE KHO'!$E$7=TH!F385),"x","")</f>
        <v/>
      </c>
      <c r="AG385" s="87" t="str">
        <f>IF(AND(N385="1521",MONTH(C385)='BK NL'!$M$11),"x","")</f>
        <v/>
      </c>
    </row>
    <row r="386" spans="1:33" ht="15.75" customHeight="1">
      <c r="A386" s="399" t="str">
        <f>IF(B386&lt;&gt;"",IF(AND(B386&gt;=_TM1,B386&lt;=_TM2,OR(TH!N386="1111",TH!O386="1111")),TH!D386,""),"")</f>
        <v/>
      </c>
      <c r="B386" s="63" t="str">
        <f t="shared" si="11"/>
        <v/>
      </c>
      <c r="C386" s="64"/>
      <c r="D386" s="64"/>
      <c r="E386" s="64"/>
      <c r="F386" s="67"/>
      <c r="G386" s="362"/>
      <c r="H386" s="75"/>
      <c r="I386" s="518"/>
      <c r="J386" s="518"/>
      <c r="K386" s="509"/>
      <c r="L386" s="518"/>
      <c r="M386" s="65"/>
      <c r="N386" s="66"/>
      <c r="O386" s="66"/>
      <c r="P386" s="87" t="str">
        <f>IF(AND('331-CT'!$E$7=TH!H386,OR(N386="331",O386="331")),"x","")</f>
        <v/>
      </c>
      <c r="Q386" s="87" t="str">
        <f>IF(AND(B386='111'!$L$11,OR($N386=$Q$7,$O386=$Q$7)),"x","")</f>
        <v/>
      </c>
      <c r="R386" s="87" t="str">
        <f>IF(AND($N386=$Q$7,$B386&lt;'111'!$L$11),"x","")</f>
        <v/>
      </c>
      <c r="S386" s="87" t="str">
        <f>IF(AND($O386=$Q$7,$B386&lt;'111'!$L$11),"x","")</f>
        <v/>
      </c>
      <c r="T386" s="87" t="str">
        <f>IF(ISERROR(FIND('112'!$M$9,G386,1)),"",IF((AND(FIND('112'!$M$9,G386,1)&gt;=1,B386='112'!$K$9,OR($N386='112'!$I$6,$O386='112'!$I$6))),"x",""))</f>
        <v/>
      </c>
      <c r="U386" s="87" t="str">
        <f>IF(ISERROR(FIND('112'!$M$9,G386,1)),"",IF((AND(FIND('112'!$M$9,G386,1)&gt;=1,B386&lt;'112'!$K$9,$N386='112'!$I$6)),"x",""))</f>
        <v/>
      </c>
      <c r="V386" s="87" t="str">
        <f>IF(ISERROR(FIND('112'!$M$9,G386,1)),"",IF((AND(FIND('112'!$M$9,G386,1)&gt;=1,B386&lt;'112'!$K$9,$O386='112'!$I$6)),"x",""))</f>
        <v/>
      </c>
      <c r="W386" s="87" t="str">
        <f>IF(AND($B386&gt;='1331'!$I$9,$B386&lt;='1331'!$J$9,OR($N386=$W$7,$O386=$W$7)),"x","")</f>
        <v/>
      </c>
      <c r="X386" s="87" t="str">
        <f>IF(AND($N386=$W$7,$B386&lt;'1331'!$I$9),"x","")</f>
        <v/>
      </c>
      <c r="Y386" s="87" t="str">
        <f>IF(AND($O386=$W$7,$B386&lt;'1331'!$I$9),"x","")</f>
        <v/>
      </c>
      <c r="Z386" s="87" t="str">
        <f>IF(AND('341-CT'!$H$9=H386,OR(LEFT(N386,3)=$Z$7,LEFT(O386,3)=$Z$7)),"x","")</f>
        <v/>
      </c>
      <c r="AA386" s="87" t="str">
        <f>IF(OR(TH!N386=TH!$AA$7,O386=TH!$AA$7),"x","")</f>
        <v/>
      </c>
      <c r="AB386" s="87" t="str">
        <f>IF(AND(OR(N386="131",O386="131"),H386='131-CT'!$H$9),"x","")</f>
        <v/>
      </c>
      <c r="AC386" s="87"/>
      <c r="AD386" s="87" t="str">
        <f>IF(AND(MONTH(E386)='IN-NX'!$J$5,'IN-NX'!$D$7=D386),"x","")</f>
        <v/>
      </c>
      <c r="AE386" s="87" t="str">
        <f>IF(AND(OR(LEFT(TH!N386,2)="15",LEFT(TH!O386,2)="15"),'152-CT'!$J$8=TH!F386),"x","")</f>
        <v/>
      </c>
      <c r="AF386" s="87" t="str">
        <f>IF(AND(OR(LEFT(TH!N386,2)="15",LEFT(TH!O386,2)="15"),'THE KHO'!$E$7=TH!F386),"x","")</f>
        <v/>
      </c>
      <c r="AG386" s="87" t="str">
        <f>IF(AND(N386="1521",MONTH(C386)='BK NL'!$M$11),"x","")</f>
        <v/>
      </c>
    </row>
    <row r="387" spans="1:33" ht="15.75" customHeight="1">
      <c r="A387" s="399" t="str">
        <f>IF(B387&lt;&gt;"",IF(AND(B387&gt;=_TM1,B387&lt;=_TM2,OR(TH!N387="1111",TH!O387="1111")),TH!D387,""),"")</f>
        <v/>
      </c>
      <c r="B387" s="63" t="str">
        <f t="shared" si="11"/>
        <v/>
      </c>
      <c r="C387" s="64"/>
      <c r="D387" s="64"/>
      <c r="E387" s="64"/>
      <c r="F387" s="67"/>
      <c r="G387" s="362"/>
      <c r="H387" s="75"/>
      <c r="I387" s="518"/>
      <c r="J387" s="518"/>
      <c r="K387" s="509"/>
      <c r="L387" s="518"/>
      <c r="M387" s="65"/>
      <c r="N387" s="66"/>
      <c r="O387" s="66"/>
      <c r="P387" s="87" t="str">
        <f>IF(AND('331-CT'!$E$7=TH!H387,OR(N387="331",O387="331")),"x","")</f>
        <v/>
      </c>
      <c r="Q387" s="87" t="str">
        <f>IF(AND(B387='111'!$L$11,OR($N387=$Q$7,$O387=$Q$7)),"x","")</f>
        <v/>
      </c>
      <c r="R387" s="87" t="str">
        <f>IF(AND($N387=$Q$7,$B387&lt;'111'!$L$11),"x","")</f>
        <v/>
      </c>
      <c r="S387" s="87" t="str">
        <f>IF(AND($O387=$Q$7,$B387&lt;'111'!$L$11),"x","")</f>
        <v/>
      </c>
      <c r="T387" s="87" t="str">
        <f>IF(ISERROR(FIND('112'!$M$9,G387,1)),"",IF((AND(FIND('112'!$M$9,G387,1)&gt;=1,B387='112'!$K$9,OR($N387='112'!$I$6,$O387='112'!$I$6))),"x",""))</f>
        <v/>
      </c>
      <c r="U387" s="87" t="str">
        <f>IF(ISERROR(FIND('112'!$M$9,G387,1)),"",IF((AND(FIND('112'!$M$9,G387,1)&gt;=1,B387&lt;'112'!$K$9,$N387='112'!$I$6)),"x",""))</f>
        <v/>
      </c>
      <c r="V387" s="87" t="str">
        <f>IF(ISERROR(FIND('112'!$M$9,G387,1)),"",IF((AND(FIND('112'!$M$9,G387,1)&gt;=1,B387&lt;'112'!$K$9,$O387='112'!$I$6)),"x",""))</f>
        <v/>
      </c>
      <c r="W387" s="87" t="str">
        <f>IF(AND($B387&gt;='1331'!$I$9,$B387&lt;='1331'!$J$9,OR($N387=$W$7,$O387=$W$7)),"x","")</f>
        <v/>
      </c>
      <c r="X387" s="87" t="str">
        <f>IF(AND($N387=$W$7,$B387&lt;'1331'!$I$9),"x","")</f>
        <v/>
      </c>
      <c r="Y387" s="87" t="str">
        <f>IF(AND($O387=$W$7,$B387&lt;'1331'!$I$9),"x","")</f>
        <v/>
      </c>
      <c r="Z387" s="87" t="str">
        <f>IF(AND('341-CT'!$H$9=H387,OR(LEFT(N387,3)=$Z$7,LEFT(O387,3)=$Z$7)),"x","")</f>
        <v/>
      </c>
      <c r="AA387" s="87" t="str">
        <f>IF(OR(TH!N387=TH!$AA$7,O387=TH!$AA$7),"x","")</f>
        <v/>
      </c>
      <c r="AB387" s="87" t="str">
        <f>IF(AND(OR(N387="131",O387="131"),H387='131-CT'!$H$9),"x","")</f>
        <v/>
      </c>
      <c r="AC387" s="87"/>
      <c r="AD387" s="87" t="str">
        <f>IF(AND(MONTH(E387)='IN-NX'!$J$5,'IN-NX'!$D$7=D387),"x","")</f>
        <v/>
      </c>
      <c r="AE387" s="87" t="str">
        <f>IF(AND(OR(LEFT(TH!N387,2)="15",LEFT(TH!O387,2)="15"),'152-CT'!$J$8=TH!F387),"x","")</f>
        <v/>
      </c>
      <c r="AF387" s="87" t="str">
        <f>IF(AND(OR(LEFT(TH!N387,2)="15",LEFT(TH!O387,2)="15"),'THE KHO'!$E$7=TH!F387),"x","")</f>
        <v/>
      </c>
      <c r="AG387" s="87" t="str">
        <f>IF(AND(N387="1521",MONTH(C387)='BK NL'!$M$11),"x","")</f>
        <v/>
      </c>
    </row>
    <row r="388" spans="1:33" ht="15.75" customHeight="1">
      <c r="A388" s="399" t="str">
        <f>IF(B388&lt;&gt;"",IF(AND(B388&gt;=_TM1,B388&lt;=_TM2,OR(TH!N388="1111",TH!O388="1111")),TH!D388,""),"")</f>
        <v/>
      </c>
      <c r="B388" s="63" t="str">
        <f t="shared" si="11"/>
        <v/>
      </c>
      <c r="C388" s="64"/>
      <c r="D388" s="64"/>
      <c r="E388" s="64"/>
      <c r="F388" s="67"/>
      <c r="G388" s="362"/>
      <c r="H388" s="75"/>
      <c r="I388" s="518"/>
      <c r="J388" s="518"/>
      <c r="K388" s="509"/>
      <c r="L388" s="518"/>
      <c r="M388" s="65"/>
      <c r="N388" s="66"/>
      <c r="O388" s="66"/>
      <c r="P388" s="87" t="str">
        <f>IF(AND('331-CT'!$E$7=TH!H388,OR(N388="331",O388="331")),"x","")</f>
        <v/>
      </c>
      <c r="Q388" s="87" t="str">
        <f>IF(AND(B388='111'!$L$11,OR($N388=$Q$7,$O388=$Q$7)),"x","")</f>
        <v/>
      </c>
      <c r="R388" s="87" t="str">
        <f>IF(AND($N388=$Q$7,$B388&lt;'111'!$L$11),"x","")</f>
        <v/>
      </c>
      <c r="S388" s="87" t="str">
        <f>IF(AND($O388=$Q$7,$B388&lt;'111'!$L$11),"x","")</f>
        <v/>
      </c>
      <c r="T388" s="87" t="str">
        <f>IF(ISERROR(FIND('112'!$M$9,G388,1)),"",IF((AND(FIND('112'!$M$9,G388,1)&gt;=1,B388='112'!$K$9,OR($N388='112'!$I$6,$O388='112'!$I$6))),"x",""))</f>
        <v/>
      </c>
      <c r="U388" s="87" t="str">
        <f>IF(ISERROR(FIND('112'!$M$9,G388,1)),"",IF((AND(FIND('112'!$M$9,G388,1)&gt;=1,B388&lt;'112'!$K$9,$N388='112'!$I$6)),"x",""))</f>
        <v/>
      </c>
      <c r="V388" s="87" t="str">
        <f>IF(ISERROR(FIND('112'!$M$9,G388,1)),"",IF((AND(FIND('112'!$M$9,G388,1)&gt;=1,B388&lt;'112'!$K$9,$O388='112'!$I$6)),"x",""))</f>
        <v/>
      </c>
      <c r="W388" s="87" t="str">
        <f>IF(AND($B388&gt;='1331'!$I$9,$B388&lt;='1331'!$J$9,OR($N388=$W$7,$O388=$W$7)),"x","")</f>
        <v/>
      </c>
      <c r="X388" s="87" t="str">
        <f>IF(AND($N388=$W$7,$B388&lt;'1331'!$I$9),"x","")</f>
        <v/>
      </c>
      <c r="Y388" s="87" t="str">
        <f>IF(AND($O388=$W$7,$B388&lt;'1331'!$I$9),"x","")</f>
        <v/>
      </c>
      <c r="Z388" s="87" t="str">
        <f>IF(AND('341-CT'!$H$9=H388,OR(LEFT(N388,3)=$Z$7,LEFT(O388,3)=$Z$7)),"x","")</f>
        <v/>
      </c>
      <c r="AA388" s="87" t="str">
        <f>IF(OR(TH!N388=TH!$AA$7,O388=TH!$AA$7),"x","")</f>
        <v/>
      </c>
      <c r="AB388" s="87" t="str">
        <f>IF(AND(OR(N388="131",O388="131"),H388='131-CT'!$H$9),"x","")</f>
        <v/>
      </c>
      <c r="AC388" s="87"/>
      <c r="AD388" s="87" t="str">
        <f>IF(AND(MONTH(E388)='IN-NX'!$J$5,'IN-NX'!$D$7=D388),"x","")</f>
        <v/>
      </c>
      <c r="AE388" s="87" t="str">
        <f>IF(AND(OR(LEFT(TH!N388,2)="15",LEFT(TH!O388,2)="15"),'152-CT'!$J$8=TH!F388),"x","")</f>
        <v/>
      </c>
      <c r="AF388" s="87" t="str">
        <f>IF(AND(OR(LEFT(TH!N388,2)="15",LEFT(TH!O388,2)="15"),'THE KHO'!$E$7=TH!F388),"x","")</f>
        <v/>
      </c>
      <c r="AG388" s="87" t="str">
        <f>IF(AND(N388="1521",MONTH(C388)='BK NL'!$M$11),"x","")</f>
        <v/>
      </c>
    </row>
    <row r="389" spans="1:33" ht="15.75" customHeight="1">
      <c r="A389" s="399" t="str">
        <f>IF(B389&lt;&gt;"",IF(AND(B389&gt;=_TM1,B389&lt;=_TM2,OR(TH!N389="1111",TH!O389="1111")),TH!D389,""),"")</f>
        <v/>
      </c>
      <c r="B389" s="63" t="str">
        <f t="shared" si="11"/>
        <v/>
      </c>
      <c r="C389" s="64"/>
      <c r="D389" s="64"/>
      <c r="E389" s="64"/>
      <c r="F389" s="67"/>
      <c r="G389" s="362"/>
      <c r="H389" s="75"/>
      <c r="I389" s="518"/>
      <c r="J389" s="518"/>
      <c r="K389" s="509"/>
      <c r="L389" s="518"/>
      <c r="M389" s="65"/>
      <c r="N389" s="66"/>
      <c r="O389" s="66"/>
      <c r="P389" s="87" t="str">
        <f>IF(AND('331-CT'!$E$7=TH!H389,OR(N389="331",O389="331")),"x","")</f>
        <v/>
      </c>
      <c r="Q389" s="87" t="str">
        <f>IF(AND(B389='111'!$L$11,OR($N389=$Q$7,$O389=$Q$7)),"x","")</f>
        <v/>
      </c>
      <c r="R389" s="87" t="str">
        <f>IF(AND($N389=$Q$7,$B389&lt;'111'!$L$11),"x","")</f>
        <v/>
      </c>
      <c r="S389" s="87" t="str">
        <f>IF(AND($O389=$Q$7,$B389&lt;'111'!$L$11),"x","")</f>
        <v/>
      </c>
      <c r="T389" s="87" t="str">
        <f>IF(ISERROR(FIND('112'!$M$9,G389,1)),"",IF((AND(FIND('112'!$M$9,G389,1)&gt;=1,B389='112'!$K$9,OR($N389='112'!$I$6,$O389='112'!$I$6))),"x",""))</f>
        <v/>
      </c>
      <c r="U389" s="87" t="str">
        <f>IF(ISERROR(FIND('112'!$M$9,G389,1)),"",IF((AND(FIND('112'!$M$9,G389,1)&gt;=1,B389&lt;'112'!$K$9,$N389='112'!$I$6)),"x",""))</f>
        <v/>
      </c>
      <c r="V389" s="87" t="str">
        <f>IF(ISERROR(FIND('112'!$M$9,G389,1)),"",IF((AND(FIND('112'!$M$9,G389,1)&gt;=1,B389&lt;'112'!$K$9,$O389='112'!$I$6)),"x",""))</f>
        <v/>
      </c>
      <c r="W389" s="87" t="str">
        <f>IF(AND($B389&gt;='1331'!$I$9,$B389&lt;='1331'!$J$9,OR($N389=$W$7,$O389=$W$7)),"x","")</f>
        <v/>
      </c>
      <c r="X389" s="87" t="str">
        <f>IF(AND($N389=$W$7,$B389&lt;'1331'!$I$9),"x","")</f>
        <v/>
      </c>
      <c r="Y389" s="87" t="str">
        <f>IF(AND($O389=$W$7,$B389&lt;'1331'!$I$9),"x","")</f>
        <v/>
      </c>
      <c r="Z389" s="87" t="str">
        <f>IF(AND('341-CT'!$H$9=H389,OR(LEFT(N389,3)=$Z$7,LEFT(O389,3)=$Z$7)),"x","")</f>
        <v/>
      </c>
      <c r="AA389" s="87" t="str">
        <f>IF(OR(TH!N389=TH!$AA$7,O389=TH!$AA$7),"x","")</f>
        <v/>
      </c>
      <c r="AB389" s="87" t="str">
        <f>IF(AND(OR(N389="131",O389="131"),H389='131-CT'!$H$9),"x","")</f>
        <v/>
      </c>
      <c r="AC389" s="87"/>
      <c r="AD389" s="87" t="str">
        <f>IF(AND(MONTH(E389)='IN-NX'!$J$5,'IN-NX'!$D$7=D389),"x","")</f>
        <v/>
      </c>
      <c r="AE389" s="87" t="str">
        <f>IF(AND(OR(LEFT(TH!N389,2)="15",LEFT(TH!O389,2)="15"),'152-CT'!$J$8=TH!F389),"x","")</f>
        <v/>
      </c>
      <c r="AF389" s="87" t="str">
        <f>IF(AND(OR(LEFT(TH!N389,2)="15",LEFT(TH!O389,2)="15"),'THE KHO'!$E$7=TH!F389),"x","")</f>
        <v/>
      </c>
      <c r="AG389" s="87" t="str">
        <f>IF(AND(N389="1521",MONTH(C389)='BK NL'!$M$11),"x","")</f>
        <v/>
      </c>
    </row>
    <row r="390" spans="1:33" ht="15.75" customHeight="1">
      <c r="A390" s="399" t="str">
        <f>IF(B390&lt;&gt;"",IF(AND(B390&gt;=_TM1,B390&lt;=_TM2,OR(TH!N390="1111",TH!O390="1111")),TH!D390,""),"")</f>
        <v/>
      </c>
      <c r="B390" s="63" t="str">
        <f t="shared" si="11"/>
        <v/>
      </c>
      <c r="C390" s="64"/>
      <c r="D390" s="64"/>
      <c r="E390" s="64"/>
      <c r="F390" s="67"/>
      <c r="G390" s="362"/>
      <c r="H390" s="75"/>
      <c r="I390" s="518"/>
      <c r="J390" s="518"/>
      <c r="K390" s="509"/>
      <c r="L390" s="518"/>
      <c r="M390" s="65"/>
      <c r="N390" s="66"/>
      <c r="O390" s="66"/>
      <c r="P390" s="87" t="str">
        <f>IF(AND('331-CT'!$E$7=TH!H390,OR(N390="331",O390="331")),"x","")</f>
        <v/>
      </c>
      <c r="Q390" s="87" t="str">
        <f>IF(AND(B390='111'!$L$11,OR($N390=$Q$7,$O390=$Q$7)),"x","")</f>
        <v/>
      </c>
      <c r="R390" s="87" t="str">
        <f>IF(AND($N390=$Q$7,$B390&lt;'111'!$L$11),"x","")</f>
        <v/>
      </c>
      <c r="S390" s="87" t="str">
        <f>IF(AND($O390=$Q$7,$B390&lt;'111'!$L$11),"x","")</f>
        <v/>
      </c>
      <c r="T390" s="87" t="str">
        <f>IF(ISERROR(FIND('112'!$M$9,G390,1)),"",IF((AND(FIND('112'!$M$9,G390,1)&gt;=1,B390='112'!$K$9,OR($N390='112'!$I$6,$O390='112'!$I$6))),"x",""))</f>
        <v/>
      </c>
      <c r="U390" s="87" t="str">
        <f>IF(ISERROR(FIND('112'!$M$9,G390,1)),"",IF((AND(FIND('112'!$M$9,G390,1)&gt;=1,B390&lt;'112'!$K$9,$N390='112'!$I$6)),"x",""))</f>
        <v/>
      </c>
      <c r="V390" s="87" t="str">
        <f>IF(ISERROR(FIND('112'!$M$9,G390,1)),"",IF((AND(FIND('112'!$M$9,G390,1)&gt;=1,B390&lt;'112'!$K$9,$O390='112'!$I$6)),"x",""))</f>
        <v/>
      </c>
      <c r="W390" s="87" t="str">
        <f>IF(AND($B390&gt;='1331'!$I$9,$B390&lt;='1331'!$J$9,OR($N390=$W$7,$O390=$W$7)),"x","")</f>
        <v/>
      </c>
      <c r="X390" s="87" t="str">
        <f>IF(AND($N390=$W$7,$B390&lt;'1331'!$I$9),"x","")</f>
        <v/>
      </c>
      <c r="Y390" s="87" t="str">
        <f>IF(AND($O390=$W$7,$B390&lt;'1331'!$I$9),"x","")</f>
        <v/>
      </c>
      <c r="Z390" s="87" t="str">
        <f>IF(AND('341-CT'!$H$9=H390,OR(LEFT(N390,3)=$Z$7,LEFT(O390,3)=$Z$7)),"x","")</f>
        <v/>
      </c>
      <c r="AA390" s="87" t="str">
        <f>IF(OR(TH!N390=TH!$AA$7,O390=TH!$AA$7),"x","")</f>
        <v/>
      </c>
      <c r="AB390" s="87" t="str">
        <f>IF(AND(OR(N390="131",O390="131"),H390='131-CT'!$H$9),"x","")</f>
        <v/>
      </c>
      <c r="AC390" s="87"/>
      <c r="AD390" s="87" t="str">
        <f>IF(AND(MONTH(E390)='IN-NX'!$J$5,'IN-NX'!$D$7=D390),"x","")</f>
        <v/>
      </c>
      <c r="AE390" s="87" t="str">
        <f>IF(AND(OR(LEFT(TH!N390,2)="15",LEFT(TH!O390,2)="15"),'152-CT'!$J$8=TH!F390),"x","")</f>
        <v/>
      </c>
      <c r="AF390" s="87" t="str">
        <f>IF(AND(OR(LEFT(TH!N390,2)="15",LEFT(TH!O390,2)="15"),'THE KHO'!$E$7=TH!F390),"x","")</f>
        <v/>
      </c>
      <c r="AG390" s="87" t="str">
        <f>IF(AND(N390="1521",MONTH(C390)='BK NL'!$M$11),"x","")</f>
        <v/>
      </c>
    </row>
    <row r="391" spans="1:33" ht="15.75" customHeight="1">
      <c r="A391" s="399" t="str">
        <f>IF(B391&lt;&gt;"",IF(AND(B391&gt;=_TM1,B391&lt;=_TM2,OR(TH!N391="1111",TH!O391="1111")),TH!D391,""),"")</f>
        <v/>
      </c>
      <c r="B391" s="63" t="str">
        <f t="shared" si="11"/>
        <v/>
      </c>
      <c r="C391" s="64"/>
      <c r="D391" s="64"/>
      <c r="E391" s="64"/>
      <c r="F391" s="67"/>
      <c r="G391" s="362"/>
      <c r="H391" s="75"/>
      <c r="I391" s="518"/>
      <c r="J391" s="518"/>
      <c r="K391" s="509"/>
      <c r="L391" s="518"/>
      <c r="M391" s="65"/>
      <c r="N391" s="66"/>
      <c r="O391" s="66"/>
      <c r="P391" s="87" t="str">
        <f>IF(AND('331-CT'!$E$7=TH!H391,OR(N391="331",O391="331")),"x","")</f>
        <v/>
      </c>
      <c r="Q391" s="87" t="str">
        <f>IF(AND(B391='111'!$L$11,OR($N391=$Q$7,$O391=$Q$7)),"x","")</f>
        <v/>
      </c>
      <c r="R391" s="87" t="str">
        <f>IF(AND($N391=$Q$7,$B391&lt;'111'!$L$11),"x","")</f>
        <v/>
      </c>
      <c r="S391" s="87" t="str">
        <f>IF(AND($O391=$Q$7,$B391&lt;'111'!$L$11),"x","")</f>
        <v/>
      </c>
      <c r="T391" s="87" t="str">
        <f>IF(ISERROR(FIND('112'!$M$9,G391,1)),"",IF((AND(FIND('112'!$M$9,G391,1)&gt;=1,B391='112'!$K$9,OR($N391='112'!$I$6,$O391='112'!$I$6))),"x",""))</f>
        <v/>
      </c>
      <c r="U391" s="87" t="str">
        <f>IF(ISERROR(FIND('112'!$M$9,G391,1)),"",IF((AND(FIND('112'!$M$9,G391,1)&gt;=1,B391&lt;'112'!$K$9,$N391='112'!$I$6)),"x",""))</f>
        <v/>
      </c>
      <c r="V391" s="87" t="str">
        <f>IF(ISERROR(FIND('112'!$M$9,G391,1)),"",IF((AND(FIND('112'!$M$9,G391,1)&gt;=1,B391&lt;'112'!$K$9,$O391='112'!$I$6)),"x",""))</f>
        <v/>
      </c>
      <c r="W391" s="87" t="str">
        <f>IF(AND($B391&gt;='1331'!$I$9,$B391&lt;='1331'!$J$9,OR($N391=$W$7,$O391=$W$7)),"x","")</f>
        <v/>
      </c>
      <c r="X391" s="87" t="str">
        <f>IF(AND($N391=$W$7,$B391&lt;'1331'!$I$9),"x","")</f>
        <v/>
      </c>
      <c r="Y391" s="87" t="str">
        <f>IF(AND($O391=$W$7,$B391&lt;'1331'!$I$9),"x","")</f>
        <v/>
      </c>
      <c r="Z391" s="87" t="str">
        <f>IF(AND('341-CT'!$H$9=H391,OR(LEFT(N391,3)=$Z$7,LEFT(O391,3)=$Z$7)),"x","")</f>
        <v/>
      </c>
      <c r="AA391" s="87" t="str">
        <f>IF(OR(TH!N391=TH!$AA$7,O391=TH!$AA$7),"x","")</f>
        <v/>
      </c>
      <c r="AB391" s="87" t="str">
        <f>IF(AND(OR(N391="131",O391="131"),H391='131-CT'!$H$9),"x","")</f>
        <v/>
      </c>
      <c r="AC391" s="87"/>
      <c r="AD391" s="87" t="str">
        <f>IF(AND(MONTH(E391)='IN-NX'!$J$5,'IN-NX'!$D$7=D391),"x","")</f>
        <v/>
      </c>
      <c r="AE391" s="87" t="str">
        <f>IF(AND(OR(LEFT(TH!N391,2)="15",LEFT(TH!O391,2)="15"),'152-CT'!$J$8=TH!F391),"x","")</f>
        <v/>
      </c>
      <c r="AF391" s="87" t="str">
        <f>IF(AND(OR(LEFT(TH!N391,2)="15",LEFT(TH!O391,2)="15"),'THE KHO'!$E$7=TH!F391),"x","")</f>
        <v/>
      </c>
      <c r="AG391" s="87" t="str">
        <f>IF(AND(N391="1521",MONTH(C391)='BK NL'!$M$11),"x","")</f>
        <v/>
      </c>
    </row>
    <row r="392" spans="1:33" ht="15.75" customHeight="1">
      <c r="A392" s="399" t="str">
        <f>IF(B392&lt;&gt;"",IF(AND(B392&gt;=_TM1,B392&lt;=_TM2,OR(TH!N392="1111",TH!O392="1111")),TH!D392,""),"")</f>
        <v/>
      </c>
      <c r="B392" s="63" t="str">
        <f t="shared" si="11"/>
        <v/>
      </c>
      <c r="C392" s="64"/>
      <c r="D392" s="64"/>
      <c r="E392" s="64"/>
      <c r="F392" s="67"/>
      <c r="G392" s="362"/>
      <c r="H392" s="75"/>
      <c r="I392" s="518"/>
      <c r="J392" s="518"/>
      <c r="K392" s="509"/>
      <c r="L392" s="518"/>
      <c r="M392" s="65"/>
      <c r="N392" s="66"/>
      <c r="O392" s="66"/>
      <c r="P392" s="87" t="str">
        <f>IF(AND('331-CT'!$E$7=TH!H392,OR(N392="331",O392="331")),"x","")</f>
        <v/>
      </c>
      <c r="Q392" s="87" t="str">
        <f>IF(AND(B392='111'!$L$11,OR($N392=$Q$7,$O392=$Q$7)),"x","")</f>
        <v/>
      </c>
      <c r="R392" s="87" t="str">
        <f>IF(AND($N392=$Q$7,$B392&lt;'111'!$L$11),"x","")</f>
        <v/>
      </c>
      <c r="S392" s="87" t="str">
        <f>IF(AND($O392=$Q$7,$B392&lt;'111'!$L$11),"x","")</f>
        <v/>
      </c>
      <c r="T392" s="87" t="str">
        <f>IF(ISERROR(FIND('112'!$M$9,G392,1)),"",IF((AND(FIND('112'!$M$9,G392,1)&gt;=1,B392='112'!$K$9,OR($N392='112'!$I$6,$O392='112'!$I$6))),"x",""))</f>
        <v/>
      </c>
      <c r="U392" s="87" t="str">
        <f>IF(ISERROR(FIND('112'!$M$9,G392,1)),"",IF((AND(FIND('112'!$M$9,G392,1)&gt;=1,B392&lt;'112'!$K$9,$N392='112'!$I$6)),"x",""))</f>
        <v/>
      </c>
      <c r="V392" s="87" t="str">
        <f>IF(ISERROR(FIND('112'!$M$9,G392,1)),"",IF((AND(FIND('112'!$M$9,G392,1)&gt;=1,B392&lt;'112'!$K$9,$O392='112'!$I$6)),"x",""))</f>
        <v/>
      </c>
      <c r="W392" s="87" t="str">
        <f>IF(AND($B392&gt;='1331'!$I$9,$B392&lt;='1331'!$J$9,OR($N392=$W$7,$O392=$W$7)),"x","")</f>
        <v/>
      </c>
      <c r="X392" s="87" t="str">
        <f>IF(AND($N392=$W$7,$B392&lt;'1331'!$I$9),"x","")</f>
        <v/>
      </c>
      <c r="Y392" s="87" t="str">
        <f>IF(AND($O392=$W$7,$B392&lt;'1331'!$I$9),"x","")</f>
        <v/>
      </c>
      <c r="Z392" s="87" t="str">
        <f>IF(AND('341-CT'!$H$9=H392,OR(LEFT(N392,3)=$Z$7,LEFT(O392,3)=$Z$7)),"x","")</f>
        <v/>
      </c>
      <c r="AA392" s="87" t="str">
        <f>IF(OR(TH!N392=TH!$AA$7,O392=TH!$AA$7),"x","")</f>
        <v/>
      </c>
      <c r="AB392" s="87" t="str">
        <f>IF(AND(OR(N392="131",O392="131"),H392='131-CT'!$H$9),"x","")</f>
        <v/>
      </c>
      <c r="AC392" s="87"/>
      <c r="AD392" s="87" t="str">
        <f>IF(AND(MONTH(E392)='IN-NX'!$J$5,'IN-NX'!$D$7=D392),"x","")</f>
        <v/>
      </c>
      <c r="AE392" s="87" t="str">
        <f>IF(AND(OR(LEFT(TH!N392,2)="15",LEFT(TH!O392,2)="15"),'152-CT'!$J$8=TH!F392),"x","")</f>
        <v/>
      </c>
      <c r="AF392" s="87" t="str">
        <f>IF(AND(OR(LEFT(TH!N392,2)="15",LEFT(TH!O392,2)="15"),'THE KHO'!$E$7=TH!F392),"x","")</f>
        <v/>
      </c>
      <c r="AG392" s="87" t="str">
        <f>IF(AND(N392="1521",MONTH(C392)='BK NL'!$M$11),"x","")</f>
        <v/>
      </c>
    </row>
    <row r="393" spans="1:33" ht="15.75" customHeight="1">
      <c r="A393" s="399" t="str">
        <f>IF(B393&lt;&gt;"",IF(AND(B393&gt;=_TM1,B393&lt;=_TM2,OR(TH!N393="1111",TH!O393="1111")),TH!D393,""),"")</f>
        <v/>
      </c>
      <c r="B393" s="97" t="str">
        <f t="shared" si="11"/>
        <v/>
      </c>
      <c r="C393" s="98"/>
      <c r="D393" s="64"/>
      <c r="E393" s="98"/>
      <c r="F393" s="99"/>
      <c r="G393" s="380"/>
      <c r="H393" s="100"/>
      <c r="I393" s="524"/>
      <c r="J393" s="524"/>
      <c r="K393" s="515"/>
      <c r="L393" s="524"/>
      <c r="M393" s="101"/>
      <c r="N393" s="88"/>
      <c r="O393" s="88"/>
      <c r="P393" s="87" t="str">
        <f>IF(AND('331-CT'!$E$7=TH!H393,OR(N393="331",O393="331")),"x","")</f>
        <v/>
      </c>
      <c r="Q393" s="87" t="str">
        <f>IF(AND(B393='111'!$L$11,OR($N393=$Q$7,$O393=$Q$7)),"x","")</f>
        <v/>
      </c>
      <c r="R393" s="87" t="str">
        <f>IF(AND($N393=$Q$7,$B393&lt;'111'!$L$11),"x","")</f>
        <v/>
      </c>
      <c r="S393" s="87" t="str">
        <f>IF(AND($O393=$Q$7,$B393&lt;'111'!$L$11),"x","")</f>
        <v/>
      </c>
      <c r="T393" s="87" t="str">
        <f>IF(ISERROR(FIND('112'!$M$9,G393,1)),"",IF((AND(FIND('112'!$M$9,G393,1)&gt;=1,B393='112'!$K$9,OR($N393='112'!$I$6,$O393='112'!$I$6))),"x",""))</f>
        <v/>
      </c>
      <c r="U393" s="87" t="str">
        <f>IF(ISERROR(FIND('112'!$M$9,G393,1)),"",IF((AND(FIND('112'!$M$9,G393,1)&gt;=1,B393&lt;'112'!$K$9,$N393='112'!$I$6)),"x",""))</f>
        <v/>
      </c>
      <c r="V393" s="87" t="str">
        <f>IF(ISERROR(FIND('112'!$M$9,G393,1)),"",IF((AND(FIND('112'!$M$9,G393,1)&gt;=1,B393&lt;'112'!$K$9,$O393='112'!$I$6)),"x",""))</f>
        <v/>
      </c>
      <c r="W393" s="87" t="str">
        <f>IF(AND($B393&gt;='1331'!$I$9,$B393&lt;='1331'!$J$9,OR($N393=$W$7,$O393=$W$7)),"x","")</f>
        <v/>
      </c>
      <c r="X393" s="87" t="str">
        <f>IF(AND($N393=$W$7,$B393&lt;'1331'!$I$9),"x","")</f>
        <v/>
      </c>
      <c r="Y393" s="87" t="str">
        <f>IF(AND($O393=$W$7,$B393&lt;'1331'!$I$9),"x","")</f>
        <v/>
      </c>
      <c r="Z393" s="87" t="str">
        <f>IF(AND('341-CT'!$H$9=H393,OR(LEFT(N393,3)=$Z$7,LEFT(O393,3)=$Z$7)),"x","")</f>
        <v/>
      </c>
      <c r="AA393" s="87" t="str">
        <f>IF(OR(TH!N393=TH!$AA$7,O393=TH!$AA$7),"x","")</f>
        <v/>
      </c>
      <c r="AB393" s="87" t="str">
        <f>IF(AND(OR(N393="131",O393="131"),H393='131-CT'!$H$9),"x","")</f>
        <v/>
      </c>
      <c r="AC393" s="87"/>
      <c r="AD393" s="87" t="str">
        <f>IF(AND(MONTH(E393)='IN-NX'!$J$5,'IN-NX'!$D$7=D393),"x","")</f>
        <v/>
      </c>
      <c r="AE393" s="87" t="str">
        <f>IF(AND(OR(LEFT(TH!N393,2)="15",LEFT(TH!O393,2)="15"),'152-CT'!$J$8=TH!F393),"x","")</f>
        <v/>
      </c>
      <c r="AF393" s="87" t="str">
        <f>IF(AND(OR(LEFT(TH!N393,2)="15",LEFT(TH!O393,2)="15"),'THE KHO'!$E$7=TH!F393),"x","")</f>
        <v/>
      </c>
      <c r="AG393" s="87" t="str">
        <f>IF(AND(N393="1521",MONTH(C393)='BK NL'!$M$11),"x","")</f>
        <v/>
      </c>
    </row>
    <row r="394" spans="1:33" ht="15.75" customHeight="1">
      <c r="A394" s="399" t="str">
        <f>IF(B394&lt;&gt;"",IF(AND(B394&gt;=_TM1,B394&lt;=_TM2,OR(TH!N394="1111",TH!O394="1111")),TH!D394,""),"")</f>
        <v/>
      </c>
      <c r="B394" s="97" t="str">
        <f t="shared" si="11"/>
        <v/>
      </c>
      <c r="C394" s="98"/>
      <c r="D394" s="64"/>
      <c r="E394" s="98"/>
      <c r="F394" s="99"/>
      <c r="G394" s="380"/>
      <c r="H394" s="100"/>
      <c r="I394" s="524"/>
      <c r="J394" s="524"/>
      <c r="K394" s="515"/>
      <c r="L394" s="524"/>
      <c r="M394" s="101"/>
      <c r="N394" s="88"/>
      <c r="O394" s="88"/>
      <c r="P394" s="87" t="str">
        <f>IF(AND('331-CT'!$E$7=TH!H394,OR(N394="331",O394="331")),"x","")</f>
        <v/>
      </c>
      <c r="Q394" s="87" t="str">
        <f>IF(AND(B394='111'!$L$11,OR($N394=$Q$7,$O394=$Q$7)),"x","")</f>
        <v/>
      </c>
      <c r="R394" s="87" t="str">
        <f>IF(AND($N394=$Q$7,$B394&lt;'111'!$L$11),"x","")</f>
        <v/>
      </c>
      <c r="S394" s="87" t="str">
        <f>IF(AND($O394=$Q$7,$B394&lt;'111'!$L$11),"x","")</f>
        <v/>
      </c>
      <c r="T394" s="87" t="str">
        <f>IF(ISERROR(FIND('112'!$M$9,G394,1)),"",IF((AND(FIND('112'!$M$9,G394,1)&gt;=1,B394='112'!$K$9,OR($N394='112'!$I$6,$O394='112'!$I$6))),"x",""))</f>
        <v/>
      </c>
      <c r="U394" s="87" t="str">
        <f>IF(ISERROR(FIND('112'!$M$9,G394,1)),"",IF((AND(FIND('112'!$M$9,G394,1)&gt;=1,B394&lt;'112'!$K$9,$N394='112'!$I$6)),"x",""))</f>
        <v/>
      </c>
      <c r="V394" s="87" t="str">
        <f>IF(ISERROR(FIND('112'!$M$9,G394,1)),"",IF((AND(FIND('112'!$M$9,G394,1)&gt;=1,B394&lt;'112'!$K$9,$O394='112'!$I$6)),"x",""))</f>
        <v/>
      </c>
      <c r="W394" s="87" t="str">
        <f>IF(AND($B394&gt;='1331'!$I$9,$B394&lt;='1331'!$J$9,OR($N394=$W$7,$O394=$W$7)),"x","")</f>
        <v/>
      </c>
      <c r="X394" s="87" t="str">
        <f>IF(AND($N394=$W$7,$B394&lt;'1331'!$I$9),"x","")</f>
        <v/>
      </c>
      <c r="Y394" s="87" t="str">
        <f>IF(AND($O394=$W$7,$B394&lt;'1331'!$I$9),"x","")</f>
        <v/>
      </c>
      <c r="Z394" s="87" t="str">
        <f>IF(AND('341-CT'!$H$9=H394,OR(LEFT(N394,3)=$Z$7,LEFT(O394,3)=$Z$7)),"x","")</f>
        <v/>
      </c>
      <c r="AA394" s="87" t="str">
        <f>IF(OR(TH!N394=TH!$AA$7,O394=TH!$AA$7),"x","")</f>
        <v/>
      </c>
      <c r="AB394" s="87" t="str">
        <f>IF(AND(OR(N394="131",O394="131"),H394='131-CT'!$H$9),"x","")</f>
        <v/>
      </c>
      <c r="AC394" s="87"/>
      <c r="AD394" s="87" t="str">
        <f>IF(AND(MONTH(E394)='IN-NX'!$J$5,'IN-NX'!$D$7=D394),"x","")</f>
        <v/>
      </c>
      <c r="AE394" s="87" t="str">
        <f>IF(AND(OR(LEFT(TH!N394,2)="15",LEFT(TH!O394,2)="15"),'152-CT'!$J$8=TH!F394),"x","")</f>
        <v/>
      </c>
      <c r="AF394" s="87" t="str">
        <f>IF(AND(OR(LEFT(TH!N394,2)="15",LEFT(TH!O394,2)="15"),'THE KHO'!$E$7=TH!F394),"x","")</f>
        <v/>
      </c>
      <c r="AG394" s="87" t="str">
        <f>IF(AND(N394="1521",MONTH(C394)='BK NL'!$M$11),"x","")</f>
        <v/>
      </c>
    </row>
    <row r="395" spans="1:33" ht="15.75" customHeight="1">
      <c r="A395" s="399" t="str">
        <f>IF(B395&lt;&gt;"",IF(AND(B395&gt;=_TM1,B395&lt;=_TM2,OR(TH!N395="1111",TH!O395="1111")),TH!D395,""),"")</f>
        <v/>
      </c>
      <c r="B395" s="63" t="str">
        <f t="shared" si="11"/>
        <v/>
      </c>
      <c r="C395" s="64"/>
      <c r="D395" s="64"/>
      <c r="E395" s="64"/>
      <c r="F395" s="67"/>
      <c r="G395" s="379"/>
      <c r="H395" s="75"/>
      <c r="I395" s="518"/>
      <c r="J395" s="518"/>
      <c r="K395" s="509"/>
      <c r="L395" s="518"/>
      <c r="M395" s="65"/>
      <c r="N395" s="66"/>
      <c r="O395" s="66"/>
      <c r="P395" s="87" t="str">
        <f>IF(AND('331-CT'!$E$7=TH!H395,OR(N395="331",O395="331")),"x","")</f>
        <v/>
      </c>
      <c r="Q395" s="87" t="str">
        <f>IF(AND(B395='111'!$L$11,OR($N395=$Q$7,$O395=$Q$7)),"x","")</f>
        <v/>
      </c>
      <c r="R395" s="87" t="str">
        <f>IF(AND($N395=$Q$7,$B395&lt;'111'!$L$11),"x","")</f>
        <v/>
      </c>
      <c r="S395" s="87" t="str">
        <f>IF(AND($O395=$Q$7,$B395&lt;'111'!$L$11),"x","")</f>
        <v/>
      </c>
      <c r="T395" s="87" t="str">
        <f>IF(ISERROR(FIND('112'!$M$9,G395,1)),"",IF((AND(FIND('112'!$M$9,G395,1)&gt;=1,B395='112'!$K$9,OR($N395='112'!$I$6,$O395='112'!$I$6))),"x",""))</f>
        <v/>
      </c>
      <c r="U395" s="87" t="str">
        <f>IF(ISERROR(FIND('112'!$M$9,G395,1)),"",IF((AND(FIND('112'!$M$9,G395,1)&gt;=1,B395&lt;'112'!$K$9,$N395='112'!$I$6)),"x",""))</f>
        <v/>
      </c>
      <c r="V395" s="87" t="str">
        <f>IF(ISERROR(FIND('112'!$M$9,G395,1)),"",IF((AND(FIND('112'!$M$9,G395,1)&gt;=1,B395&lt;'112'!$K$9,$O395='112'!$I$6)),"x",""))</f>
        <v/>
      </c>
      <c r="W395" s="87" t="str">
        <f>IF(AND($B395&gt;='1331'!$I$9,$B395&lt;='1331'!$J$9,OR($N395=$W$7,$O395=$W$7)),"x","")</f>
        <v/>
      </c>
      <c r="X395" s="87" t="str">
        <f>IF(AND($N395=$W$7,$B395&lt;'1331'!$I$9),"x","")</f>
        <v/>
      </c>
      <c r="Y395" s="87" t="str">
        <f>IF(AND($O395=$W$7,$B395&lt;'1331'!$I$9),"x","")</f>
        <v/>
      </c>
      <c r="Z395" s="87" t="str">
        <f>IF(AND('341-CT'!$H$9=H395,OR(LEFT(N395,3)=$Z$7,LEFT(O395,3)=$Z$7)),"x","")</f>
        <v/>
      </c>
      <c r="AA395" s="87" t="str">
        <f>IF(OR(TH!N395=TH!$AA$7,O395=TH!$AA$7),"x","")</f>
        <v/>
      </c>
      <c r="AB395" s="87" t="str">
        <f>IF(AND(OR(N395="131",O395="131"),H395='131-CT'!$H$9),"x","")</f>
        <v/>
      </c>
      <c r="AC395" s="87"/>
      <c r="AD395" s="87" t="str">
        <f>IF(AND(MONTH(E395)='IN-NX'!$J$5,'IN-NX'!$D$7=D395),"x","")</f>
        <v/>
      </c>
      <c r="AE395" s="87" t="str">
        <f>IF(AND(OR(LEFT(TH!N395,2)="15",LEFT(TH!O395,2)="15"),'152-CT'!$J$8=TH!F395),"x","")</f>
        <v/>
      </c>
      <c r="AF395" s="87" t="str">
        <f>IF(AND(OR(LEFT(TH!N395,2)="15",LEFT(TH!O395,2)="15"),'THE KHO'!$E$7=TH!F395),"x","")</f>
        <v/>
      </c>
      <c r="AG395" s="87" t="str">
        <f>IF(AND(N395="1521",MONTH(C395)='BK NL'!$M$11),"x","")</f>
        <v/>
      </c>
    </row>
    <row r="396" spans="1:33" ht="15.75" customHeight="1">
      <c r="A396" s="399" t="str">
        <f>IF(B396&lt;&gt;"",IF(AND(B396&gt;=_TM1,B396&lt;=_TM2,OR(TH!N396="1111",TH!O396="1111")),TH!D396,""),"")</f>
        <v/>
      </c>
      <c r="B396" s="63" t="str">
        <f t="shared" si="11"/>
        <v/>
      </c>
      <c r="C396" s="64"/>
      <c r="D396" s="64"/>
      <c r="E396" s="64"/>
      <c r="F396" s="67"/>
      <c r="G396" s="379"/>
      <c r="H396" s="75"/>
      <c r="I396" s="518"/>
      <c r="J396" s="518"/>
      <c r="K396" s="509"/>
      <c r="L396" s="518"/>
      <c r="M396" s="65"/>
      <c r="N396" s="66"/>
      <c r="O396" s="66"/>
      <c r="P396" s="87" t="str">
        <f>IF(AND('331-CT'!$E$7=TH!H396,OR(N396="331",O396="331")),"x","")</f>
        <v/>
      </c>
      <c r="Q396" s="87" t="str">
        <f>IF(AND(B396='111'!$L$11,OR($N396=$Q$7,$O396=$Q$7)),"x","")</f>
        <v/>
      </c>
      <c r="R396" s="87" t="str">
        <f>IF(AND($N396=$Q$7,$B396&lt;'111'!$L$11),"x","")</f>
        <v/>
      </c>
      <c r="S396" s="87" t="str">
        <f>IF(AND($O396=$Q$7,$B396&lt;'111'!$L$11),"x","")</f>
        <v/>
      </c>
      <c r="T396" s="87" t="str">
        <f>IF(ISERROR(FIND('112'!$M$9,G396,1)),"",IF((AND(FIND('112'!$M$9,G396,1)&gt;=1,B396='112'!$K$9,OR($N396='112'!$I$6,$O396='112'!$I$6))),"x",""))</f>
        <v/>
      </c>
      <c r="U396" s="87" t="str">
        <f>IF(ISERROR(FIND('112'!$M$9,G396,1)),"",IF((AND(FIND('112'!$M$9,G396,1)&gt;=1,B396&lt;'112'!$K$9,$N396='112'!$I$6)),"x",""))</f>
        <v/>
      </c>
      <c r="V396" s="87" t="str">
        <f>IF(ISERROR(FIND('112'!$M$9,G396,1)),"",IF((AND(FIND('112'!$M$9,G396,1)&gt;=1,B396&lt;'112'!$K$9,$O396='112'!$I$6)),"x",""))</f>
        <v/>
      </c>
      <c r="W396" s="87" t="str">
        <f>IF(AND($B396&gt;='1331'!$I$9,$B396&lt;='1331'!$J$9,OR($N396=$W$7,$O396=$W$7)),"x","")</f>
        <v/>
      </c>
      <c r="X396" s="87" t="str">
        <f>IF(AND($N396=$W$7,$B396&lt;'1331'!$I$9),"x","")</f>
        <v/>
      </c>
      <c r="Y396" s="87" t="str">
        <f>IF(AND($O396=$W$7,$B396&lt;'1331'!$I$9),"x","")</f>
        <v/>
      </c>
      <c r="Z396" s="87" t="str">
        <f>IF(AND('341-CT'!$H$9=H396,OR(LEFT(N396,3)=$Z$7,LEFT(O396,3)=$Z$7)),"x","")</f>
        <v/>
      </c>
      <c r="AA396" s="87" t="str">
        <f>IF(OR(TH!N396=TH!$AA$7,O396=TH!$AA$7),"x","")</f>
        <v/>
      </c>
      <c r="AB396" s="87" t="str">
        <f>IF(AND(OR(N396="131",O396="131"),H396='131-CT'!$H$9),"x","")</f>
        <v/>
      </c>
      <c r="AC396" s="87"/>
      <c r="AD396" s="87" t="str">
        <f>IF(AND(MONTH(E396)='IN-NX'!$J$5,'IN-NX'!$D$7=D396),"x","")</f>
        <v/>
      </c>
      <c r="AE396" s="87" t="str">
        <f>IF(AND(OR(LEFT(TH!N396,2)="15",LEFT(TH!O396,2)="15"),'152-CT'!$J$8=TH!F396),"x","")</f>
        <v/>
      </c>
      <c r="AF396" s="87" t="str">
        <f>IF(AND(OR(LEFT(TH!N396,2)="15",LEFT(TH!O396,2)="15"),'THE KHO'!$E$7=TH!F396),"x","")</f>
        <v/>
      </c>
      <c r="AG396" s="87" t="str">
        <f>IF(AND(N396="1521",MONTH(C396)='BK NL'!$M$11),"x","")</f>
        <v/>
      </c>
    </row>
    <row r="397" spans="1:33" ht="15.75" customHeight="1">
      <c r="A397" s="399" t="str">
        <f>IF(B397&lt;&gt;"",IF(AND(B397&gt;=_TM1,B397&lt;=_TM2,OR(TH!N397="1111",TH!O397="1111")),TH!D397,""),"")</f>
        <v/>
      </c>
      <c r="B397" s="63" t="str">
        <f t="shared" si="11"/>
        <v/>
      </c>
      <c r="C397" s="64"/>
      <c r="D397" s="64"/>
      <c r="E397" s="64"/>
      <c r="F397" s="67"/>
      <c r="G397" s="376"/>
      <c r="H397" s="75"/>
      <c r="I397" s="518"/>
      <c r="J397" s="518"/>
      <c r="K397" s="509"/>
      <c r="L397" s="518"/>
      <c r="M397" s="65"/>
      <c r="N397" s="66"/>
      <c r="O397" s="66"/>
      <c r="P397" s="87" t="str">
        <f>IF(AND('331-CT'!$E$7=TH!H397,OR(N397="331",O397="331")),"x","")</f>
        <v/>
      </c>
      <c r="Q397" s="87" t="str">
        <f>IF(AND(B397='111'!$L$11,OR($N397=$Q$7,$O397=$Q$7)),"x","")</f>
        <v/>
      </c>
      <c r="R397" s="87" t="str">
        <f>IF(AND($N397=$Q$7,$B397&lt;'111'!$L$11),"x","")</f>
        <v/>
      </c>
      <c r="S397" s="87" t="str">
        <f>IF(AND($O397=$Q$7,$B397&lt;'111'!$L$11),"x","")</f>
        <v/>
      </c>
      <c r="T397" s="87" t="str">
        <f>IF(ISERROR(FIND('112'!$M$9,G397,1)),"",IF((AND(FIND('112'!$M$9,G397,1)&gt;=1,B397='112'!$K$9,OR($N397='112'!$I$6,$O397='112'!$I$6))),"x",""))</f>
        <v/>
      </c>
      <c r="U397" s="87" t="str">
        <f>IF(ISERROR(FIND('112'!$M$9,G397,1)),"",IF((AND(FIND('112'!$M$9,G397,1)&gt;=1,B397&lt;'112'!$K$9,$N397='112'!$I$6)),"x",""))</f>
        <v/>
      </c>
      <c r="V397" s="87" t="str">
        <f>IF(ISERROR(FIND('112'!$M$9,G397,1)),"",IF((AND(FIND('112'!$M$9,G397,1)&gt;=1,B397&lt;'112'!$K$9,$O397='112'!$I$6)),"x",""))</f>
        <v/>
      </c>
      <c r="W397" s="87" t="str">
        <f>IF(AND($B397&gt;='1331'!$I$9,$B397&lt;='1331'!$J$9,OR($N397=$W$7,$O397=$W$7)),"x","")</f>
        <v/>
      </c>
      <c r="X397" s="87" t="str">
        <f>IF(AND($N397=$W$7,$B397&lt;'1331'!$I$9),"x","")</f>
        <v/>
      </c>
      <c r="Y397" s="87" t="str">
        <f>IF(AND($O397=$W$7,$B397&lt;'1331'!$I$9),"x","")</f>
        <v/>
      </c>
      <c r="Z397" s="87" t="str">
        <f>IF(AND('341-CT'!$H$9=H397,OR(LEFT(N397,3)=$Z$7,LEFT(O397,3)=$Z$7)),"x","")</f>
        <v/>
      </c>
      <c r="AA397" s="87" t="str">
        <f>IF(OR(TH!N397=TH!$AA$7,O397=TH!$AA$7),"x","")</f>
        <v/>
      </c>
      <c r="AB397" s="87" t="str">
        <f>IF(AND(OR(N397="131",O397="131"),H397='131-CT'!$H$9),"x","")</f>
        <v/>
      </c>
      <c r="AC397" s="87"/>
      <c r="AD397" s="87" t="str">
        <f>IF(AND(MONTH(E397)='IN-NX'!$J$5,'IN-NX'!$D$7=D397),"x","")</f>
        <v/>
      </c>
      <c r="AE397" s="87" t="str">
        <f>IF(AND(OR(LEFT(TH!N397,2)="15",LEFT(TH!O397,2)="15"),'152-CT'!$J$8=TH!F397),"x","")</f>
        <v/>
      </c>
      <c r="AF397" s="87" t="str">
        <f>IF(AND(OR(LEFT(TH!N397,2)="15",LEFT(TH!O397,2)="15"),'THE KHO'!$E$7=TH!F397),"x","")</f>
        <v/>
      </c>
      <c r="AG397" s="87" t="str">
        <f>IF(AND(N397="1521",MONTH(C397)='BK NL'!$M$11),"x","")</f>
        <v/>
      </c>
    </row>
    <row r="398" spans="1:33" ht="15.75" customHeight="1">
      <c r="A398" s="399" t="str">
        <f>IF(B398&lt;&gt;"",IF(AND(B398&gt;=_TM1,B398&lt;=_TM2,OR(TH!N398="1111",TH!O398="1111")),TH!D398,""),"")</f>
        <v/>
      </c>
      <c r="B398" s="63" t="str">
        <f t="shared" si="11"/>
        <v/>
      </c>
      <c r="C398" s="64"/>
      <c r="D398" s="64"/>
      <c r="E398" s="64"/>
      <c r="F398" s="67"/>
      <c r="G398" s="376"/>
      <c r="H398" s="75"/>
      <c r="I398" s="518"/>
      <c r="J398" s="518"/>
      <c r="K398" s="509"/>
      <c r="L398" s="518"/>
      <c r="M398" s="65"/>
      <c r="N398" s="66"/>
      <c r="O398" s="66"/>
      <c r="P398" s="87" t="str">
        <f>IF(AND('331-CT'!$E$7=TH!H398,OR(N398="331",O398="331")),"x","")</f>
        <v/>
      </c>
      <c r="Q398" s="87" t="str">
        <f>IF(AND(B398='111'!$L$11,OR($N398=$Q$7,$O398=$Q$7)),"x","")</f>
        <v/>
      </c>
      <c r="R398" s="87" t="str">
        <f>IF(AND($N398=$Q$7,$B398&lt;'111'!$L$11),"x","")</f>
        <v/>
      </c>
      <c r="S398" s="87" t="str">
        <f>IF(AND($O398=$Q$7,$B398&lt;'111'!$L$11),"x","")</f>
        <v/>
      </c>
      <c r="T398" s="87" t="str">
        <f>IF(ISERROR(FIND('112'!$M$9,G398,1)),"",IF((AND(FIND('112'!$M$9,G398,1)&gt;=1,B398='112'!$K$9,OR($N398='112'!$I$6,$O398='112'!$I$6))),"x",""))</f>
        <v/>
      </c>
      <c r="U398" s="87" t="str">
        <f>IF(ISERROR(FIND('112'!$M$9,G398,1)),"",IF((AND(FIND('112'!$M$9,G398,1)&gt;=1,B398&lt;'112'!$K$9,$N398='112'!$I$6)),"x",""))</f>
        <v/>
      </c>
      <c r="V398" s="87" t="str">
        <f>IF(ISERROR(FIND('112'!$M$9,G398,1)),"",IF((AND(FIND('112'!$M$9,G398,1)&gt;=1,B398&lt;'112'!$K$9,$O398='112'!$I$6)),"x",""))</f>
        <v/>
      </c>
      <c r="W398" s="87" t="str">
        <f>IF(AND($B398&gt;='1331'!$I$9,$B398&lt;='1331'!$J$9,OR($N398=$W$7,$O398=$W$7)),"x","")</f>
        <v/>
      </c>
      <c r="X398" s="87" t="str">
        <f>IF(AND($N398=$W$7,$B398&lt;'1331'!$I$9),"x","")</f>
        <v/>
      </c>
      <c r="Y398" s="87" t="str">
        <f>IF(AND($O398=$W$7,$B398&lt;'1331'!$I$9),"x","")</f>
        <v/>
      </c>
      <c r="Z398" s="87" t="str">
        <f>IF(AND('341-CT'!$H$9=H398,OR(LEFT(N398,3)=$Z$7,LEFT(O398,3)=$Z$7)),"x","")</f>
        <v/>
      </c>
      <c r="AA398" s="87" t="str">
        <f>IF(OR(TH!N398=TH!$AA$7,O398=TH!$AA$7),"x","")</f>
        <v/>
      </c>
      <c r="AB398" s="87" t="str">
        <f>IF(AND(OR(N398="131",O398="131"),H398='131-CT'!$H$9),"x","")</f>
        <v/>
      </c>
      <c r="AC398" s="87"/>
      <c r="AD398" s="87" t="str">
        <f>IF(AND(MONTH(E398)='IN-NX'!$J$5,'IN-NX'!$D$7=D398),"x","")</f>
        <v/>
      </c>
      <c r="AE398" s="87" t="str">
        <f>IF(AND(OR(LEFT(TH!N398,2)="15",LEFT(TH!O398,2)="15"),'152-CT'!$J$8=TH!F398),"x","")</f>
        <v/>
      </c>
      <c r="AF398" s="87" t="str">
        <f>IF(AND(OR(LEFT(TH!N398,2)="15",LEFT(TH!O398,2)="15"),'THE KHO'!$E$7=TH!F398),"x","")</f>
        <v/>
      </c>
      <c r="AG398" s="87" t="str">
        <f>IF(AND(N398="1521",MONTH(C398)='BK NL'!$M$11),"x","")</f>
        <v/>
      </c>
    </row>
    <row r="399" spans="1:33" ht="15.75" customHeight="1">
      <c r="A399" s="399" t="str">
        <f>IF(B399&lt;&gt;"",IF(AND(B399&gt;=_TM1,B399&lt;=_TM2,OR(TH!N399="1111",TH!O399="1111")),TH!D399,""),"")</f>
        <v/>
      </c>
      <c r="B399" s="63" t="str">
        <f t="shared" si="11"/>
        <v/>
      </c>
      <c r="C399" s="64"/>
      <c r="D399" s="64"/>
      <c r="E399" s="64"/>
      <c r="F399" s="67"/>
      <c r="G399" s="376"/>
      <c r="H399" s="75"/>
      <c r="I399" s="518"/>
      <c r="J399" s="518"/>
      <c r="K399" s="509"/>
      <c r="L399" s="518"/>
      <c r="M399" s="65"/>
      <c r="N399" s="66"/>
      <c r="O399" s="66"/>
      <c r="P399" s="87" t="str">
        <f>IF(AND('331-CT'!$E$7=TH!H399,OR(N399="331",O399="331")),"x","")</f>
        <v/>
      </c>
      <c r="Q399" s="87" t="str">
        <f>IF(AND(B399='111'!$L$11,OR($N399=$Q$7,$O399=$Q$7)),"x","")</f>
        <v/>
      </c>
      <c r="R399" s="87" t="str">
        <f>IF(AND($N399=$Q$7,$B399&lt;'111'!$L$11),"x","")</f>
        <v/>
      </c>
      <c r="S399" s="87" t="str">
        <f>IF(AND($O399=$Q$7,$B399&lt;'111'!$L$11),"x","")</f>
        <v/>
      </c>
      <c r="T399" s="87" t="str">
        <f>IF(ISERROR(FIND('112'!$M$9,G399,1)),"",IF((AND(FIND('112'!$M$9,G399,1)&gt;=1,B399='112'!$K$9,OR($N399='112'!$I$6,$O399='112'!$I$6))),"x",""))</f>
        <v/>
      </c>
      <c r="U399" s="87" t="str">
        <f>IF(ISERROR(FIND('112'!$M$9,G399,1)),"",IF((AND(FIND('112'!$M$9,G399,1)&gt;=1,B399&lt;'112'!$K$9,$N399='112'!$I$6)),"x",""))</f>
        <v/>
      </c>
      <c r="V399" s="87" t="str">
        <f>IF(ISERROR(FIND('112'!$M$9,G399,1)),"",IF((AND(FIND('112'!$M$9,G399,1)&gt;=1,B399&lt;'112'!$K$9,$O399='112'!$I$6)),"x",""))</f>
        <v/>
      </c>
      <c r="W399" s="87" t="str">
        <f>IF(AND($B399&gt;='1331'!$I$9,$B399&lt;='1331'!$J$9,OR($N399=$W$7,$O399=$W$7)),"x","")</f>
        <v/>
      </c>
      <c r="X399" s="87" t="str">
        <f>IF(AND($N399=$W$7,$B399&lt;'1331'!$I$9),"x","")</f>
        <v/>
      </c>
      <c r="Y399" s="87" t="str">
        <f>IF(AND($O399=$W$7,$B399&lt;'1331'!$I$9),"x","")</f>
        <v/>
      </c>
      <c r="Z399" s="87" t="str">
        <f>IF(AND('341-CT'!$H$9=H399,OR(LEFT(N399,3)=$Z$7,LEFT(O399,3)=$Z$7)),"x","")</f>
        <v/>
      </c>
      <c r="AA399" s="87" t="str">
        <f>IF(OR(TH!N399=TH!$AA$7,O399=TH!$AA$7),"x","")</f>
        <v/>
      </c>
      <c r="AB399" s="87" t="str">
        <f>IF(AND(OR(N399="131",O399="131"),H399='131-CT'!$H$9),"x","")</f>
        <v/>
      </c>
      <c r="AC399" s="87"/>
      <c r="AD399" s="87" t="str">
        <f>IF(AND(MONTH(E399)='IN-NX'!$J$5,'IN-NX'!$D$7=D399),"x","")</f>
        <v/>
      </c>
      <c r="AE399" s="87" t="str">
        <f>IF(AND(OR(LEFT(TH!N399,2)="15",LEFT(TH!O399,2)="15"),'152-CT'!$J$8=TH!F399),"x","")</f>
        <v/>
      </c>
      <c r="AF399" s="87" t="str">
        <f>IF(AND(OR(LEFT(TH!N399,2)="15",LEFT(TH!O399,2)="15"),'THE KHO'!$E$7=TH!F399),"x","")</f>
        <v/>
      </c>
      <c r="AG399" s="87" t="str">
        <f>IF(AND(N399="1521",MONTH(C399)='BK NL'!$M$11),"x","")</f>
        <v/>
      </c>
    </row>
    <row r="400" spans="1:33" ht="15.75" customHeight="1">
      <c r="A400" s="399" t="str">
        <f>IF(B400&lt;&gt;"",IF(AND(B400&gt;=_TM1,B400&lt;=_TM2,OR(TH!N400="1111",TH!O400="1111")),TH!D400,""),"")</f>
        <v/>
      </c>
      <c r="B400" s="63" t="str">
        <f t="shared" si="11"/>
        <v/>
      </c>
      <c r="C400" s="64"/>
      <c r="D400" s="64"/>
      <c r="E400" s="64"/>
      <c r="F400" s="67"/>
      <c r="G400" s="376"/>
      <c r="H400" s="75"/>
      <c r="I400" s="518"/>
      <c r="J400" s="518"/>
      <c r="K400" s="509"/>
      <c r="L400" s="518"/>
      <c r="M400" s="65"/>
      <c r="N400" s="66"/>
      <c r="O400" s="66"/>
      <c r="P400" s="87" t="str">
        <f>IF(AND('331-CT'!$E$7=TH!H400,OR(N400="331",O400="331")),"x","")</f>
        <v/>
      </c>
      <c r="Q400" s="87" t="str">
        <f>IF(AND(B400='111'!$L$11,OR($N400=$Q$7,$O400=$Q$7)),"x","")</f>
        <v/>
      </c>
      <c r="R400" s="87" t="str">
        <f>IF(AND($N400=$Q$7,$B400&lt;'111'!$L$11),"x","")</f>
        <v/>
      </c>
      <c r="S400" s="87" t="str">
        <f>IF(AND($O400=$Q$7,$B400&lt;'111'!$L$11),"x","")</f>
        <v/>
      </c>
      <c r="T400" s="87" t="str">
        <f>IF(ISERROR(FIND('112'!$M$9,G400,1)),"",IF((AND(FIND('112'!$M$9,G400,1)&gt;=1,B400='112'!$K$9,OR($N400='112'!$I$6,$O400='112'!$I$6))),"x",""))</f>
        <v/>
      </c>
      <c r="U400" s="87" t="str">
        <f>IF(ISERROR(FIND('112'!$M$9,G400,1)),"",IF((AND(FIND('112'!$M$9,G400,1)&gt;=1,B400&lt;'112'!$K$9,$N400='112'!$I$6)),"x",""))</f>
        <v/>
      </c>
      <c r="V400" s="87" t="str">
        <f>IF(ISERROR(FIND('112'!$M$9,G400,1)),"",IF((AND(FIND('112'!$M$9,G400,1)&gt;=1,B400&lt;'112'!$K$9,$O400='112'!$I$6)),"x",""))</f>
        <v/>
      </c>
      <c r="W400" s="87" t="str">
        <f>IF(AND($B400&gt;='1331'!$I$9,$B400&lt;='1331'!$J$9,OR($N400=$W$7,$O400=$W$7)),"x","")</f>
        <v/>
      </c>
      <c r="X400" s="87" t="str">
        <f>IF(AND($N400=$W$7,$B400&lt;'1331'!$I$9),"x","")</f>
        <v/>
      </c>
      <c r="Y400" s="87" t="str">
        <f>IF(AND($O400=$W$7,$B400&lt;'1331'!$I$9),"x","")</f>
        <v/>
      </c>
      <c r="Z400" s="87" t="str">
        <f>IF(AND('341-CT'!$H$9=H400,OR(LEFT(N400,3)=$Z$7,LEFT(O400,3)=$Z$7)),"x","")</f>
        <v/>
      </c>
      <c r="AA400" s="87" t="str">
        <f>IF(OR(TH!N400=TH!$AA$7,O400=TH!$AA$7),"x","")</f>
        <v/>
      </c>
      <c r="AB400" s="87" t="str">
        <f>IF(AND(OR(N400="131",O400="131"),H400='131-CT'!$H$9),"x","")</f>
        <v/>
      </c>
      <c r="AC400" s="87"/>
      <c r="AD400" s="87" t="str">
        <f>IF(AND(MONTH(E400)='IN-NX'!$J$5,'IN-NX'!$D$7=D400),"x","")</f>
        <v/>
      </c>
      <c r="AE400" s="87" t="str">
        <f>IF(AND(OR(LEFT(TH!N400,2)="15",LEFT(TH!O400,2)="15"),'152-CT'!$J$8=TH!F400),"x","")</f>
        <v/>
      </c>
      <c r="AF400" s="87" t="str">
        <f>IF(AND(OR(LEFT(TH!N400,2)="15",LEFT(TH!O400,2)="15"),'THE KHO'!$E$7=TH!F400),"x","")</f>
        <v/>
      </c>
      <c r="AG400" s="87" t="str">
        <f>IF(AND(N400="1521",MONTH(C400)='BK NL'!$M$11),"x","")</f>
        <v/>
      </c>
    </row>
    <row r="401" spans="1:33" ht="15.75" customHeight="1">
      <c r="A401" s="399" t="str">
        <f>IF(B401&lt;&gt;"",IF(AND(B401&gt;=_TM1,B401&lt;=_TM2,OR(TH!N401="1111",TH!O401="1111")),TH!D401,""),"")</f>
        <v/>
      </c>
      <c r="B401" s="63" t="str">
        <f t="shared" si="11"/>
        <v/>
      </c>
      <c r="C401" s="64"/>
      <c r="D401" s="64"/>
      <c r="E401" s="64"/>
      <c r="F401" s="67"/>
      <c r="G401" s="376"/>
      <c r="H401" s="75"/>
      <c r="I401" s="518"/>
      <c r="J401" s="518"/>
      <c r="K401" s="509"/>
      <c r="L401" s="518"/>
      <c r="M401" s="65"/>
      <c r="N401" s="66"/>
      <c r="O401" s="66"/>
      <c r="P401" s="87" t="str">
        <f>IF(AND('331-CT'!$E$7=TH!H401,OR(N401="331",O401="331")),"x","")</f>
        <v/>
      </c>
      <c r="Q401" s="87" t="str">
        <f>IF(AND(B401='111'!$L$11,OR($N401=$Q$7,$O401=$Q$7)),"x","")</f>
        <v/>
      </c>
      <c r="R401" s="87" t="str">
        <f>IF(AND($N401=$Q$7,$B401&lt;'111'!$L$11),"x","")</f>
        <v/>
      </c>
      <c r="S401" s="87" t="str">
        <f>IF(AND($O401=$Q$7,$B401&lt;'111'!$L$11),"x","")</f>
        <v/>
      </c>
      <c r="T401" s="87" t="str">
        <f>IF(ISERROR(FIND('112'!$M$9,G401,1)),"",IF((AND(FIND('112'!$M$9,G401,1)&gt;=1,B401='112'!$K$9,OR($N401='112'!$I$6,$O401='112'!$I$6))),"x",""))</f>
        <v/>
      </c>
      <c r="U401" s="87" t="str">
        <f>IF(ISERROR(FIND('112'!$M$9,G401,1)),"",IF((AND(FIND('112'!$M$9,G401,1)&gt;=1,B401&lt;'112'!$K$9,$N401='112'!$I$6)),"x",""))</f>
        <v/>
      </c>
      <c r="V401" s="87" t="str">
        <f>IF(ISERROR(FIND('112'!$M$9,G401,1)),"",IF((AND(FIND('112'!$M$9,G401,1)&gt;=1,B401&lt;'112'!$K$9,$O401='112'!$I$6)),"x",""))</f>
        <v/>
      </c>
      <c r="W401" s="87" t="str">
        <f>IF(AND($B401&gt;='1331'!$I$9,$B401&lt;='1331'!$J$9,OR($N401=$W$7,$O401=$W$7)),"x","")</f>
        <v/>
      </c>
      <c r="X401" s="87" t="str">
        <f>IF(AND($N401=$W$7,$B401&lt;'1331'!$I$9),"x","")</f>
        <v/>
      </c>
      <c r="Y401" s="87" t="str">
        <f>IF(AND($O401=$W$7,$B401&lt;'1331'!$I$9),"x","")</f>
        <v/>
      </c>
      <c r="Z401" s="87" t="str">
        <f>IF(AND('341-CT'!$H$9=H401,OR(LEFT(N401,3)=$Z$7,LEFT(O401,3)=$Z$7)),"x","")</f>
        <v/>
      </c>
      <c r="AA401" s="87" t="str">
        <f>IF(OR(TH!N401=TH!$AA$7,O401=TH!$AA$7),"x","")</f>
        <v/>
      </c>
      <c r="AB401" s="87" t="str">
        <f>IF(AND(OR(N401="131",O401="131"),H401='131-CT'!$H$9),"x","")</f>
        <v/>
      </c>
      <c r="AC401" s="87"/>
      <c r="AD401" s="87" t="str">
        <f>IF(AND(MONTH(E401)='IN-NX'!$J$5,'IN-NX'!$D$7=D401),"x","")</f>
        <v/>
      </c>
      <c r="AE401" s="87" t="str">
        <f>IF(AND(OR(LEFT(TH!N401,2)="15",LEFT(TH!O401,2)="15"),'152-CT'!$J$8=TH!F401),"x","")</f>
        <v/>
      </c>
      <c r="AF401" s="87" t="str">
        <f>IF(AND(OR(LEFT(TH!N401,2)="15",LEFT(TH!O401,2)="15"),'THE KHO'!$E$7=TH!F401),"x","")</f>
        <v/>
      </c>
      <c r="AG401" s="87" t="str">
        <f>IF(AND(N401="1521",MONTH(C401)='BK NL'!$M$11),"x","")</f>
        <v/>
      </c>
    </row>
    <row r="402" spans="1:33" ht="15.75" customHeight="1">
      <c r="A402" s="399" t="str">
        <f>IF(B402&lt;&gt;"",IF(AND(B402&gt;=_TM1,B402&lt;=_TM2,OR(TH!N402="1111",TH!O402="1111")),TH!D402,""),"")</f>
        <v/>
      </c>
      <c r="B402" s="63" t="str">
        <f t="shared" si="11"/>
        <v/>
      </c>
      <c r="C402" s="64"/>
      <c r="D402" s="64"/>
      <c r="E402" s="64"/>
      <c r="F402" s="67"/>
      <c r="G402" s="376"/>
      <c r="H402" s="75"/>
      <c r="I402" s="518"/>
      <c r="J402" s="518"/>
      <c r="K402" s="509"/>
      <c r="L402" s="518"/>
      <c r="M402" s="65"/>
      <c r="N402" s="66"/>
      <c r="O402" s="66"/>
      <c r="P402" s="87" t="str">
        <f>IF(AND('331-CT'!$E$7=TH!H402,OR(N402="331",O402="331")),"x","")</f>
        <v/>
      </c>
      <c r="Q402" s="87" t="str">
        <f>IF(AND(B402='111'!$L$11,OR($N402=$Q$7,$O402=$Q$7)),"x","")</f>
        <v/>
      </c>
      <c r="R402" s="87" t="str">
        <f>IF(AND($N402=$Q$7,$B402&lt;'111'!$L$11),"x","")</f>
        <v/>
      </c>
      <c r="S402" s="87" t="str">
        <f>IF(AND($O402=$Q$7,$B402&lt;'111'!$L$11),"x","")</f>
        <v/>
      </c>
      <c r="T402" s="87" t="str">
        <f>IF(ISERROR(FIND('112'!$M$9,G402,1)),"",IF((AND(FIND('112'!$M$9,G402,1)&gt;=1,B402='112'!$K$9,OR($N402='112'!$I$6,$O402='112'!$I$6))),"x",""))</f>
        <v/>
      </c>
      <c r="U402" s="87" t="str">
        <f>IF(ISERROR(FIND('112'!$M$9,G402,1)),"",IF((AND(FIND('112'!$M$9,G402,1)&gt;=1,B402&lt;'112'!$K$9,$N402='112'!$I$6)),"x",""))</f>
        <v/>
      </c>
      <c r="V402" s="87" t="str">
        <f>IF(ISERROR(FIND('112'!$M$9,G402,1)),"",IF((AND(FIND('112'!$M$9,G402,1)&gt;=1,B402&lt;'112'!$K$9,$O402='112'!$I$6)),"x",""))</f>
        <v/>
      </c>
      <c r="W402" s="87" t="str">
        <f>IF(AND($B402&gt;='1331'!$I$9,$B402&lt;='1331'!$J$9,OR($N402=$W$7,$O402=$W$7)),"x","")</f>
        <v/>
      </c>
      <c r="X402" s="87" t="str">
        <f>IF(AND($N402=$W$7,$B402&lt;'1331'!$I$9),"x","")</f>
        <v/>
      </c>
      <c r="Y402" s="87" t="str">
        <f>IF(AND($O402=$W$7,$B402&lt;'1331'!$I$9),"x","")</f>
        <v/>
      </c>
      <c r="Z402" s="87" t="str">
        <f>IF(AND('341-CT'!$H$9=H402,OR(LEFT(N402,3)=$Z$7,LEFT(O402,3)=$Z$7)),"x","")</f>
        <v/>
      </c>
      <c r="AA402" s="87" t="str">
        <f>IF(OR(TH!N402=TH!$AA$7,O402=TH!$AA$7),"x","")</f>
        <v/>
      </c>
      <c r="AB402" s="87" t="str">
        <f>IF(AND(OR(N402="131",O402="131"),H402='131-CT'!$H$9),"x","")</f>
        <v/>
      </c>
      <c r="AC402" s="87"/>
      <c r="AD402" s="87" t="str">
        <f>IF(AND(MONTH(E402)='IN-NX'!$J$5,'IN-NX'!$D$7=D402),"x","")</f>
        <v/>
      </c>
      <c r="AE402" s="87" t="str">
        <f>IF(AND(OR(LEFT(TH!N402,2)="15",LEFT(TH!O402,2)="15"),'152-CT'!$J$8=TH!F402),"x","")</f>
        <v/>
      </c>
      <c r="AF402" s="87" t="str">
        <f>IF(AND(OR(LEFT(TH!N402,2)="15",LEFT(TH!O402,2)="15"),'THE KHO'!$E$7=TH!F402),"x","")</f>
        <v/>
      </c>
      <c r="AG402" s="87" t="str">
        <f>IF(AND(N402="1521",MONTH(C402)='BK NL'!$M$11),"x","")</f>
        <v/>
      </c>
    </row>
    <row r="403" spans="1:33" ht="15.75" customHeight="1">
      <c r="A403" s="399" t="str">
        <f>IF(B403&lt;&gt;"",IF(AND(B403&gt;=_TM1,B403&lt;=_TM2,OR(TH!N403="1111",TH!O403="1111")),TH!D403,""),"")</f>
        <v/>
      </c>
      <c r="B403" s="63" t="str">
        <f t="shared" si="11"/>
        <v/>
      </c>
      <c r="C403" s="64"/>
      <c r="D403" s="64"/>
      <c r="E403" s="64"/>
      <c r="F403" s="67"/>
      <c r="G403" s="376"/>
      <c r="H403" s="75"/>
      <c r="I403" s="518"/>
      <c r="J403" s="518"/>
      <c r="K403" s="509"/>
      <c r="L403" s="518"/>
      <c r="M403" s="65"/>
      <c r="N403" s="66"/>
      <c r="O403" s="66"/>
      <c r="P403" s="87" t="str">
        <f>IF(AND('331-CT'!$E$7=TH!H403,OR(N403="331",O403="331")),"x","")</f>
        <v/>
      </c>
      <c r="Q403" s="87" t="str">
        <f>IF(AND(B403='111'!$L$11,OR($N403=$Q$7,$O403=$Q$7)),"x","")</f>
        <v/>
      </c>
      <c r="R403" s="87" t="str">
        <f>IF(AND($N403=$Q$7,$B403&lt;'111'!$L$11),"x","")</f>
        <v/>
      </c>
      <c r="S403" s="87" t="str">
        <f>IF(AND($O403=$Q$7,$B403&lt;'111'!$L$11),"x","")</f>
        <v/>
      </c>
      <c r="T403" s="87" t="str">
        <f>IF(ISERROR(FIND('112'!$M$9,G403,1)),"",IF((AND(FIND('112'!$M$9,G403,1)&gt;=1,B403='112'!$K$9,OR($N403='112'!$I$6,$O403='112'!$I$6))),"x",""))</f>
        <v/>
      </c>
      <c r="U403" s="87" t="str">
        <f>IF(ISERROR(FIND('112'!$M$9,G403,1)),"",IF((AND(FIND('112'!$M$9,G403,1)&gt;=1,B403&lt;'112'!$K$9,$N403='112'!$I$6)),"x",""))</f>
        <v/>
      </c>
      <c r="V403" s="87" t="str">
        <f>IF(ISERROR(FIND('112'!$M$9,G403,1)),"",IF((AND(FIND('112'!$M$9,G403,1)&gt;=1,B403&lt;'112'!$K$9,$O403='112'!$I$6)),"x",""))</f>
        <v/>
      </c>
      <c r="W403" s="87" t="str">
        <f>IF(AND($B403&gt;='1331'!$I$9,$B403&lt;='1331'!$J$9,OR($N403=$W$7,$O403=$W$7)),"x","")</f>
        <v/>
      </c>
      <c r="X403" s="87" t="str">
        <f>IF(AND($N403=$W$7,$B403&lt;'1331'!$I$9),"x","")</f>
        <v/>
      </c>
      <c r="Y403" s="87" t="str">
        <f>IF(AND($O403=$W$7,$B403&lt;'1331'!$I$9),"x","")</f>
        <v/>
      </c>
      <c r="Z403" s="87" t="str">
        <f>IF(AND('341-CT'!$H$9=H403,OR(LEFT(N403,3)=$Z$7,LEFT(O403,3)=$Z$7)),"x","")</f>
        <v/>
      </c>
      <c r="AA403" s="87" t="str">
        <f>IF(OR(TH!N403=TH!$AA$7,O403=TH!$AA$7),"x","")</f>
        <v/>
      </c>
      <c r="AB403" s="87" t="str">
        <f>IF(AND(OR(N403="131",O403="131"),H403='131-CT'!$H$9),"x","")</f>
        <v/>
      </c>
      <c r="AC403" s="87"/>
      <c r="AD403" s="87" t="str">
        <f>IF(AND(MONTH(E403)='IN-NX'!$J$5,'IN-NX'!$D$7=D403),"x","")</f>
        <v/>
      </c>
      <c r="AE403" s="87" t="str">
        <f>IF(AND(OR(LEFT(TH!N403,2)="15",LEFT(TH!O403,2)="15"),'152-CT'!$J$8=TH!F403),"x","")</f>
        <v/>
      </c>
      <c r="AF403" s="87" t="str">
        <f>IF(AND(OR(LEFT(TH!N403,2)="15",LEFT(TH!O403,2)="15"),'THE KHO'!$E$7=TH!F403),"x","")</f>
        <v/>
      </c>
      <c r="AG403" s="87" t="str">
        <f>IF(AND(N403="1521",MONTH(C403)='BK NL'!$M$11),"x","")</f>
        <v/>
      </c>
    </row>
    <row r="404" spans="1:33" ht="15.75" customHeight="1">
      <c r="A404" s="399" t="str">
        <f>IF(B404&lt;&gt;"",IF(AND(B404&gt;=_TM1,B404&lt;=_TM2,OR(TH!N404="1111",TH!O404="1111")),TH!D404,""),"")</f>
        <v/>
      </c>
      <c r="B404" s="63" t="str">
        <f t="shared" si="11"/>
        <v/>
      </c>
      <c r="C404" s="64"/>
      <c r="D404" s="64"/>
      <c r="E404" s="64"/>
      <c r="F404" s="67"/>
      <c r="G404" s="376"/>
      <c r="H404" s="75"/>
      <c r="I404" s="518"/>
      <c r="J404" s="518"/>
      <c r="K404" s="509"/>
      <c r="L404" s="518"/>
      <c r="M404" s="65"/>
      <c r="N404" s="66"/>
      <c r="O404" s="66"/>
      <c r="P404" s="87" t="str">
        <f>IF(AND('331-CT'!$E$7=TH!H404,OR(N404="331",O404="331")),"x","")</f>
        <v/>
      </c>
      <c r="Q404" s="87" t="str">
        <f>IF(AND(B404='111'!$L$11,OR($N404=$Q$7,$O404=$Q$7)),"x","")</f>
        <v/>
      </c>
      <c r="R404" s="87" t="str">
        <f>IF(AND($N404=$Q$7,$B404&lt;'111'!$L$11),"x","")</f>
        <v/>
      </c>
      <c r="S404" s="87" t="str">
        <f>IF(AND($O404=$Q$7,$B404&lt;'111'!$L$11),"x","")</f>
        <v/>
      </c>
      <c r="T404" s="87" t="str">
        <f>IF(ISERROR(FIND('112'!$M$9,G404,1)),"",IF((AND(FIND('112'!$M$9,G404,1)&gt;=1,B404='112'!$K$9,OR($N404='112'!$I$6,$O404='112'!$I$6))),"x",""))</f>
        <v/>
      </c>
      <c r="U404" s="87" t="str">
        <f>IF(ISERROR(FIND('112'!$M$9,G404,1)),"",IF((AND(FIND('112'!$M$9,G404,1)&gt;=1,B404&lt;'112'!$K$9,$N404='112'!$I$6)),"x",""))</f>
        <v/>
      </c>
      <c r="V404" s="87" t="str">
        <f>IF(ISERROR(FIND('112'!$M$9,G404,1)),"",IF((AND(FIND('112'!$M$9,G404,1)&gt;=1,B404&lt;'112'!$K$9,$O404='112'!$I$6)),"x",""))</f>
        <v/>
      </c>
      <c r="W404" s="87" t="str">
        <f>IF(AND($B404&gt;='1331'!$I$9,$B404&lt;='1331'!$J$9,OR($N404=$W$7,$O404=$W$7)),"x","")</f>
        <v/>
      </c>
      <c r="X404" s="87" t="str">
        <f>IF(AND($N404=$W$7,$B404&lt;'1331'!$I$9),"x","")</f>
        <v/>
      </c>
      <c r="Y404" s="87" t="str">
        <f>IF(AND($O404=$W$7,$B404&lt;'1331'!$I$9),"x","")</f>
        <v/>
      </c>
      <c r="Z404" s="87" t="str">
        <f>IF(AND('341-CT'!$H$9=H404,OR(LEFT(N404,3)=$Z$7,LEFT(O404,3)=$Z$7)),"x","")</f>
        <v/>
      </c>
      <c r="AA404" s="87" t="str">
        <f>IF(OR(TH!N404=TH!$AA$7,O404=TH!$AA$7),"x","")</f>
        <v/>
      </c>
      <c r="AB404" s="87" t="str">
        <f>IF(AND(OR(N404="131",O404="131"),H404='131-CT'!$H$9),"x","")</f>
        <v/>
      </c>
      <c r="AC404" s="87"/>
      <c r="AD404" s="87" t="str">
        <f>IF(AND(MONTH(E404)='IN-NX'!$J$5,'IN-NX'!$D$7=D404),"x","")</f>
        <v/>
      </c>
      <c r="AE404" s="87" t="str">
        <f>IF(AND(OR(LEFT(TH!N404,2)="15",LEFT(TH!O404,2)="15"),'152-CT'!$J$8=TH!F404),"x","")</f>
        <v/>
      </c>
      <c r="AF404" s="87" t="str">
        <f>IF(AND(OR(LEFT(TH!N404,2)="15",LEFT(TH!O404,2)="15"),'THE KHO'!$E$7=TH!F404),"x","")</f>
        <v/>
      </c>
      <c r="AG404" s="87" t="str">
        <f>IF(AND(N404="1521",MONTH(C404)='BK NL'!$M$11),"x","")</f>
        <v/>
      </c>
    </row>
    <row r="405" spans="1:33" ht="15.75" customHeight="1">
      <c r="A405" s="399" t="str">
        <f>IF(B405&lt;&gt;"",IF(AND(B405&gt;=_TM1,B405&lt;=_TM2,OR(TH!N405="1111",TH!O405="1111")),TH!D405,""),"")</f>
        <v/>
      </c>
      <c r="B405" s="63" t="str">
        <f t="shared" si="11"/>
        <v/>
      </c>
      <c r="C405" s="64"/>
      <c r="D405" s="64"/>
      <c r="E405" s="64"/>
      <c r="F405" s="67"/>
      <c r="G405" s="362"/>
      <c r="H405" s="75"/>
      <c r="I405" s="518"/>
      <c r="J405" s="518"/>
      <c r="K405" s="509"/>
      <c r="L405" s="518"/>
      <c r="M405" s="65"/>
      <c r="N405" s="66"/>
      <c r="O405" s="66"/>
      <c r="P405" s="87" t="str">
        <f>IF(AND('331-CT'!$E$7=TH!H405,OR(N405="331",O405="331")),"x","")</f>
        <v/>
      </c>
      <c r="Q405" s="87" t="str">
        <f>IF(AND(B405='111'!$L$11,OR($N405=$Q$7,$O405=$Q$7)),"x","")</f>
        <v/>
      </c>
      <c r="R405" s="87" t="str">
        <f>IF(AND($N405=$Q$7,$B405&lt;'111'!$L$11),"x","")</f>
        <v/>
      </c>
      <c r="S405" s="87" t="str">
        <f>IF(AND($O405=$Q$7,$B405&lt;'111'!$L$11),"x","")</f>
        <v/>
      </c>
      <c r="T405" s="87" t="str">
        <f>IF(ISERROR(FIND('112'!$M$9,G405,1)),"",IF((AND(FIND('112'!$M$9,G405,1)&gt;=1,B405='112'!$K$9,OR($N405='112'!$I$6,$O405='112'!$I$6))),"x",""))</f>
        <v/>
      </c>
      <c r="U405" s="87" t="str">
        <f>IF(ISERROR(FIND('112'!$M$9,G405,1)),"",IF((AND(FIND('112'!$M$9,G405,1)&gt;=1,B405&lt;'112'!$K$9,$N405='112'!$I$6)),"x",""))</f>
        <v/>
      </c>
      <c r="V405" s="87" t="str">
        <f>IF(ISERROR(FIND('112'!$M$9,G405,1)),"",IF((AND(FIND('112'!$M$9,G405,1)&gt;=1,B405&lt;'112'!$K$9,$O405='112'!$I$6)),"x",""))</f>
        <v/>
      </c>
      <c r="W405" s="87" t="str">
        <f>IF(AND($B405&gt;='1331'!$I$9,$B405&lt;='1331'!$J$9,OR($N405=$W$7,$O405=$W$7)),"x","")</f>
        <v/>
      </c>
      <c r="X405" s="87" t="str">
        <f>IF(AND($N405=$W$7,$B405&lt;'1331'!$I$9),"x","")</f>
        <v/>
      </c>
      <c r="Y405" s="87" t="str">
        <f>IF(AND($O405=$W$7,$B405&lt;'1331'!$I$9),"x","")</f>
        <v/>
      </c>
      <c r="Z405" s="87" t="str">
        <f>IF(AND('341-CT'!$H$9=H405,OR(LEFT(N405,3)=$Z$7,LEFT(O405,3)=$Z$7)),"x","")</f>
        <v/>
      </c>
      <c r="AA405" s="87" t="str">
        <f>IF(OR(TH!N405=TH!$AA$7,O405=TH!$AA$7),"x","")</f>
        <v/>
      </c>
      <c r="AB405" s="87" t="str">
        <f>IF(AND(OR(N405="131",O405="131"),H405='131-CT'!$H$9),"x","")</f>
        <v/>
      </c>
      <c r="AC405" s="87"/>
      <c r="AD405" s="87" t="str">
        <f>IF(AND(MONTH(E405)='IN-NX'!$J$5,'IN-NX'!$D$7=D405),"x","")</f>
        <v/>
      </c>
      <c r="AE405" s="87" t="str">
        <f>IF(AND(OR(LEFT(TH!N405,2)="15",LEFT(TH!O405,2)="15"),'152-CT'!$J$8=TH!F405),"x","")</f>
        <v/>
      </c>
      <c r="AF405" s="87" t="str">
        <f>IF(AND(OR(LEFT(TH!N405,2)="15",LEFT(TH!O405,2)="15"),'THE KHO'!$E$7=TH!F405),"x","")</f>
        <v/>
      </c>
      <c r="AG405" s="87" t="str">
        <f>IF(AND(N405="1521",MONTH(C405)='BK NL'!$M$11),"x","")</f>
        <v/>
      </c>
    </row>
    <row r="406" spans="1:33" ht="15.75" customHeight="1">
      <c r="A406" s="399" t="str">
        <f>IF(B406&lt;&gt;"",IF(AND(B406&gt;=_TM1,B406&lt;=_TM2,OR(TH!N406="1111",TH!O406="1111")),TH!D406,""),"")</f>
        <v/>
      </c>
      <c r="B406" s="63" t="str">
        <f t="shared" si="11"/>
        <v/>
      </c>
      <c r="C406" s="64"/>
      <c r="D406" s="64"/>
      <c r="E406" s="64"/>
      <c r="F406" s="67"/>
      <c r="G406" s="362"/>
      <c r="H406" s="75"/>
      <c r="I406" s="518"/>
      <c r="J406" s="518"/>
      <c r="K406" s="509"/>
      <c r="L406" s="518"/>
      <c r="M406" s="65"/>
      <c r="N406" s="66"/>
      <c r="O406" s="66"/>
      <c r="P406" s="87" t="str">
        <f>IF(AND('331-CT'!$E$7=TH!H406,OR(N406="331",O406="331")),"x","")</f>
        <v/>
      </c>
      <c r="Q406" s="87" t="str">
        <f>IF(AND(B406='111'!$L$11,OR($N406=$Q$7,$O406=$Q$7)),"x","")</f>
        <v/>
      </c>
      <c r="R406" s="87" t="str">
        <f>IF(AND($N406=$Q$7,$B406&lt;'111'!$L$11),"x","")</f>
        <v/>
      </c>
      <c r="S406" s="87" t="str">
        <f>IF(AND($O406=$Q$7,$B406&lt;'111'!$L$11),"x","")</f>
        <v/>
      </c>
      <c r="T406" s="87" t="str">
        <f>IF(ISERROR(FIND('112'!$M$9,G406,1)),"",IF((AND(FIND('112'!$M$9,G406,1)&gt;=1,B406='112'!$K$9,OR($N406='112'!$I$6,$O406='112'!$I$6))),"x",""))</f>
        <v/>
      </c>
      <c r="U406" s="87" t="str">
        <f>IF(ISERROR(FIND('112'!$M$9,G406,1)),"",IF((AND(FIND('112'!$M$9,G406,1)&gt;=1,B406&lt;'112'!$K$9,$N406='112'!$I$6)),"x",""))</f>
        <v/>
      </c>
      <c r="V406" s="87" t="str">
        <f>IF(ISERROR(FIND('112'!$M$9,G406,1)),"",IF((AND(FIND('112'!$M$9,G406,1)&gt;=1,B406&lt;'112'!$K$9,$O406='112'!$I$6)),"x",""))</f>
        <v/>
      </c>
      <c r="W406" s="87" t="str">
        <f>IF(AND($B406&gt;='1331'!$I$9,$B406&lt;='1331'!$J$9,OR($N406=$W$7,$O406=$W$7)),"x","")</f>
        <v/>
      </c>
      <c r="X406" s="87" t="str">
        <f>IF(AND($N406=$W$7,$B406&lt;'1331'!$I$9),"x","")</f>
        <v/>
      </c>
      <c r="Y406" s="87" t="str">
        <f>IF(AND($O406=$W$7,$B406&lt;'1331'!$I$9),"x","")</f>
        <v/>
      </c>
      <c r="Z406" s="87" t="str">
        <f>IF(AND('341-CT'!$H$9=H406,OR(LEFT(N406,3)=$Z$7,LEFT(O406,3)=$Z$7)),"x","")</f>
        <v/>
      </c>
      <c r="AA406" s="87" t="str">
        <f>IF(OR(TH!N406=TH!$AA$7,O406=TH!$AA$7),"x","")</f>
        <v/>
      </c>
      <c r="AB406" s="87" t="str">
        <f>IF(AND(OR(N406="131",O406="131"),H406='131-CT'!$H$9),"x","")</f>
        <v/>
      </c>
      <c r="AC406" s="87"/>
      <c r="AD406" s="87" t="str">
        <f>IF(AND(MONTH(E406)='IN-NX'!$J$5,'IN-NX'!$D$7=D406),"x","")</f>
        <v/>
      </c>
      <c r="AE406" s="87" t="str">
        <f>IF(AND(OR(LEFT(TH!N406,2)="15",LEFT(TH!O406,2)="15"),'152-CT'!$J$8=TH!F406),"x","")</f>
        <v/>
      </c>
      <c r="AF406" s="87" t="str">
        <f>IF(AND(OR(LEFT(TH!N406,2)="15",LEFT(TH!O406,2)="15"),'THE KHO'!$E$7=TH!F406),"x","")</f>
        <v/>
      </c>
      <c r="AG406" s="87" t="str">
        <f>IF(AND(N406="1521",MONTH(C406)='BK NL'!$M$11),"x","")</f>
        <v/>
      </c>
    </row>
    <row r="407" spans="1:33" ht="15.75" customHeight="1">
      <c r="A407" s="399" t="str">
        <f>IF(B407&lt;&gt;"",IF(AND(B407&gt;=_TM1,B407&lt;=_TM2,OR(TH!N407="1111",TH!O407="1111")),TH!D407,""),"")</f>
        <v/>
      </c>
      <c r="B407" s="63" t="str">
        <f t="shared" si="11"/>
        <v/>
      </c>
      <c r="C407" s="64"/>
      <c r="D407" s="64"/>
      <c r="E407" s="64"/>
      <c r="F407" s="67"/>
      <c r="G407" s="362"/>
      <c r="H407" s="75"/>
      <c r="I407" s="518"/>
      <c r="J407" s="518"/>
      <c r="K407" s="509"/>
      <c r="L407" s="518"/>
      <c r="M407" s="65"/>
      <c r="N407" s="66"/>
      <c r="O407" s="66"/>
      <c r="P407" s="87" t="str">
        <f>IF(AND('331-CT'!$E$7=TH!H407,OR(N407="331",O407="331")),"x","")</f>
        <v/>
      </c>
      <c r="Q407" s="87" t="str">
        <f>IF(AND(B407='111'!$L$11,OR($N407=$Q$7,$O407=$Q$7)),"x","")</f>
        <v/>
      </c>
      <c r="R407" s="87" t="str">
        <f>IF(AND($N407=$Q$7,$B407&lt;'111'!$L$11),"x","")</f>
        <v/>
      </c>
      <c r="S407" s="87" t="str">
        <f>IF(AND($O407=$Q$7,$B407&lt;'111'!$L$11),"x","")</f>
        <v/>
      </c>
      <c r="T407" s="87" t="str">
        <f>IF(ISERROR(FIND('112'!$M$9,G407,1)),"",IF((AND(FIND('112'!$M$9,G407,1)&gt;=1,B407='112'!$K$9,OR($N407='112'!$I$6,$O407='112'!$I$6))),"x",""))</f>
        <v/>
      </c>
      <c r="U407" s="87" t="str">
        <f>IF(ISERROR(FIND('112'!$M$9,G407,1)),"",IF((AND(FIND('112'!$M$9,G407,1)&gt;=1,B407&lt;'112'!$K$9,$N407='112'!$I$6)),"x",""))</f>
        <v/>
      </c>
      <c r="V407" s="87" t="str">
        <f>IF(ISERROR(FIND('112'!$M$9,G407,1)),"",IF((AND(FIND('112'!$M$9,G407,1)&gt;=1,B407&lt;'112'!$K$9,$O407='112'!$I$6)),"x",""))</f>
        <v/>
      </c>
      <c r="W407" s="87" t="str">
        <f>IF(AND($B407&gt;='1331'!$I$9,$B407&lt;='1331'!$J$9,OR($N407=$W$7,$O407=$W$7)),"x","")</f>
        <v/>
      </c>
      <c r="X407" s="87" t="str">
        <f>IF(AND($N407=$W$7,$B407&lt;'1331'!$I$9),"x","")</f>
        <v/>
      </c>
      <c r="Y407" s="87" t="str">
        <f>IF(AND($O407=$W$7,$B407&lt;'1331'!$I$9),"x","")</f>
        <v/>
      </c>
      <c r="Z407" s="87" t="str">
        <f>IF(AND('341-CT'!$H$9=H407,OR(LEFT(N407,3)=$Z$7,LEFT(O407,3)=$Z$7)),"x","")</f>
        <v/>
      </c>
      <c r="AA407" s="87" t="str">
        <f>IF(OR(TH!N407=TH!$AA$7,O407=TH!$AA$7),"x","")</f>
        <v/>
      </c>
      <c r="AB407" s="87" t="str">
        <f>IF(AND(OR(N407="131",O407="131"),H407='131-CT'!$H$9),"x","")</f>
        <v/>
      </c>
      <c r="AC407" s="87"/>
      <c r="AD407" s="87" t="str">
        <f>IF(AND(MONTH(E407)='IN-NX'!$J$5,'IN-NX'!$D$7=D407),"x","")</f>
        <v/>
      </c>
      <c r="AE407" s="87" t="str">
        <f>IF(AND(OR(LEFT(TH!N407,2)="15",LEFT(TH!O407,2)="15"),'152-CT'!$J$8=TH!F407),"x","")</f>
        <v/>
      </c>
      <c r="AF407" s="87" t="str">
        <f>IF(AND(OR(LEFT(TH!N407,2)="15",LEFT(TH!O407,2)="15"),'THE KHO'!$E$7=TH!F407),"x","")</f>
        <v/>
      </c>
      <c r="AG407" s="87" t="str">
        <f>IF(AND(N407="1521",MONTH(C407)='BK NL'!$M$11),"x","")</f>
        <v/>
      </c>
    </row>
    <row r="408" spans="1:33" ht="15.75" customHeight="1">
      <c r="A408" s="399" t="str">
        <f>IF(B408&lt;&gt;"",IF(AND(B408&gt;=_TM1,B408&lt;=_TM2,OR(TH!N408="1111",TH!O408="1111")),TH!D408,""),"")</f>
        <v/>
      </c>
      <c r="B408" s="63" t="str">
        <f t="shared" si="11"/>
        <v/>
      </c>
      <c r="C408" s="64"/>
      <c r="D408" s="64"/>
      <c r="E408" s="64"/>
      <c r="F408" s="67"/>
      <c r="G408" s="362"/>
      <c r="H408" s="75"/>
      <c r="I408" s="518"/>
      <c r="J408" s="518"/>
      <c r="K408" s="509"/>
      <c r="L408" s="518"/>
      <c r="M408" s="65"/>
      <c r="N408" s="66"/>
      <c r="O408" s="66"/>
      <c r="P408" s="87" t="str">
        <f>IF(AND('331-CT'!$E$7=TH!H408,OR(N408="331",O408="331")),"x","")</f>
        <v/>
      </c>
      <c r="Q408" s="87" t="str">
        <f>IF(AND(B408='111'!$L$11,OR($N408=$Q$7,$O408=$Q$7)),"x","")</f>
        <v/>
      </c>
      <c r="R408" s="87" t="str">
        <f>IF(AND($N408=$Q$7,$B408&lt;'111'!$L$11),"x","")</f>
        <v/>
      </c>
      <c r="S408" s="87" t="str">
        <f>IF(AND($O408=$Q$7,$B408&lt;'111'!$L$11),"x","")</f>
        <v/>
      </c>
      <c r="T408" s="87" t="str">
        <f>IF(ISERROR(FIND('112'!$M$9,G408,1)),"",IF((AND(FIND('112'!$M$9,G408,1)&gt;=1,B408='112'!$K$9,OR($N408='112'!$I$6,$O408='112'!$I$6))),"x",""))</f>
        <v/>
      </c>
      <c r="U408" s="87" t="str">
        <f>IF(ISERROR(FIND('112'!$M$9,G408,1)),"",IF((AND(FIND('112'!$M$9,G408,1)&gt;=1,B408&lt;'112'!$K$9,$N408='112'!$I$6)),"x",""))</f>
        <v/>
      </c>
      <c r="V408" s="87" t="str">
        <f>IF(ISERROR(FIND('112'!$M$9,G408,1)),"",IF((AND(FIND('112'!$M$9,G408,1)&gt;=1,B408&lt;'112'!$K$9,$O408='112'!$I$6)),"x",""))</f>
        <v/>
      </c>
      <c r="W408" s="87" t="str">
        <f>IF(AND($B408&gt;='1331'!$I$9,$B408&lt;='1331'!$J$9,OR($N408=$W$7,$O408=$W$7)),"x","")</f>
        <v/>
      </c>
      <c r="X408" s="87" t="str">
        <f>IF(AND($N408=$W$7,$B408&lt;'1331'!$I$9),"x","")</f>
        <v/>
      </c>
      <c r="Y408" s="87" t="str">
        <f>IF(AND($O408=$W$7,$B408&lt;'1331'!$I$9),"x","")</f>
        <v/>
      </c>
      <c r="Z408" s="87" t="str">
        <f>IF(AND('341-CT'!$H$9=H408,OR(LEFT(N408,3)=$Z$7,LEFT(O408,3)=$Z$7)),"x","")</f>
        <v/>
      </c>
      <c r="AA408" s="87" t="str">
        <f>IF(OR(TH!N408=TH!$AA$7,O408=TH!$AA$7),"x","")</f>
        <v/>
      </c>
      <c r="AB408" s="87" t="str">
        <f>IF(AND(OR(N408="131",O408="131"),H408='131-CT'!$H$9),"x","")</f>
        <v/>
      </c>
      <c r="AC408" s="87"/>
      <c r="AD408" s="87" t="str">
        <f>IF(AND(MONTH(E408)='IN-NX'!$J$5,'IN-NX'!$D$7=D408),"x","")</f>
        <v/>
      </c>
      <c r="AE408" s="87" t="str">
        <f>IF(AND(OR(LEFT(TH!N408,2)="15",LEFT(TH!O408,2)="15"),'152-CT'!$J$8=TH!F408),"x","")</f>
        <v/>
      </c>
      <c r="AF408" s="87" t="str">
        <f>IF(AND(OR(LEFT(TH!N408,2)="15",LEFT(TH!O408,2)="15"),'THE KHO'!$E$7=TH!F408),"x","")</f>
        <v/>
      </c>
      <c r="AG408" s="87" t="str">
        <f>IF(AND(N408="1521",MONTH(C408)='BK NL'!$M$11),"x","")</f>
        <v/>
      </c>
    </row>
    <row r="409" spans="1:33" ht="15.75" customHeight="1">
      <c r="A409" s="399" t="str">
        <f>IF(B409&lt;&gt;"",IF(AND(B409&gt;=_TM1,B409&lt;=_TM2,OR(TH!N409="1111",TH!O409="1111")),TH!D409,""),"")</f>
        <v/>
      </c>
      <c r="B409" s="63" t="str">
        <f t="shared" si="11"/>
        <v/>
      </c>
      <c r="C409" s="64"/>
      <c r="D409" s="64"/>
      <c r="E409" s="64"/>
      <c r="F409" s="67"/>
      <c r="G409" s="362"/>
      <c r="H409" s="75"/>
      <c r="I409" s="518"/>
      <c r="J409" s="518"/>
      <c r="K409" s="509"/>
      <c r="L409" s="518"/>
      <c r="M409" s="65"/>
      <c r="N409" s="66"/>
      <c r="O409" s="66"/>
      <c r="P409" s="87" t="str">
        <f>IF(AND('331-CT'!$E$7=TH!H409,OR(N409="331",O409="331")),"x","")</f>
        <v/>
      </c>
      <c r="Q409" s="87" t="str">
        <f>IF(AND(B409='111'!$L$11,OR($N409=$Q$7,$O409=$Q$7)),"x","")</f>
        <v/>
      </c>
      <c r="R409" s="87" t="str">
        <f>IF(AND($N409=$Q$7,$B409&lt;'111'!$L$11),"x","")</f>
        <v/>
      </c>
      <c r="S409" s="87" t="str">
        <f>IF(AND($O409=$Q$7,$B409&lt;'111'!$L$11),"x","")</f>
        <v/>
      </c>
      <c r="T409" s="87" t="str">
        <f>IF(ISERROR(FIND('112'!$M$9,G409,1)),"",IF((AND(FIND('112'!$M$9,G409,1)&gt;=1,B409='112'!$K$9,OR($N409='112'!$I$6,$O409='112'!$I$6))),"x",""))</f>
        <v/>
      </c>
      <c r="U409" s="87" t="str">
        <f>IF(ISERROR(FIND('112'!$M$9,G409,1)),"",IF((AND(FIND('112'!$M$9,G409,1)&gt;=1,B409&lt;'112'!$K$9,$N409='112'!$I$6)),"x",""))</f>
        <v/>
      </c>
      <c r="V409" s="87" t="str">
        <f>IF(ISERROR(FIND('112'!$M$9,G409,1)),"",IF((AND(FIND('112'!$M$9,G409,1)&gt;=1,B409&lt;'112'!$K$9,$O409='112'!$I$6)),"x",""))</f>
        <v/>
      </c>
      <c r="W409" s="87" t="str">
        <f>IF(AND($B409&gt;='1331'!$I$9,$B409&lt;='1331'!$J$9,OR($N409=$W$7,$O409=$W$7)),"x","")</f>
        <v/>
      </c>
      <c r="X409" s="87" t="str">
        <f>IF(AND($N409=$W$7,$B409&lt;'1331'!$I$9),"x","")</f>
        <v/>
      </c>
      <c r="Y409" s="87" t="str">
        <f>IF(AND($O409=$W$7,$B409&lt;'1331'!$I$9),"x","")</f>
        <v/>
      </c>
      <c r="Z409" s="87" t="str">
        <f>IF(AND('341-CT'!$H$9=H409,OR(LEFT(N409,3)=$Z$7,LEFT(O409,3)=$Z$7)),"x","")</f>
        <v/>
      </c>
      <c r="AA409" s="87" t="str">
        <f>IF(OR(TH!N409=TH!$AA$7,O409=TH!$AA$7),"x","")</f>
        <v/>
      </c>
      <c r="AB409" s="87" t="str">
        <f>IF(AND(OR(N409="131",O409="131"),H409='131-CT'!$H$9),"x","")</f>
        <v/>
      </c>
      <c r="AC409" s="87"/>
      <c r="AD409" s="87" t="str">
        <f>IF(AND(MONTH(E409)='IN-NX'!$J$5,'IN-NX'!$D$7=D409),"x","")</f>
        <v/>
      </c>
      <c r="AE409" s="87" t="str">
        <f>IF(AND(OR(LEFT(TH!N409,2)="15",LEFT(TH!O409,2)="15"),'152-CT'!$J$8=TH!F409),"x","")</f>
        <v/>
      </c>
      <c r="AF409" s="87" t="str">
        <f>IF(AND(OR(LEFT(TH!N409,2)="15",LEFT(TH!O409,2)="15"),'THE KHO'!$E$7=TH!F409),"x","")</f>
        <v/>
      </c>
      <c r="AG409" s="87" t="str">
        <f>IF(AND(N409="1521",MONTH(C409)='BK NL'!$M$11),"x","")</f>
        <v/>
      </c>
    </row>
    <row r="410" spans="1:33" ht="15.75" customHeight="1">
      <c r="A410" s="399" t="str">
        <f>IF(B410&lt;&gt;"",IF(AND(B410&gt;=_TM1,B410&lt;=_TM2,OR(TH!N410="1111",TH!O410="1111")),TH!D410,""),"")</f>
        <v/>
      </c>
      <c r="B410" s="63" t="str">
        <f t="shared" si="11"/>
        <v/>
      </c>
      <c r="C410" s="64"/>
      <c r="D410" s="64"/>
      <c r="E410" s="64"/>
      <c r="F410" s="67"/>
      <c r="G410" s="362"/>
      <c r="H410" s="75"/>
      <c r="I410" s="518"/>
      <c r="J410" s="518"/>
      <c r="K410" s="509"/>
      <c r="L410" s="518"/>
      <c r="M410" s="65"/>
      <c r="N410" s="66"/>
      <c r="O410" s="66"/>
      <c r="P410" s="87" t="str">
        <f>IF(AND('331-CT'!$E$7=TH!H410,OR(N410="331",O410="331")),"x","")</f>
        <v/>
      </c>
      <c r="Q410" s="87" t="str">
        <f>IF(AND(B410='111'!$L$11,OR($N410=$Q$7,$O410=$Q$7)),"x","")</f>
        <v/>
      </c>
      <c r="R410" s="87" t="str">
        <f>IF(AND($N410=$Q$7,$B410&lt;'111'!$L$11),"x","")</f>
        <v/>
      </c>
      <c r="S410" s="87" t="str">
        <f>IF(AND($O410=$Q$7,$B410&lt;'111'!$L$11),"x","")</f>
        <v/>
      </c>
      <c r="T410" s="87" t="str">
        <f>IF(ISERROR(FIND('112'!$M$9,G410,1)),"",IF((AND(FIND('112'!$M$9,G410,1)&gt;=1,B410='112'!$K$9,OR($N410='112'!$I$6,$O410='112'!$I$6))),"x",""))</f>
        <v/>
      </c>
      <c r="U410" s="87" t="str">
        <f>IF(ISERROR(FIND('112'!$M$9,G410,1)),"",IF((AND(FIND('112'!$M$9,G410,1)&gt;=1,B410&lt;'112'!$K$9,$N410='112'!$I$6)),"x",""))</f>
        <v/>
      </c>
      <c r="V410" s="87" t="str">
        <f>IF(ISERROR(FIND('112'!$M$9,G410,1)),"",IF((AND(FIND('112'!$M$9,G410,1)&gt;=1,B410&lt;'112'!$K$9,$O410='112'!$I$6)),"x",""))</f>
        <v/>
      </c>
      <c r="W410" s="87" t="str">
        <f>IF(AND($B410&gt;='1331'!$I$9,$B410&lt;='1331'!$J$9,OR($N410=$W$7,$O410=$W$7)),"x","")</f>
        <v/>
      </c>
      <c r="X410" s="87" t="str">
        <f>IF(AND($N410=$W$7,$B410&lt;'1331'!$I$9),"x","")</f>
        <v/>
      </c>
      <c r="Y410" s="87" t="str">
        <f>IF(AND($O410=$W$7,$B410&lt;'1331'!$I$9),"x","")</f>
        <v/>
      </c>
      <c r="Z410" s="87" t="str">
        <f>IF(AND('341-CT'!$H$9=H410,OR(LEFT(N410,3)=$Z$7,LEFT(O410,3)=$Z$7)),"x","")</f>
        <v/>
      </c>
      <c r="AA410" s="87" t="str">
        <f>IF(OR(TH!N410=TH!$AA$7,O410=TH!$AA$7),"x","")</f>
        <v/>
      </c>
      <c r="AB410" s="87" t="str">
        <f>IF(AND(OR(N410="131",O410="131"),H410='131-CT'!$H$9),"x","")</f>
        <v/>
      </c>
      <c r="AC410" s="87"/>
      <c r="AD410" s="87" t="str">
        <f>IF(AND(MONTH(E410)='IN-NX'!$J$5,'IN-NX'!$D$7=D410),"x","")</f>
        <v/>
      </c>
      <c r="AE410" s="87" t="str">
        <f>IF(AND(OR(LEFT(TH!N410,2)="15",LEFT(TH!O410,2)="15"),'152-CT'!$J$8=TH!F410),"x","")</f>
        <v/>
      </c>
      <c r="AF410" s="87" t="str">
        <f>IF(AND(OR(LEFT(TH!N410,2)="15",LEFT(TH!O410,2)="15"),'THE KHO'!$E$7=TH!F410),"x","")</f>
        <v/>
      </c>
      <c r="AG410" s="87" t="str">
        <f>IF(AND(N410="1521",MONTH(C410)='BK NL'!$M$11),"x","")</f>
        <v/>
      </c>
    </row>
    <row r="411" spans="1:33" ht="15.75" customHeight="1">
      <c r="A411" s="399" t="str">
        <f>IF(B411&lt;&gt;"",IF(AND(B411&gt;=_TM1,B411&lt;=_TM2,OR(TH!N411="1111",TH!O411="1111")),TH!D411,""),"")</f>
        <v/>
      </c>
      <c r="B411" s="63" t="str">
        <f t="shared" si="11"/>
        <v/>
      </c>
      <c r="C411" s="64"/>
      <c r="D411" s="64"/>
      <c r="E411" s="64"/>
      <c r="F411" s="67"/>
      <c r="G411" s="362"/>
      <c r="H411" s="75"/>
      <c r="I411" s="518"/>
      <c r="J411" s="518"/>
      <c r="K411" s="509"/>
      <c r="L411" s="518"/>
      <c r="M411" s="65"/>
      <c r="N411" s="66"/>
      <c r="O411" s="66"/>
      <c r="P411" s="87" t="str">
        <f>IF(AND('331-CT'!$E$7=TH!H411,OR(N411="331",O411="331")),"x","")</f>
        <v/>
      </c>
      <c r="Q411" s="87" t="str">
        <f>IF(AND(B411='111'!$L$11,OR($N411=$Q$7,$O411=$Q$7)),"x","")</f>
        <v/>
      </c>
      <c r="R411" s="87" t="str">
        <f>IF(AND($N411=$Q$7,$B411&lt;'111'!$L$11),"x","")</f>
        <v/>
      </c>
      <c r="S411" s="87" t="str">
        <f>IF(AND($O411=$Q$7,$B411&lt;'111'!$L$11),"x","")</f>
        <v/>
      </c>
      <c r="T411" s="87" t="str">
        <f>IF(ISERROR(FIND('112'!$M$9,G411,1)),"",IF((AND(FIND('112'!$M$9,G411,1)&gt;=1,B411='112'!$K$9,OR($N411='112'!$I$6,$O411='112'!$I$6))),"x",""))</f>
        <v/>
      </c>
      <c r="U411" s="87" t="str">
        <f>IF(ISERROR(FIND('112'!$M$9,G411,1)),"",IF((AND(FIND('112'!$M$9,G411,1)&gt;=1,B411&lt;'112'!$K$9,$N411='112'!$I$6)),"x",""))</f>
        <v/>
      </c>
      <c r="V411" s="87" t="str">
        <f>IF(ISERROR(FIND('112'!$M$9,G411,1)),"",IF((AND(FIND('112'!$M$9,G411,1)&gt;=1,B411&lt;'112'!$K$9,$O411='112'!$I$6)),"x",""))</f>
        <v/>
      </c>
      <c r="W411" s="87" t="str">
        <f>IF(AND($B411&gt;='1331'!$I$9,$B411&lt;='1331'!$J$9,OR($N411=$W$7,$O411=$W$7)),"x","")</f>
        <v/>
      </c>
      <c r="X411" s="87" t="str">
        <f>IF(AND($N411=$W$7,$B411&lt;'1331'!$I$9),"x","")</f>
        <v/>
      </c>
      <c r="Y411" s="87" t="str">
        <f>IF(AND($O411=$W$7,$B411&lt;'1331'!$I$9),"x","")</f>
        <v/>
      </c>
      <c r="Z411" s="87" t="str">
        <f>IF(AND('341-CT'!$H$9=H411,OR(LEFT(N411,3)=$Z$7,LEFT(O411,3)=$Z$7)),"x","")</f>
        <v/>
      </c>
      <c r="AA411" s="87" t="str">
        <f>IF(OR(TH!N411=TH!$AA$7,O411=TH!$AA$7),"x","")</f>
        <v/>
      </c>
      <c r="AB411" s="87" t="str">
        <f>IF(AND(OR(N411="131",O411="131"),H411='131-CT'!$H$9),"x","")</f>
        <v/>
      </c>
      <c r="AC411" s="87"/>
      <c r="AD411" s="87" t="str">
        <f>IF(AND(MONTH(E411)='IN-NX'!$J$5,'IN-NX'!$D$7=D411),"x","")</f>
        <v/>
      </c>
      <c r="AE411" s="87" t="str">
        <f>IF(AND(OR(LEFT(TH!N411,2)="15",LEFT(TH!O411,2)="15"),'152-CT'!$J$8=TH!F411),"x","")</f>
        <v/>
      </c>
      <c r="AF411" s="87" t="str">
        <f>IF(AND(OR(LEFT(TH!N411,2)="15",LEFT(TH!O411,2)="15"),'THE KHO'!$E$7=TH!F411),"x","")</f>
        <v/>
      </c>
      <c r="AG411" s="87" t="str">
        <f>IF(AND(N411="1521",MONTH(C411)='BK NL'!$M$11),"x","")</f>
        <v/>
      </c>
    </row>
    <row r="412" spans="1:33" ht="15.75" customHeight="1">
      <c r="A412" s="399" t="str">
        <f>IF(B412&lt;&gt;"",IF(AND(B412&gt;=_TM1,B412&lt;=_TM2,OR(TH!N412="1111",TH!O412="1111")),TH!D412,""),"")</f>
        <v/>
      </c>
      <c r="B412" s="63" t="str">
        <f t="shared" si="11"/>
        <v/>
      </c>
      <c r="C412" s="64"/>
      <c r="D412" s="64"/>
      <c r="E412" s="64"/>
      <c r="F412" s="67"/>
      <c r="G412" s="362"/>
      <c r="H412" s="75"/>
      <c r="I412" s="518"/>
      <c r="J412" s="518"/>
      <c r="K412" s="509"/>
      <c r="L412" s="518"/>
      <c r="M412" s="65"/>
      <c r="N412" s="66"/>
      <c r="O412" s="66"/>
      <c r="P412" s="87" t="str">
        <f>IF(AND('331-CT'!$E$7=TH!H412,OR(N412="331",O412="331")),"x","")</f>
        <v/>
      </c>
      <c r="Q412" s="87" t="str">
        <f>IF(AND(B412='111'!$L$11,OR($N412=$Q$7,$O412=$Q$7)),"x","")</f>
        <v/>
      </c>
      <c r="R412" s="87" t="str">
        <f>IF(AND($N412=$Q$7,$B412&lt;'111'!$L$11),"x","")</f>
        <v/>
      </c>
      <c r="S412" s="87" t="str">
        <f>IF(AND($O412=$Q$7,$B412&lt;'111'!$L$11),"x","")</f>
        <v/>
      </c>
      <c r="T412" s="87" t="str">
        <f>IF(ISERROR(FIND('112'!$M$9,G412,1)),"",IF((AND(FIND('112'!$M$9,G412,1)&gt;=1,B412='112'!$K$9,OR($N412='112'!$I$6,$O412='112'!$I$6))),"x",""))</f>
        <v/>
      </c>
      <c r="U412" s="87" t="str">
        <f>IF(ISERROR(FIND('112'!$M$9,G412,1)),"",IF((AND(FIND('112'!$M$9,G412,1)&gt;=1,B412&lt;'112'!$K$9,$N412='112'!$I$6)),"x",""))</f>
        <v/>
      </c>
      <c r="V412" s="87" t="str">
        <f>IF(ISERROR(FIND('112'!$M$9,G412,1)),"",IF((AND(FIND('112'!$M$9,G412,1)&gt;=1,B412&lt;'112'!$K$9,$O412='112'!$I$6)),"x",""))</f>
        <v/>
      </c>
      <c r="W412" s="87" t="str">
        <f>IF(AND($B412&gt;='1331'!$I$9,$B412&lt;='1331'!$J$9,OR($N412=$W$7,$O412=$W$7)),"x","")</f>
        <v/>
      </c>
      <c r="X412" s="87" t="str">
        <f>IF(AND($N412=$W$7,$B412&lt;'1331'!$I$9),"x","")</f>
        <v/>
      </c>
      <c r="Y412" s="87" t="str">
        <f>IF(AND($O412=$W$7,$B412&lt;'1331'!$I$9),"x","")</f>
        <v/>
      </c>
      <c r="Z412" s="87" t="str">
        <f>IF(AND('341-CT'!$H$9=H412,OR(LEFT(N412,3)=$Z$7,LEFT(O412,3)=$Z$7)),"x","")</f>
        <v/>
      </c>
      <c r="AA412" s="87" t="str">
        <f>IF(OR(TH!N412=TH!$AA$7,O412=TH!$AA$7),"x","")</f>
        <v/>
      </c>
      <c r="AB412" s="87" t="str">
        <f>IF(AND(OR(N412="131",O412="131"),H412='131-CT'!$H$9),"x","")</f>
        <v/>
      </c>
      <c r="AC412" s="87"/>
      <c r="AD412" s="87" t="str">
        <f>IF(AND(MONTH(E412)='IN-NX'!$J$5,'IN-NX'!$D$7=D412),"x","")</f>
        <v/>
      </c>
      <c r="AE412" s="87" t="str">
        <f>IF(AND(OR(LEFT(TH!N412,2)="15",LEFT(TH!O412,2)="15"),'152-CT'!$J$8=TH!F412),"x","")</f>
        <v/>
      </c>
      <c r="AF412" s="87" t="str">
        <f>IF(AND(OR(LEFT(TH!N412,2)="15",LEFT(TH!O412,2)="15"),'THE KHO'!$E$7=TH!F412),"x","")</f>
        <v/>
      </c>
      <c r="AG412" s="87" t="str">
        <f>IF(AND(N412="1521",MONTH(C412)='BK NL'!$M$11),"x","")</f>
        <v/>
      </c>
    </row>
    <row r="413" spans="1:33" ht="15.75" customHeight="1">
      <c r="A413" s="399" t="str">
        <f>IF(B413&lt;&gt;"",IF(AND(B413&gt;=_TM1,B413&lt;=_TM2,OR(TH!N413="1111",TH!O413="1111")),TH!D413,""),"")</f>
        <v/>
      </c>
      <c r="B413" s="63" t="str">
        <f t="shared" si="11"/>
        <v/>
      </c>
      <c r="C413" s="64"/>
      <c r="D413" s="64"/>
      <c r="E413" s="64"/>
      <c r="F413" s="67"/>
      <c r="G413" s="362"/>
      <c r="H413" s="75"/>
      <c r="I413" s="518"/>
      <c r="J413" s="518"/>
      <c r="K413" s="509"/>
      <c r="L413" s="518"/>
      <c r="M413" s="65"/>
      <c r="N413" s="66"/>
      <c r="O413" s="66"/>
      <c r="P413" s="87" t="str">
        <f>IF(AND('331-CT'!$E$7=TH!H413,OR(N413="331",O413="331")),"x","")</f>
        <v/>
      </c>
      <c r="Q413" s="87" t="str">
        <f>IF(AND(B413='111'!$L$11,OR($N413=$Q$7,$O413=$Q$7)),"x","")</f>
        <v/>
      </c>
      <c r="R413" s="87" t="str">
        <f>IF(AND($N413=$Q$7,$B413&lt;'111'!$L$11),"x","")</f>
        <v/>
      </c>
      <c r="S413" s="87" t="str">
        <f>IF(AND($O413=$Q$7,$B413&lt;'111'!$L$11),"x","")</f>
        <v/>
      </c>
      <c r="T413" s="87" t="str">
        <f>IF(ISERROR(FIND('112'!$M$9,G413,1)),"",IF((AND(FIND('112'!$M$9,G413,1)&gt;=1,B413='112'!$K$9,OR($N413='112'!$I$6,$O413='112'!$I$6))),"x",""))</f>
        <v/>
      </c>
      <c r="U413" s="87" t="str">
        <f>IF(ISERROR(FIND('112'!$M$9,G413,1)),"",IF((AND(FIND('112'!$M$9,G413,1)&gt;=1,B413&lt;'112'!$K$9,$N413='112'!$I$6)),"x",""))</f>
        <v/>
      </c>
      <c r="V413" s="87" t="str">
        <f>IF(ISERROR(FIND('112'!$M$9,G413,1)),"",IF((AND(FIND('112'!$M$9,G413,1)&gt;=1,B413&lt;'112'!$K$9,$O413='112'!$I$6)),"x",""))</f>
        <v/>
      </c>
      <c r="W413" s="87" t="str">
        <f>IF(AND($B413&gt;='1331'!$I$9,$B413&lt;='1331'!$J$9,OR($N413=$W$7,$O413=$W$7)),"x","")</f>
        <v/>
      </c>
      <c r="X413" s="87" t="str">
        <f>IF(AND($N413=$W$7,$B413&lt;'1331'!$I$9),"x","")</f>
        <v/>
      </c>
      <c r="Y413" s="87" t="str">
        <f>IF(AND($O413=$W$7,$B413&lt;'1331'!$I$9),"x","")</f>
        <v/>
      </c>
      <c r="Z413" s="87" t="str">
        <f>IF(AND('341-CT'!$H$9=H413,OR(LEFT(N413,3)=$Z$7,LEFT(O413,3)=$Z$7)),"x","")</f>
        <v/>
      </c>
      <c r="AA413" s="87" t="str">
        <f>IF(OR(TH!N413=TH!$AA$7,O413=TH!$AA$7),"x","")</f>
        <v/>
      </c>
      <c r="AB413" s="87" t="str">
        <f>IF(AND(OR(N413="131",O413="131"),H413='131-CT'!$H$9),"x","")</f>
        <v/>
      </c>
      <c r="AC413" s="87"/>
      <c r="AD413" s="87" t="str">
        <f>IF(AND(MONTH(E413)='IN-NX'!$J$5,'IN-NX'!$D$7=D413),"x","")</f>
        <v/>
      </c>
      <c r="AE413" s="87" t="str">
        <f>IF(AND(OR(LEFT(TH!N413,2)="15",LEFT(TH!O413,2)="15"),'152-CT'!$J$8=TH!F413),"x","")</f>
        <v/>
      </c>
      <c r="AF413" s="87" t="str">
        <f>IF(AND(OR(LEFT(TH!N413,2)="15",LEFT(TH!O413,2)="15"),'THE KHO'!$E$7=TH!F413),"x","")</f>
        <v/>
      </c>
      <c r="AG413" s="87" t="str">
        <f>IF(AND(N413="1521",MONTH(C413)='BK NL'!$M$11),"x","")</f>
        <v/>
      </c>
    </row>
    <row r="414" spans="1:33" ht="15.75" customHeight="1">
      <c r="A414" s="399" t="str">
        <f>IF(B414&lt;&gt;"",IF(AND(B414&gt;=_TM1,B414&lt;=_TM2,OR(TH!N414="1111",TH!O414="1111")),TH!D414,""),"")</f>
        <v/>
      </c>
      <c r="B414" s="63" t="str">
        <f t="shared" si="11"/>
        <v/>
      </c>
      <c r="C414" s="64"/>
      <c r="D414" s="64"/>
      <c r="E414" s="64"/>
      <c r="F414" s="67"/>
      <c r="G414" s="362"/>
      <c r="H414" s="75"/>
      <c r="I414" s="518"/>
      <c r="J414" s="518"/>
      <c r="K414" s="509"/>
      <c r="L414" s="518"/>
      <c r="M414" s="65"/>
      <c r="N414" s="66"/>
      <c r="O414" s="66"/>
      <c r="P414" s="87" t="str">
        <f>IF(AND('331-CT'!$E$7=TH!H414,OR(N414="331",O414="331")),"x","")</f>
        <v/>
      </c>
      <c r="Q414" s="87" t="str">
        <f>IF(AND(B414='111'!$L$11,OR($N414=$Q$7,$O414=$Q$7)),"x","")</f>
        <v/>
      </c>
      <c r="R414" s="87" t="str">
        <f>IF(AND($N414=$Q$7,$B414&lt;'111'!$L$11),"x","")</f>
        <v/>
      </c>
      <c r="S414" s="87" t="str">
        <f>IF(AND($O414=$Q$7,$B414&lt;'111'!$L$11),"x","")</f>
        <v/>
      </c>
      <c r="T414" s="87" t="str">
        <f>IF(ISERROR(FIND('112'!$M$9,G414,1)),"",IF((AND(FIND('112'!$M$9,G414,1)&gt;=1,B414='112'!$K$9,OR($N414='112'!$I$6,$O414='112'!$I$6))),"x",""))</f>
        <v/>
      </c>
      <c r="U414" s="87" t="str">
        <f>IF(ISERROR(FIND('112'!$M$9,G414,1)),"",IF((AND(FIND('112'!$M$9,G414,1)&gt;=1,B414&lt;'112'!$K$9,$N414='112'!$I$6)),"x",""))</f>
        <v/>
      </c>
      <c r="V414" s="87" t="str">
        <f>IF(ISERROR(FIND('112'!$M$9,G414,1)),"",IF((AND(FIND('112'!$M$9,G414,1)&gt;=1,B414&lt;'112'!$K$9,$O414='112'!$I$6)),"x",""))</f>
        <v/>
      </c>
      <c r="W414" s="87" t="str">
        <f>IF(AND($B414&gt;='1331'!$I$9,$B414&lt;='1331'!$J$9,OR($N414=$W$7,$O414=$W$7)),"x","")</f>
        <v/>
      </c>
      <c r="X414" s="87" t="str">
        <f>IF(AND($N414=$W$7,$B414&lt;'1331'!$I$9),"x","")</f>
        <v/>
      </c>
      <c r="Y414" s="87" t="str">
        <f>IF(AND($O414=$W$7,$B414&lt;'1331'!$I$9),"x","")</f>
        <v/>
      </c>
      <c r="Z414" s="87" t="str">
        <f>IF(AND('341-CT'!$H$9=H414,OR(LEFT(N414,3)=$Z$7,LEFT(O414,3)=$Z$7)),"x","")</f>
        <v/>
      </c>
      <c r="AA414" s="87" t="str">
        <f>IF(OR(TH!N414=TH!$AA$7,O414=TH!$AA$7),"x","")</f>
        <v/>
      </c>
      <c r="AB414" s="87" t="str">
        <f>IF(AND(OR(N414="131",O414="131"),H414='131-CT'!$H$9),"x","")</f>
        <v/>
      </c>
      <c r="AC414" s="87"/>
      <c r="AD414" s="87" t="str">
        <f>IF(AND(MONTH(E414)='IN-NX'!$J$5,'IN-NX'!$D$7=D414),"x","")</f>
        <v/>
      </c>
      <c r="AE414" s="87" t="str">
        <f>IF(AND(OR(LEFT(TH!N414,2)="15",LEFT(TH!O414,2)="15"),'152-CT'!$J$8=TH!F414),"x","")</f>
        <v/>
      </c>
      <c r="AF414" s="87" t="str">
        <f>IF(AND(OR(LEFT(TH!N414,2)="15",LEFT(TH!O414,2)="15"),'THE KHO'!$E$7=TH!F414),"x","")</f>
        <v/>
      </c>
      <c r="AG414" s="87" t="str">
        <f>IF(AND(N414="1521",MONTH(C414)='BK NL'!$M$11),"x","")</f>
        <v/>
      </c>
    </row>
    <row r="415" spans="1:33" ht="15.75" customHeight="1">
      <c r="A415" s="399" t="str">
        <f>IF(B415&lt;&gt;"",IF(AND(B415&gt;=_TM1,B415&lt;=_TM2,OR(TH!N415="1111",TH!O415="1111")),TH!D415,""),"")</f>
        <v/>
      </c>
      <c r="B415" s="63" t="str">
        <f t="shared" si="11"/>
        <v/>
      </c>
      <c r="C415" s="64"/>
      <c r="D415" s="64"/>
      <c r="E415" s="64"/>
      <c r="F415" s="67"/>
      <c r="G415" s="362"/>
      <c r="H415" s="75"/>
      <c r="I415" s="518"/>
      <c r="J415" s="518"/>
      <c r="K415" s="509"/>
      <c r="L415" s="518"/>
      <c r="M415" s="65"/>
      <c r="N415" s="66"/>
      <c r="O415" s="66"/>
      <c r="P415" s="87" t="str">
        <f>IF(AND('331-CT'!$E$7=TH!H415,OR(N415="331",O415="331")),"x","")</f>
        <v/>
      </c>
      <c r="Q415" s="87" t="str">
        <f>IF(AND(B415='111'!$L$11,OR($N415=$Q$7,$O415=$Q$7)),"x","")</f>
        <v/>
      </c>
      <c r="R415" s="87" t="str">
        <f>IF(AND($N415=$Q$7,$B415&lt;'111'!$L$11),"x","")</f>
        <v/>
      </c>
      <c r="S415" s="87" t="str">
        <f>IF(AND($O415=$Q$7,$B415&lt;'111'!$L$11),"x","")</f>
        <v/>
      </c>
      <c r="T415" s="87" t="str">
        <f>IF(ISERROR(FIND('112'!$M$9,G415,1)),"",IF((AND(FIND('112'!$M$9,G415,1)&gt;=1,B415='112'!$K$9,OR($N415='112'!$I$6,$O415='112'!$I$6))),"x",""))</f>
        <v/>
      </c>
      <c r="U415" s="87" t="str">
        <f>IF(ISERROR(FIND('112'!$M$9,G415,1)),"",IF((AND(FIND('112'!$M$9,G415,1)&gt;=1,B415&lt;'112'!$K$9,$N415='112'!$I$6)),"x",""))</f>
        <v/>
      </c>
      <c r="V415" s="87" t="str">
        <f>IF(ISERROR(FIND('112'!$M$9,G415,1)),"",IF((AND(FIND('112'!$M$9,G415,1)&gt;=1,B415&lt;'112'!$K$9,$O415='112'!$I$6)),"x",""))</f>
        <v/>
      </c>
      <c r="W415" s="87" t="str">
        <f>IF(AND($B415&gt;='1331'!$I$9,$B415&lt;='1331'!$J$9,OR($N415=$W$7,$O415=$W$7)),"x","")</f>
        <v/>
      </c>
      <c r="X415" s="87" t="str">
        <f>IF(AND($N415=$W$7,$B415&lt;'1331'!$I$9),"x","")</f>
        <v/>
      </c>
      <c r="Y415" s="87" t="str">
        <f>IF(AND($O415=$W$7,$B415&lt;'1331'!$I$9),"x","")</f>
        <v/>
      </c>
      <c r="Z415" s="87" t="str">
        <f>IF(AND('341-CT'!$H$9=H415,OR(LEFT(N415,3)=$Z$7,LEFT(O415,3)=$Z$7)),"x","")</f>
        <v/>
      </c>
      <c r="AA415" s="87" t="str">
        <f>IF(OR(TH!N415=TH!$AA$7,O415=TH!$AA$7),"x","")</f>
        <v/>
      </c>
      <c r="AB415" s="87" t="str">
        <f>IF(AND(OR(N415="131",O415="131"),H415='131-CT'!$H$9),"x","")</f>
        <v/>
      </c>
      <c r="AC415" s="87"/>
      <c r="AD415" s="87" t="str">
        <f>IF(AND(MONTH(E415)='IN-NX'!$J$5,'IN-NX'!$D$7=D415),"x","")</f>
        <v/>
      </c>
      <c r="AE415" s="87" t="str">
        <f>IF(AND(OR(LEFT(TH!N415,2)="15",LEFT(TH!O415,2)="15"),'152-CT'!$J$8=TH!F415),"x","")</f>
        <v/>
      </c>
      <c r="AF415" s="87" t="str">
        <f>IF(AND(OR(LEFT(TH!N415,2)="15",LEFT(TH!O415,2)="15"),'THE KHO'!$E$7=TH!F415),"x","")</f>
        <v/>
      </c>
      <c r="AG415" s="87" t="str">
        <f>IF(AND(N415="1521",MONTH(C415)='BK NL'!$M$11),"x","")</f>
        <v/>
      </c>
    </row>
    <row r="416" spans="1:33" ht="15.75" customHeight="1">
      <c r="A416" s="399" t="str">
        <f>IF(B416&lt;&gt;"",IF(AND(B416&gt;=_TM1,B416&lt;=_TM2,OR(TH!N416="1111",TH!O416="1111")),TH!D416,""),"")</f>
        <v/>
      </c>
      <c r="B416" s="63" t="str">
        <f t="shared" si="11"/>
        <v/>
      </c>
      <c r="C416" s="64"/>
      <c r="D416" s="64"/>
      <c r="E416" s="64"/>
      <c r="F416" s="67"/>
      <c r="G416" s="362"/>
      <c r="H416" s="75"/>
      <c r="I416" s="518"/>
      <c r="J416" s="518"/>
      <c r="K416" s="509"/>
      <c r="L416" s="518"/>
      <c r="M416" s="65"/>
      <c r="N416" s="66"/>
      <c r="O416" s="66"/>
      <c r="P416" s="87" t="str">
        <f>IF(AND('331-CT'!$E$7=TH!H416,OR(N416="331",O416="331")),"x","")</f>
        <v/>
      </c>
      <c r="Q416" s="87" t="str">
        <f>IF(AND(B416='111'!$L$11,OR($N416=$Q$7,$O416=$Q$7)),"x","")</f>
        <v/>
      </c>
      <c r="R416" s="87" t="str">
        <f>IF(AND($N416=$Q$7,$B416&lt;'111'!$L$11),"x","")</f>
        <v/>
      </c>
      <c r="S416" s="87" t="str">
        <f>IF(AND($O416=$Q$7,$B416&lt;'111'!$L$11),"x","")</f>
        <v/>
      </c>
      <c r="T416" s="87" t="str">
        <f>IF(ISERROR(FIND('112'!$M$9,G416,1)),"",IF((AND(FIND('112'!$M$9,G416,1)&gt;=1,B416='112'!$K$9,OR($N416='112'!$I$6,$O416='112'!$I$6))),"x",""))</f>
        <v/>
      </c>
      <c r="U416" s="87" t="str">
        <f>IF(ISERROR(FIND('112'!$M$9,G416,1)),"",IF((AND(FIND('112'!$M$9,G416,1)&gt;=1,B416&lt;'112'!$K$9,$N416='112'!$I$6)),"x",""))</f>
        <v/>
      </c>
      <c r="V416" s="87" t="str">
        <f>IF(ISERROR(FIND('112'!$M$9,G416,1)),"",IF((AND(FIND('112'!$M$9,G416,1)&gt;=1,B416&lt;'112'!$K$9,$O416='112'!$I$6)),"x",""))</f>
        <v/>
      </c>
      <c r="W416" s="87" t="str">
        <f>IF(AND($B416&gt;='1331'!$I$9,$B416&lt;='1331'!$J$9,OR($N416=$W$7,$O416=$W$7)),"x","")</f>
        <v/>
      </c>
      <c r="X416" s="87" t="str">
        <f>IF(AND($N416=$W$7,$B416&lt;'1331'!$I$9),"x","")</f>
        <v/>
      </c>
      <c r="Y416" s="87" t="str">
        <f>IF(AND($O416=$W$7,$B416&lt;'1331'!$I$9),"x","")</f>
        <v/>
      </c>
      <c r="Z416" s="87" t="str">
        <f>IF(AND('341-CT'!$H$9=H416,OR(LEFT(N416,3)=$Z$7,LEFT(O416,3)=$Z$7)),"x","")</f>
        <v/>
      </c>
      <c r="AA416" s="87" t="str">
        <f>IF(OR(TH!N416=TH!$AA$7,O416=TH!$AA$7),"x","")</f>
        <v/>
      </c>
      <c r="AB416" s="87" t="str">
        <f>IF(AND(OR(N416="131",O416="131"),H416='131-CT'!$H$9),"x","")</f>
        <v/>
      </c>
      <c r="AC416" s="87"/>
      <c r="AD416" s="87" t="str">
        <f>IF(AND(MONTH(E416)='IN-NX'!$J$5,'IN-NX'!$D$7=D416),"x","")</f>
        <v/>
      </c>
      <c r="AE416" s="87" t="str">
        <f>IF(AND(OR(LEFT(TH!N416,2)="15",LEFT(TH!O416,2)="15"),'152-CT'!$J$8=TH!F416),"x","")</f>
        <v/>
      </c>
      <c r="AF416" s="87" t="str">
        <f>IF(AND(OR(LEFT(TH!N416,2)="15",LEFT(TH!O416,2)="15"),'THE KHO'!$E$7=TH!F416),"x","")</f>
        <v/>
      </c>
      <c r="AG416" s="87" t="str">
        <f>IF(AND(N416="1521",MONTH(C416)='BK NL'!$M$11),"x","")</f>
        <v/>
      </c>
    </row>
    <row r="417" spans="1:33" ht="15.75" customHeight="1">
      <c r="A417" s="399" t="str">
        <f>IF(B417&lt;&gt;"",IF(AND(B417&gt;=_TM1,B417&lt;=_TM2,OR(TH!N417="1111",TH!O417="1111")),TH!D417,""),"")</f>
        <v/>
      </c>
      <c r="B417" s="63" t="str">
        <f t="shared" si="11"/>
        <v/>
      </c>
      <c r="C417" s="64"/>
      <c r="D417" s="64"/>
      <c r="E417" s="64"/>
      <c r="F417" s="67"/>
      <c r="G417" s="362"/>
      <c r="H417" s="75"/>
      <c r="I417" s="518"/>
      <c r="J417" s="518"/>
      <c r="K417" s="509"/>
      <c r="L417" s="518"/>
      <c r="M417" s="65"/>
      <c r="N417" s="66"/>
      <c r="O417" s="66"/>
      <c r="P417" s="87" t="str">
        <f>IF(AND('331-CT'!$E$7=TH!H417,OR(N417="331",O417="331")),"x","")</f>
        <v/>
      </c>
      <c r="Q417" s="87" t="str">
        <f>IF(AND(B417='111'!$L$11,OR($N417=$Q$7,$O417=$Q$7)),"x","")</f>
        <v/>
      </c>
      <c r="R417" s="87" t="str">
        <f>IF(AND($N417=$Q$7,$B417&lt;'111'!$L$11),"x","")</f>
        <v/>
      </c>
      <c r="S417" s="87" t="str">
        <f>IF(AND($O417=$Q$7,$B417&lt;'111'!$L$11),"x","")</f>
        <v/>
      </c>
      <c r="T417" s="87" t="str">
        <f>IF(ISERROR(FIND('112'!$M$9,G417,1)),"",IF((AND(FIND('112'!$M$9,G417,1)&gt;=1,B417='112'!$K$9,OR($N417='112'!$I$6,$O417='112'!$I$6))),"x",""))</f>
        <v/>
      </c>
      <c r="U417" s="87" t="str">
        <f>IF(ISERROR(FIND('112'!$M$9,G417,1)),"",IF((AND(FIND('112'!$M$9,G417,1)&gt;=1,B417&lt;'112'!$K$9,$N417='112'!$I$6)),"x",""))</f>
        <v/>
      </c>
      <c r="V417" s="87" t="str">
        <f>IF(ISERROR(FIND('112'!$M$9,G417,1)),"",IF((AND(FIND('112'!$M$9,G417,1)&gt;=1,B417&lt;'112'!$K$9,$O417='112'!$I$6)),"x",""))</f>
        <v/>
      </c>
      <c r="W417" s="87" t="str">
        <f>IF(AND($B417&gt;='1331'!$I$9,$B417&lt;='1331'!$J$9,OR($N417=$W$7,$O417=$W$7)),"x","")</f>
        <v/>
      </c>
      <c r="X417" s="87" t="str">
        <f>IF(AND($N417=$W$7,$B417&lt;'1331'!$I$9),"x","")</f>
        <v/>
      </c>
      <c r="Y417" s="87" t="str">
        <f>IF(AND($O417=$W$7,$B417&lt;'1331'!$I$9),"x","")</f>
        <v/>
      </c>
      <c r="Z417" s="87" t="str">
        <f>IF(AND('341-CT'!$H$9=H417,OR(LEFT(N417,3)=$Z$7,LEFT(O417,3)=$Z$7)),"x","")</f>
        <v/>
      </c>
      <c r="AA417" s="87" t="str">
        <f>IF(OR(TH!N417=TH!$AA$7,O417=TH!$AA$7),"x","")</f>
        <v/>
      </c>
      <c r="AB417" s="87" t="str">
        <f>IF(AND(OR(N417="131",O417="131"),H417='131-CT'!$H$9),"x","")</f>
        <v/>
      </c>
      <c r="AC417" s="87"/>
      <c r="AD417" s="87" t="str">
        <f>IF(AND(MONTH(E417)='IN-NX'!$J$5,'IN-NX'!$D$7=D417),"x","")</f>
        <v/>
      </c>
      <c r="AE417" s="87" t="str">
        <f>IF(AND(OR(LEFT(TH!N417,2)="15",LEFT(TH!O417,2)="15"),'152-CT'!$J$8=TH!F417),"x","")</f>
        <v/>
      </c>
      <c r="AF417" s="87" t="str">
        <f>IF(AND(OR(LEFT(TH!N417,2)="15",LEFT(TH!O417,2)="15"),'THE KHO'!$E$7=TH!F417),"x","")</f>
        <v/>
      </c>
      <c r="AG417" s="87" t="str">
        <f>IF(AND(N417="1521",MONTH(C417)='BK NL'!$M$11),"x","")</f>
        <v/>
      </c>
    </row>
    <row r="418" spans="1:33" ht="15.75" customHeight="1">
      <c r="A418" s="399" t="str">
        <f>IF(B418&lt;&gt;"",IF(AND(B418&gt;=_TM1,B418&lt;=_TM2,OR(TH!N418="1111",TH!O418="1111")),TH!D418,""),"")</f>
        <v/>
      </c>
      <c r="B418" s="63" t="str">
        <f t="shared" si="11"/>
        <v/>
      </c>
      <c r="C418" s="64"/>
      <c r="D418" s="64"/>
      <c r="E418" s="64"/>
      <c r="F418" s="67"/>
      <c r="G418" s="362"/>
      <c r="H418" s="75"/>
      <c r="I418" s="518"/>
      <c r="J418" s="518"/>
      <c r="K418" s="509"/>
      <c r="L418" s="518"/>
      <c r="M418" s="65"/>
      <c r="N418" s="66"/>
      <c r="O418" s="66"/>
      <c r="P418" s="87" t="str">
        <f>IF(AND('331-CT'!$E$7=TH!H418,OR(N418="331",O418="331")),"x","")</f>
        <v/>
      </c>
      <c r="Q418" s="87" t="str">
        <f>IF(AND(B418='111'!$L$11,OR($N418=$Q$7,$O418=$Q$7)),"x","")</f>
        <v/>
      </c>
      <c r="R418" s="87" t="str">
        <f>IF(AND($N418=$Q$7,$B418&lt;'111'!$L$11),"x","")</f>
        <v/>
      </c>
      <c r="S418" s="87" t="str">
        <f>IF(AND($O418=$Q$7,$B418&lt;'111'!$L$11),"x","")</f>
        <v/>
      </c>
      <c r="T418" s="87" t="str">
        <f>IF(ISERROR(FIND('112'!$M$9,G418,1)),"",IF((AND(FIND('112'!$M$9,G418,1)&gt;=1,B418='112'!$K$9,OR($N418='112'!$I$6,$O418='112'!$I$6))),"x",""))</f>
        <v/>
      </c>
      <c r="U418" s="87" t="str">
        <f>IF(ISERROR(FIND('112'!$M$9,G418,1)),"",IF((AND(FIND('112'!$M$9,G418,1)&gt;=1,B418&lt;'112'!$K$9,$N418='112'!$I$6)),"x",""))</f>
        <v/>
      </c>
      <c r="V418" s="87" t="str">
        <f>IF(ISERROR(FIND('112'!$M$9,G418,1)),"",IF((AND(FIND('112'!$M$9,G418,1)&gt;=1,B418&lt;'112'!$K$9,$O418='112'!$I$6)),"x",""))</f>
        <v/>
      </c>
      <c r="W418" s="87" t="str">
        <f>IF(AND($B418&gt;='1331'!$I$9,$B418&lt;='1331'!$J$9,OR($N418=$W$7,$O418=$W$7)),"x","")</f>
        <v/>
      </c>
      <c r="X418" s="87" t="str">
        <f>IF(AND($N418=$W$7,$B418&lt;'1331'!$I$9),"x","")</f>
        <v/>
      </c>
      <c r="Y418" s="87" t="str">
        <f>IF(AND($O418=$W$7,$B418&lt;'1331'!$I$9),"x","")</f>
        <v/>
      </c>
      <c r="Z418" s="87" t="str">
        <f>IF(AND('341-CT'!$H$9=H418,OR(LEFT(N418,3)=$Z$7,LEFT(O418,3)=$Z$7)),"x","")</f>
        <v/>
      </c>
      <c r="AA418" s="87" t="str">
        <f>IF(OR(TH!N418=TH!$AA$7,O418=TH!$AA$7),"x","")</f>
        <v/>
      </c>
      <c r="AB418" s="87" t="str">
        <f>IF(AND(OR(N418="131",O418="131"),H418='131-CT'!$H$9),"x","")</f>
        <v/>
      </c>
      <c r="AC418" s="87"/>
      <c r="AD418" s="87" t="str">
        <f>IF(AND(MONTH(E418)='IN-NX'!$J$5,'IN-NX'!$D$7=D418),"x","")</f>
        <v/>
      </c>
      <c r="AE418" s="87" t="str">
        <f>IF(AND(OR(LEFT(TH!N418,2)="15",LEFT(TH!O418,2)="15"),'152-CT'!$J$8=TH!F418),"x","")</f>
        <v/>
      </c>
      <c r="AF418" s="87" t="str">
        <f>IF(AND(OR(LEFT(TH!N418,2)="15",LEFT(TH!O418,2)="15"),'THE KHO'!$E$7=TH!F418),"x","")</f>
        <v/>
      </c>
      <c r="AG418" s="87" t="str">
        <f>IF(AND(N418="1521",MONTH(C418)='BK NL'!$M$11),"x","")</f>
        <v/>
      </c>
    </row>
    <row r="419" spans="1:33" ht="15.75" customHeight="1">
      <c r="A419" s="399" t="str">
        <f>IF(B419&lt;&gt;"",IF(AND(B419&gt;=_TM1,B419&lt;=_TM2,OR(TH!N419="1111",TH!O419="1111")),TH!D419,""),"")</f>
        <v/>
      </c>
      <c r="B419" s="63" t="str">
        <f t="shared" si="11"/>
        <v/>
      </c>
      <c r="C419" s="64"/>
      <c r="D419" s="64"/>
      <c r="E419" s="64"/>
      <c r="F419" s="67"/>
      <c r="G419" s="362"/>
      <c r="H419" s="75"/>
      <c r="I419" s="518"/>
      <c r="J419" s="518"/>
      <c r="K419" s="509"/>
      <c r="L419" s="518"/>
      <c r="M419" s="65"/>
      <c r="N419" s="66"/>
      <c r="O419" s="66"/>
      <c r="P419" s="87" t="str">
        <f>IF(AND('331-CT'!$E$7=TH!H419,OR(N419="331",O419="331")),"x","")</f>
        <v/>
      </c>
      <c r="Q419" s="87" t="str">
        <f>IF(AND(B419='111'!$L$11,OR($N419=$Q$7,$O419=$Q$7)),"x","")</f>
        <v/>
      </c>
      <c r="R419" s="87" t="str">
        <f>IF(AND($N419=$Q$7,$B419&lt;'111'!$L$11),"x","")</f>
        <v/>
      </c>
      <c r="S419" s="87" t="str">
        <f>IF(AND($O419=$Q$7,$B419&lt;'111'!$L$11),"x","")</f>
        <v/>
      </c>
      <c r="T419" s="87" t="str">
        <f>IF(ISERROR(FIND('112'!$M$9,G419,1)),"",IF((AND(FIND('112'!$M$9,G419,1)&gt;=1,B419='112'!$K$9,OR($N419='112'!$I$6,$O419='112'!$I$6))),"x",""))</f>
        <v/>
      </c>
      <c r="U419" s="87" t="str">
        <f>IF(ISERROR(FIND('112'!$M$9,G419,1)),"",IF((AND(FIND('112'!$M$9,G419,1)&gt;=1,B419&lt;'112'!$K$9,$N419='112'!$I$6)),"x",""))</f>
        <v/>
      </c>
      <c r="V419" s="87" t="str">
        <f>IF(ISERROR(FIND('112'!$M$9,G419,1)),"",IF((AND(FIND('112'!$M$9,G419,1)&gt;=1,B419&lt;'112'!$K$9,$O419='112'!$I$6)),"x",""))</f>
        <v/>
      </c>
      <c r="W419" s="87" t="str">
        <f>IF(AND($B419&gt;='1331'!$I$9,$B419&lt;='1331'!$J$9,OR($N419=$W$7,$O419=$W$7)),"x","")</f>
        <v/>
      </c>
      <c r="X419" s="87" t="str">
        <f>IF(AND($N419=$W$7,$B419&lt;'1331'!$I$9),"x","")</f>
        <v/>
      </c>
      <c r="Y419" s="87" t="str">
        <f>IF(AND($O419=$W$7,$B419&lt;'1331'!$I$9),"x","")</f>
        <v/>
      </c>
      <c r="Z419" s="87" t="str">
        <f>IF(AND('341-CT'!$H$9=H419,OR(LEFT(N419,3)=$Z$7,LEFT(O419,3)=$Z$7)),"x","")</f>
        <v/>
      </c>
      <c r="AA419" s="87" t="str">
        <f>IF(OR(TH!N419=TH!$AA$7,O419=TH!$AA$7),"x","")</f>
        <v/>
      </c>
      <c r="AB419" s="87" t="str">
        <f>IF(AND(OR(N419="131",O419="131"),H419='131-CT'!$H$9),"x","")</f>
        <v/>
      </c>
      <c r="AC419" s="87"/>
      <c r="AD419" s="87" t="str">
        <f>IF(AND(MONTH(E419)='IN-NX'!$J$5,'IN-NX'!$D$7=D419),"x","")</f>
        <v/>
      </c>
      <c r="AE419" s="87" t="str">
        <f>IF(AND(OR(LEFT(TH!N419,2)="15",LEFT(TH!O419,2)="15"),'152-CT'!$J$8=TH!F419),"x","")</f>
        <v/>
      </c>
      <c r="AF419" s="87" t="str">
        <f>IF(AND(OR(LEFT(TH!N419,2)="15",LEFT(TH!O419,2)="15"),'THE KHO'!$E$7=TH!F419),"x","")</f>
        <v/>
      </c>
      <c r="AG419" s="87" t="str">
        <f>IF(AND(N419="1521",MONTH(C419)='BK NL'!$M$11),"x","")</f>
        <v/>
      </c>
    </row>
    <row r="420" spans="1:33" ht="15.75" customHeight="1">
      <c r="A420" s="399" t="str">
        <f>IF(B420&lt;&gt;"",IF(AND(B420&gt;=_TM1,B420&lt;=_TM2,OR(TH!N420="1111",TH!O420="1111")),TH!D420,""),"")</f>
        <v/>
      </c>
      <c r="B420" s="63" t="str">
        <f t="shared" si="11"/>
        <v/>
      </c>
      <c r="C420" s="64"/>
      <c r="D420" s="64"/>
      <c r="E420" s="64"/>
      <c r="F420" s="67"/>
      <c r="G420" s="362"/>
      <c r="H420" s="75"/>
      <c r="I420" s="518"/>
      <c r="J420" s="518"/>
      <c r="K420" s="509"/>
      <c r="L420" s="518"/>
      <c r="M420" s="65"/>
      <c r="N420" s="66"/>
      <c r="O420" s="66"/>
      <c r="P420" s="87" t="str">
        <f>IF(AND('331-CT'!$E$7=TH!H420,OR(N420="331",O420="331")),"x","")</f>
        <v/>
      </c>
      <c r="Q420" s="87" t="str">
        <f>IF(AND(B420='111'!$L$11,OR($N420=$Q$7,$O420=$Q$7)),"x","")</f>
        <v/>
      </c>
      <c r="R420" s="87" t="str">
        <f>IF(AND($N420=$Q$7,$B420&lt;'111'!$L$11),"x","")</f>
        <v/>
      </c>
      <c r="S420" s="87" t="str">
        <f>IF(AND($O420=$Q$7,$B420&lt;'111'!$L$11),"x","")</f>
        <v/>
      </c>
      <c r="T420" s="87" t="str">
        <f>IF(ISERROR(FIND('112'!$M$9,G420,1)),"",IF((AND(FIND('112'!$M$9,G420,1)&gt;=1,B420='112'!$K$9,OR($N420='112'!$I$6,$O420='112'!$I$6))),"x",""))</f>
        <v/>
      </c>
      <c r="U420" s="87" t="str">
        <f>IF(ISERROR(FIND('112'!$M$9,G420,1)),"",IF((AND(FIND('112'!$M$9,G420,1)&gt;=1,B420&lt;'112'!$K$9,$N420='112'!$I$6)),"x",""))</f>
        <v/>
      </c>
      <c r="V420" s="87" t="str">
        <f>IF(ISERROR(FIND('112'!$M$9,G420,1)),"",IF((AND(FIND('112'!$M$9,G420,1)&gt;=1,B420&lt;'112'!$K$9,$O420='112'!$I$6)),"x",""))</f>
        <v/>
      </c>
      <c r="W420" s="87" t="str">
        <f>IF(AND($B420&gt;='1331'!$I$9,$B420&lt;='1331'!$J$9,OR($N420=$W$7,$O420=$W$7)),"x","")</f>
        <v/>
      </c>
      <c r="X420" s="87" t="str">
        <f>IF(AND($N420=$W$7,$B420&lt;'1331'!$I$9),"x","")</f>
        <v/>
      </c>
      <c r="Y420" s="87" t="str">
        <f>IF(AND($O420=$W$7,$B420&lt;'1331'!$I$9),"x","")</f>
        <v/>
      </c>
      <c r="Z420" s="87" t="str">
        <f>IF(AND('341-CT'!$H$9=H420,OR(LEFT(N420,3)=$Z$7,LEFT(O420,3)=$Z$7)),"x","")</f>
        <v/>
      </c>
      <c r="AA420" s="87" t="str">
        <f>IF(OR(TH!N420=TH!$AA$7,O420=TH!$AA$7),"x","")</f>
        <v/>
      </c>
      <c r="AB420" s="87" t="str">
        <f>IF(AND(OR(N420="131",O420="131"),H420='131-CT'!$H$9),"x","")</f>
        <v/>
      </c>
      <c r="AC420" s="87"/>
      <c r="AD420" s="87" t="str">
        <f>IF(AND(MONTH(E420)='IN-NX'!$J$5,'IN-NX'!$D$7=D420),"x","")</f>
        <v/>
      </c>
      <c r="AE420" s="87" t="str">
        <f>IF(AND(OR(LEFT(TH!N420,2)="15",LEFT(TH!O420,2)="15"),'152-CT'!$J$8=TH!F420),"x","")</f>
        <v/>
      </c>
      <c r="AF420" s="87" t="str">
        <f>IF(AND(OR(LEFT(TH!N420,2)="15",LEFT(TH!O420,2)="15"),'THE KHO'!$E$7=TH!F420),"x","")</f>
        <v/>
      </c>
      <c r="AG420" s="87" t="str">
        <f>IF(AND(N420="1521",MONTH(C420)='BK NL'!$M$11),"x","")</f>
        <v/>
      </c>
    </row>
    <row r="421" spans="1:33" ht="15.75" customHeight="1">
      <c r="A421" s="399" t="str">
        <f>IF(B421&lt;&gt;"",IF(AND(B421&gt;=_TM1,B421&lt;=_TM2,OR(TH!N421="1111",TH!O421="1111")),TH!D421,""),"")</f>
        <v/>
      </c>
      <c r="B421" s="63" t="str">
        <f t="shared" si="11"/>
        <v/>
      </c>
      <c r="C421" s="64"/>
      <c r="D421" s="64"/>
      <c r="E421" s="64"/>
      <c r="F421" s="67"/>
      <c r="G421" s="362"/>
      <c r="H421" s="75"/>
      <c r="I421" s="518"/>
      <c r="J421" s="518"/>
      <c r="K421" s="509"/>
      <c r="L421" s="518"/>
      <c r="M421" s="65"/>
      <c r="N421" s="66"/>
      <c r="O421" s="66"/>
      <c r="P421" s="87" t="str">
        <f>IF(AND('331-CT'!$E$7=TH!H421,OR(N421="331",O421="331")),"x","")</f>
        <v/>
      </c>
      <c r="Q421" s="87" t="str">
        <f>IF(AND(B421='111'!$L$11,OR($N421=$Q$7,$O421=$Q$7)),"x","")</f>
        <v/>
      </c>
      <c r="R421" s="87" t="str">
        <f>IF(AND($N421=$Q$7,$B421&lt;'111'!$L$11),"x","")</f>
        <v/>
      </c>
      <c r="S421" s="87" t="str">
        <f>IF(AND($O421=$Q$7,$B421&lt;'111'!$L$11),"x","")</f>
        <v/>
      </c>
      <c r="T421" s="87" t="str">
        <f>IF(ISERROR(FIND('112'!$M$9,G421,1)),"",IF((AND(FIND('112'!$M$9,G421,1)&gt;=1,B421='112'!$K$9,OR($N421='112'!$I$6,$O421='112'!$I$6))),"x",""))</f>
        <v/>
      </c>
      <c r="U421" s="87" t="str">
        <f>IF(ISERROR(FIND('112'!$M$9,G421,1)),"",IF((AND(FIND('112'!$M$9,G421,1)&gt;=1,B421&lt;'112'!$K$9,$N421='112'!$I$6)),"x",""))</f>
        <v/>
      </c>
      <c r="V421" s="87" t="str">
        <f>IF(ISERROR(FIND('112'!$M$9,G421,1)),"",IF((AND(FIND('112'!$M$9,G421,1)&gt;=1,B421&lt;'112'!$K$9,$O421='112'!$I$6)),"x",""))</f>
        <v/>
      </c>
      <c r="W421" s="87" t="str">
        <f>IF(AND($B421&gt;='1331'!$I$9,$B421&lt;='1331'!$J$9,OR($N421=$W$7,$O421=$W$7)),"x","")</f>
        <v/>
      </c>
      <c r="X421" s="87" t="str">
        <f>IF(AND($N421=$W$7,$B421&lt;'1331'!$I$9),"x","")</f>
        <v/>
      </c>
      <c r="Y421" s="87" t="str">
        <f>IF(AND($O421=$W$7,$B421&lt;'1331'!$I$9),"x","")</f>
        <v/>
      </c>
      <c r="Z421" s="87" t="str">
        <f>IF(AND('341-CT'!$H$9=H421,OR(LEFT(N421,3)=$Z$7,LEFT(O421,3)=$Z$7)),"x","")</f>
        <v/>
      </c>
      <c r="AA421" s="87" t="str">
        <f>IF(OR(TH!N421=TH!$AA$7,O421=TH!$AA$7),"x","")</f>
        <v/>
      </c>
      <c r="AB421" s="87" t="str">
        <f>IF(AND(OR(N421="131",O421="131"),H421='131-CT'!$H$9),"x","")</f>
        <v/>
      </c>
      <c r="AC421" s="87"/>
      <c r="AD421" s="87" t="str">
        <f>IF(AND(MONTH(E421)='IN-NX'!$J$5,'IN-NX'!$D$7=D421),"x","")</f>
        <v/>
      </c>
      <c r="AE421" s="87" t="str">
        <f>IF(AND(OR(LEFT(TH!N421,2)="15",LEFT(TH!O421,2)="15"),'152-CT'!$J$8=TH!F421),"x","")</f>
        <v/>
      </c>
      <c r="AF421" s="87" t="str">
        <f>IF(AND(OR(LEFT(TH!N421,2)="15",LEFT(TH!O421,2)="15"),'THE KHO'!$E$7=TH!F421),"x","")</f>
        <v/>
      </c>
      <c r="AG421" s="87" t="str">
        <f>IF(AND(N421="1521",MONTH(C421)='BK NL'!$M$11),"x","")</f>
        <v/>
      </c>
    </row>
    <row r="422" spans="1:33" ht="15.75" customHeight="1">
      <c r="A422" s="399" t="str">
        <f>IF(B422&lt;&gt;"",IF(AND(B422&gt;=_TM1,B422&lt;=_TM2,OR(TH!N422="1111",TH!O422="1111")),TH!D422,""),"")</f>
        <v/>
      </c>
      <c r="B422" s="63" t="str">
        <f t="shared" si="11"/>
        <v/>
      </c>
      <c r="C422" s="64"/>
      <c r="D422" s="64"/>
      <c r="E422" s="64"/>
      <c r="F422" s="67"/>
      <c r="G422" s="362"/>
      <c r="H422" s="75"/>
      <c r="I422" s="518"/>
      <c r="J422" s="518"/>
      <c r="K422" s="509"/>
      <c r="L422" s="518"/>
      <c r="M422" s="65"/>
      <c r="N422" s="66"/>
      <c r="O422" s="66"/>
      <c r="P422" s="87" t="str">
        <f>IF(AND('331-CT'!$E$7=TH!H422,OR(N422="331",O422="331")),"x","")</f>
        <v/>
      </c>
      <c r="Q422" s="87" t="str">
        <f>IF(AND(B422='111'!$L$11,OR($N422=$Q$7,$O422=$Q$7)),"x","")</f>
        <v/>
      </c>
      <c r="R422" s="87" t="str">
        <f>IF(AND($N422=$Q$7,$B422&lt;'111'!$L$11),"x","")</f>
        <v/>
      </c>
      <c r="S422" s="87" t="str">
        <f>IF(AND($O422=$Q$7,$B422&lt;'111'!$L$11),"x","")</f>
        <v/>
      </c>
      <c r="T422" s="87" t="str">
        <f>IF(ISERROR(FIND('112'!$M$9,G422,1)),"",IF((AND(FIND('112'!$M$9,G422,1)&gt;=1,B422='112'!$K$9,OR($N422='112'!$I$6,$O422='112'!$I$6))),"x",""))</f>
        <v/>
      </c>
      <c r="U422" s="87" t="str">
        <f>IF(ISERROR(FIND('112'!$M$9,G422,1)),"",IF((AND(FIND('112'!$M$9,G422,1)&gt;=1,B422&lt;'112'!$K$9,$N422='112'!$I$6)),"x",""))</f>
        <v/>
      </c>
      <c r="V422" s="87" t="str">
        <f>IF(ISERROR(FIND('112'!$M$9,G422,1)),"",IF((AND(FIND('112'!$M$9,G422,1)&gt;=1,B422&lt;'112'!$K$9,$O422='112'!$I$6)),"x",""))</f>
        <v/>
      </c>
      <c r="W422" s="87" t="str">
        <f>IF(AND($B422&gt;='1331'!$I$9,$B422&lt;='1331'!$J$9,OR($N422=$W$7,$O422=$W$7)),"x","")</f>
        <v/>
      </c>
      <c r="X422" s="87" t="str">
        <f>IF(AND($N422=$W$7,$B422&lt;'1331'!$I$9),"x","")</f>
        <v/>
      </c>
      <c r="Y422" s="87" t="str">
        <f>IF(AND($O422=$W$7,$B422&lt;'1331'!$I$9),"x","")</f>
        <v/>
      </c>
      <c r="Z422" s="87" t="str">
        <f>IF(AND('341-CT'!$H$9=H422,OR(LEFT(N422,3)=$Z$7,LEFT(O422,3)=$Z$7)),"x","")</f>
        <v/>
      </c>
      <c r="AA422" s="87" t="str">
        <f>IF(OR(TH!N422=TH!$AA$7,O422=TH!$AA$7),"x","")</f>
        <v/>
      </c>
      <c r="AB422" s="87" t="str">
        <f>IF(AND(OR(N422="131",O422="131"),H422='131-CT'!$H$9),"x","")</f>
        <v/>
      </c>
      <c r="AC422" s="87"/>
      <c r="AD422" s="87" t="str">
        <f>IF(AND(MONTH(E422)='IN-NX'!$J$5,'IN-NX'!$D$7=D422),"x","")</f>
        <v/>
      </c>
      <c r="AE422" s="87" t="str">
        <f>IF(AND(OR(LEFT(TH!N422,2)="15",LEFT(TH!O422,2)="15"),'152-CT'!$J$8=TH!F422),"x","")</f>
        <v/>
      </c>
      <c r="AF422" s="87" t="str">
        <f>IF(AND(OR(LEFT(TH!N422,2)="15",LEFT(TH!O422,2)="15"),'THE KHO'!$E$7=TH!F422),"x","")</f>
        <v/>
      </c>
      <c r="AG422" s="87" t="str">
        <f>IF(AND(N422="1521",MONTH(C422)='BK NL'!$M$11),"x","")</f>
        <v/>
      </c>
    </row>
    <row r="423" spans="1:33" ht="15.75" customHeight="1">
      <c r="A423" s="399" t="str">
        <f>IF(B423&lt;&gt;"",IF(AND(B423&gt;=_TM1,B423&lt;=_TM2,OR(TH!N423="1111",TH!O423="1111")),TH!D423,""),"")</f>
        <v/>
      </c>
      <c r="B423" s="63" t="str">
        <f t="shared" si="11"/>
        <v/>
      </c>
      <c r="C423" s="64"/>
      <c r="D423" s="64"/>
      <c r="E423" s="64"/>
      <c r="F423" s="67"/>
      <c r="G423" s="362"/>
      <c r="H423" s="75"/>
      <c r="I423" s="518"/>
      <c r="J423" s="518"/>
      <c r="K423" s="509"/>
      <c r="L423" s="518"/>
      <c r="M423" s="65"/>
      <c r="N423" s="66"/>
      <c r="O423" s="66"/>
      <c r="P423" s="87" t="str">
        <f>IF(AND('331-CT'!$E$7=TH!H423,OR(N423="331",O423="331")),"x","")</f>
        <v/>
      </c>
      <c r="Q423" s="87" t="str">
        <f>IF(AND(B423='111'!$L$11,OR($N423=$Q$7,$O423=$Q$7)),"x","")</f>
        <v/>
      </c>
      <c r="R423" s="87" t="str">
        <f>IF(AND($N423=$Q$7,$B423&lt;'111'!$L$11),"x","")</f>
        <v/>
      </c>
      <c r="S423" s="87" t="str">
        <f>IF(AND($O423=$Q$7,$B423&lt;'111'!$L$11),"x","")</f>
        <v/>
      </c>
      <c r="T423" s="87" t="str">
        <f>IF(ISERROR(FIND('112'!$M$9,G423,1)),"",IF((AND(FIND('112'!$M$9,G423,1)&gt;=1,B423='112'!$K$9,OR($N423='112'!$I$6,$O423='112'!$I$6))),"x",""))</f>
        <v/>
      </c>
      <c r="U423" s="87" t="str">
        <f>IF(ISERROR(FIND('112'!$M$9,G423,1)),"",IF((AND(FIND('112'!$M$9,G423,1)&gt;=1,B423&lt;'112'!$K$9,$N423='112'!$I$6)),"x",""))</f>
        <v/>
      </c>
      <c r="V423" s="87" t="str">
        <f>IF(ISERROR(FIND('112'!$M$9,G423,1)),"",IF((AND(FIND('112'!$M$9,G423,1)&gt;=1,B423&lt;'112'!$K$9,$O423='112'!$I$6)),"x",""))</f>
        <v/>
      </c>
      <c r="W423" s="87" t="str">
        <f>IF(AND($B423&gt;='1331'!$I$9,$B423&lt;='1331'!$J$9,OR($N423=$W$7,$O423=$W$7)),"x","")</f>
        <v/>
      </c>
      <c r="X423" s="87" t="str">
        <f>IF(AND($N423=$W$7,$B423&lt;'1331'!$I$9),"x","")</f>
        <v/>
      </c>
      <c r="Y423" s="87" t="str">
        <f>IF(AND($O423=$W$7,$B423&lt;'1331'!$I$9),"x","")</f>
        <v/>
      </c>
      <c r="Z423" s="87" t="str">
        <f>IF(AND('341-CT'!$H$9=H423,OR(LEFT(N423,3)=$Z$7,LEFT(O423,3)=$Z$7)),"x","")</f>
        <v/>
      </c>
      <c r="AA423" s="87" t="str">
        <f>IF(OR(TH!N423=TH!$AA$7,O423=TH!$AA$7),"x","")</f>
        <v/>
      </c>
      <c r="AB423" s="87" t="str">
        <f>IF(AND(OR(N423="131",O423="131"),H423='131-CT'!$H$9),"x","")</f>
        <v/>
      </c>
      <c r="AC423" s="87"/>
      <c r="AD423" s="87" t="str">
        <f>IF(AND(MONTH(E423)='IN-NX'!$J$5,'IN-NX'!$D$7=D423),"x","")</f>
        <v/>
      </c>
      <c r="AE423" s="87" t="str">
        <f>IF(AND(OR(LEFT(TH!N423,2)="15",LEFT(TH!O423,2)="15"),'152-CT'!$J$8=TH!F423),"x","")</f>
        <v/>
      </c>
      <c r="AF423" s="87" t="str">
        <f>IF(AND(OR(LEFT(TH!N423,2)="15",LEFT(TH!O423,2)="15"),'THE KHO'!$E$7=TH!F423),"x","")</f>
        <v/>
      </c>
      <c r="AG423" s="87" t="str">
        <f>IF(AND(N423="1521",MONTH(C423)='BK NL'!$M$11),"x","")</f>
        <v/>
      </c>
    </row>
    <row r="424" spans="1:33" ht="15.75" customHeight="1">
      <c r="A424" s="399" t="str">
        <f>IF(B424&lt;&gt;"",IF(AND(B424&gt;=_TM1,B424&lt;=_TM2,OR(TH!N424="1111",TH!O424="1111")),TH!D424,""),"")</f>
        <v/>
      </c>
      <c r="B424" s="63" t="str">
        <f t="shared" si="11"/>
        <v/>
      </c>
      <c r="C424" s="64"/>
      <c r="D424" s="64"/>
      <c r="E424" s="64"/>
      <c r="F424" s="67"/>
      <c r="G424" s="362"/>
      <c r="H424" s="75"/>
      <c r="I424" s="518"/>
      <c r="J424" s="518"/>
      <c r="K424" s="509"/>
      <c r="L424" s="518"/>
      <c r="M424" s="65"/>
      <c r="N424" s="66"/>
      <c r="O424" s="66"/>
      <c r="P424" s="87" t="str">
        <f>IF(AND('331-CT'!$E$7=TH!H424,OR(N424="331",O424="331")),"x","")</f>
        <v/>
      </c>
      <c r="Q424" s="87" t="str">
        <f>IF(AND(B424='111'!$L$11,OR($N424=$Q$7,$O424=$Q$7)),"x","")</f>
        <v/>
      </c>
      <c r="R424" s="87" t="str">
        <f>IF(AND($N424=$Q$7,$B424&lt;'111'!$L$11),"x","")</f>
        <v/>
      </c>
      <c r="S424" s="87" t="str">
        <f>IF(AND($O424=$Q$7,$B424&lt;'111'!$L$11),"x","")</f>
        <v/>
      </c>
      <c r="T424" s="87" t="str">
        <f>IF(ISERROR(FIND('112'!$M$9,G424,1)),"",IF((AND(FIND('112'!$M$9,G424,1)&gt;=1,B424='112'!$K$9,OR($N424='112'!$I$6,$O424='112'!$I$6))),"x",""))</f>
        <v/>
      </c>
      <c r="U424" s="87" t="str">
        <f>IF(ISERROR(FIND('112'!$M$9,G424,1)),"",IF((AND(FIND('112'!$M$9,G424,1)&gt;=1,B424&lt;'112'!$K$9,$N424='112'!$I$6)),"x",""))</f>
        <v/>
      </c>
      <c r="V424" s="87" t="str">
        <f>IF(ISERROR(FIND('112'!$M$9,G424,1)),"",IF((AND(FIND('112'!$M$9,G424,1)&gt;=1,B424&lt;'112'!$K$9,$O424='112'!$I$6)),"x",""))</f>
        <v/>
      </c>
      <c r="W424" s="87" t="str">
        <f>IF(AND($B424&gt;='1331'!$I$9,$B424&lt;='1331'!$J$9,OR($N424=$W$7,$O424=$W$7)),"x","")</f>
        <v/>
      </c>
      <c r="X424" s="87" t="str">
        <f>IF(AND($N424=$W$7,$B424&lt;'1331'!$I$9),"x","")</f>
        <v/>
      </c>
      <c r="Y424" s="87" t="str">
        <f>IF(AND($O424=$W$7,$B424&lt;'1331'!$I$9),"x","")</f>
        <v/>
      </c>
      <c r="Z424" s="87" t="str">
        <f>IF(AND('341-CT'!$H$9=H424,OR(LEFT(N424,3)=$Z$7,LEFT(O424,3)=$Z$7)),"x","")</f>
        <v/>
      </c>
      <c r="AA424" s="87" t="str">
        <f>IF(OR(TH!N424=TH!$AA$7,O424=TH!$AA$7),"x","")</f>
        <v/>
      </c>
      <c r="AB424" s="87" t="str">
        <f>IF(AND(OR(N424="131",O424="131"),H424='131-CT'!$H$9),"x","")</f>
        <v/>
      </c>
      <c r="AC424" s="87"/>
      <c r="AD424" s="87" t="str">
        <f>IF(AND(MONTH(E424)='IN-NX'!$J$5,'IN-NX'!$D$7=D424),"x","")</f>
        <v/>
      </c>
      <c r="AE424" s="87" t="str">
        <f>IF(AND(OR(LEFT(TH!N424,2)="15",LEFT(TH!O424,2)="15"),'152-CT'!$J$8=TH!F424),"x","")</f>
        <v/>
      </c>
      <c r="AF424" s="87" t="str">
        <f>IF(AND(OR(LEFT(TH!N424,2)="15",LEFT(TH!O424,2)="15"),'THE KHO'!$E$7=TH!F424),"x","")</f>
        <v/>
      </c>
      <c r="AG424" s="87" t="str">
        <f>IF(AND(N424="1521",MONTH(C424)='BK NL'!$M$11),"x","")</f>
        <v/>
      </c>
    </row>
    <row r="425" spans="1:33" ht="15.75" customHeight="1">
      <c r="A425" s="399" t="str">
        <f>IF(B425&lt;&gt;"",IF(AND(B425&gt;=_TM1,B425&lt;=_TM2,OR(TH!N425="1111",TH!O425="1111")),TH!D425,""),"")</f>
        <v/>
      </c>
      <c r="B425" s="63" t="str">
        <f>IF(C425&lt;&gt;"",MONTH(C425),"")</f>
        <v/>
      </c>
      <c r="C425" s="64"/>
      <c r="D425" s="64"/>
      <c r="E425" s="64"/>
      <c r="F425" s="67"/>
      <c r="G425" s="362"/>
      <c r="H425" s="75"/>
      <c r="I425" s="518"/>
      <c r="J425" s="518"/>
      <c r="K425" s="509"/>
      <c r="L425" s="518"/>
      <c r="M425" s="65"/>
      <c r="N425" s="66"/>
      <c r="O425" s="66"/>
      <c r="P425" s="87" t="str">
        <f>IF(AND('331-CT'!$E$7=TH!H425,OR(N425="331",O425="331")),"x","")</f>
        <v/>
      </c>
      <c r="Q425" s="87" t="str">
        <f>IF(AND(B425='111'!$L$11,OR($N425=$Q$7,$O425=$Q$7)),"x","")</f>
        <v/>
      </c>
      <c r="R425" s="87" t="str">
        <f>IF(AND($N425=$Q$7,$B425&lt;'111'!$L$11),"x","")</f>
        <v/>
      </c>
      <c r="S425" s="87" t="str">
        <f>IF(AND($O425=$Q$7,$B425&lt;'111'!$L$11),"x","")</f>
        <v/>
      </c>
      <c r="T425" s="87" t="str">
        <f>IF(ISERROR(FIND('112'!$M$9,G425,1)),"",IF((AND(FIND('112'!$M$9,G425,1)&gt;=1,B425='112'!$K$9,OR($N425='112'!$I$6,$O425='112'!$I$6))),"x",""))</f>
        <v/>
      </c>
      <c r="U425" s="87" t="str">
        <f>IF(ISERROR(FIND('112'!$M$9,G425,1)),"",IF((AND(FIND('112'!$M$9,G425,1)&gt;=1,B425&lt;'112'!$K$9,$N425='112'!$I$6)),"x",""))</f>
        <v/>
      </c>
      <c r="V425" s="87" t="str">
        <f>IF(ISERROR(FIND('112'!$M$9,G425,1)),"",IF((AND(FIND('112'!$M$9,G425,1)&gt;=1,B425&lt;'112'!$K$9,$O425='112'!$I$6)),"x",""))</f>
        <v/>
      </c>
      <c r="W425" s="87" t="str">
        <f>IF(AND($B425&gt;='1331'!$I$9,$B425&lt;='1331'!$J$9,OR($N425=$W$7,$O425=$W$7)),"x","")</f>
        <v/>
      </c>
      <c r="X425" s="87" t="str">
        <f>IF(AND($N425=$W$7,$B425&lt;'1331'!$I$9),"x","")</f>
        <v/>
      </c>
      <c r="Y425" s="87" t="str">
        <f>IF(AND($O425=$W$7,$B425&lt;'1331'!$I$9),"x","")</f>
        <v/>
      </c>
      <c r="Z425" s="87" t="str">
        <f>IF(AND('341-CT'!$H$9=H425,OR(LEFT(N425,3)=$Z$7,LEFT(O425,3)=$Z$7)),"x","")</f>
        <v/>
      </c>
      <c r="AA425" s="87" t="str">
        <f>IF(OR(TH!N425=TH!$AA$7,O425=TH!$AA$7),"x","")</f>
        <v/>
      </c>
      <c r="AB425" s="87" t="str">
        <f>IF(AND(OR(N425="131",O425="131"),H425='131-CT'!$H$9),"x","")</f>
        <v/>
      </c>
      <c r="AC425" s="87"/>
      <c r="AD425" s="87" t="str">
        <f>IF(AND(MONTH(E425)='IN-NX'!$J$5,'IN-NX'!$D$7=D425),"x","")</f>
        <v/>
      </c>
      <c r="AE425" s="87" t="str">
        <f>IF(AND(OR(LEFT(TH!N425,2)="15",LEFT(TH!O425,2)="15"),'152-CT'!$J$8=TH!F425),"x","")</f>
        <v/>
      </c>
      <c r="AF425" s="87" t="str">
        <f>IF(AND(OR(LEFT(TH!N425,2)="15",LEFT(TH!O425,2)="15"),'THE KHO'!$E$7=TH!F425),"x","")</f>
        <v/>
      </c>
      <c r="AG425" s="87" t="str">
        <f>IF(AND(N425="1521",MONTH(C425)='BK NL'!$M$11),"x","")</f>
        <v/>
      </c>
    </row>
    <row r="426" spans="1:33" ht="15.75" customHeight="1">
      <c r="A426" s="399" t="str">
        <f>IF(B426&lt;&gt;"",IF(AND(B426&gt;=_TM1,B426&lt;=_TM2,OR(TH!N426="1111",TH!O426="1111")),TH!D426,""),"")</f>
        <v/>
      </c>
      <c r="B426" s="63" t="str">
        <f>IF(C426&lt;&gt;"",MONTH(C426),"")</f>
        <v/>
      </c>
      <c r="C426" s="64"/>
      <c r="D426" s="64"/>
      <c r="E426" s="64"/>
      <c r="F426" s="67"/>
      <c r="G426" s="362"/>
      <c r="H426" s="75"/>
      <c r="I426" s="518"/>
      <c r="J426" s="518"/>
      <c r="K426" s="509"/>
      <c r="L426" s="518"/>
      <c r="M426" s="65"/>
      <c r="N426" s="66"/>
      <c r="O426" s="66"/>
      <c r="P426" s="87" t="str">
        <f>IF(AND('331-CT'!$E$7=TH!H426,OR(N426="331",O426="331")),"x","")</f>
        <v/>
      </c>
      <c r="Q426" s="87" t="str">
        <f>IF(AND(B426='111'!$L$11,OR($N426=$Q$7,$O426=$Q$7)),"x","")</f>
        <v/>
      </c>
      <c r="R426" s="87" t="str">
        <f>IF(AND($N426=$Q$7,$B426&lt;'111'!$L$11),"x","")</f>
        <v/>
      </c>
      <c r="S426" s="87" t="str">
        <f>IF(AND($O426=$Q$7,$B426&lt;'111'!$L$11),"x","")</f>
        <v/>
      </c>
      <c r="T426" s="87" t="str">
        <f>IF(ISERROR(FIND('112'!$M$9,G426,1)),"",IF((AND(FIND('112'!$M$9,G426,1)&gt;=1,B426='112'!$K$9,OR($N426='112'!$I$6,$O426='112'!$I$6))),"x",""))</f>
        <v/>
      </c>
      <c r="U426" s="87" t="str">
        <f>IF(ISERROR(FIND('112'!$M$9,G426,1)),"",IF((AND(FIND('112'!$M$9,G426,1)&gt;=1,B426&lt;'112'!$K$9,$N426='112'!$I$6)),"x",""))</f>
        <v/>
      </c>
      <c r="V426" s="87" t="str">
        <f>IF(ISERROR(FIND('112'!$M$9,G426,1)),"",IF((AND(FIND('112'!$M$9,G426,1)&gt;=1,B426&lt;'112'!$K$9,$O426='112'!$I$6)),"x",""))</f>
        <v/>
      </c>
      <c r="W426" s="87" t="str">
        <f>IF(AND($B426&gt;='1331'!$I$9,$B426&lt;='1331'!$J$9,OR($N426=$W$7,$O426=$W$7)),"x","")</f>
        <v/>
      </c>
      <c r="X426" s="87" t="str">
        <f>IF(AND($N426=$W$7,$B426&lt;'1331'!$I$9),"x","")</f>
        <v/>
      </c>
      <c r="Y426" s="87" t="str">
        <f>IF(AND($O426=$W$7,$B426&lt;'1331'!$I$9),"x","")</f>
        <v/>
      </c>
      <c r="Z426" s="87" t="str">
        <f>IF(AND('341-CT'!$H$9=H426,OR(LEFT(N426,3)=$Z$7,LEFT(O426,3)=$Z$7)),"x","")</f>
        <v/>
      </c>
      <c r="AA426" s="87" t="str">
        <f>IF(OR(TH!N426=TH!$AA$7,O426=TH!$AA$7),"x","")</f>
        <v/>
      </c>
      <c r="AB426" s="87" t="str">
        <f>IF(AND(OR(N426="131",O426="131"),H426='131-CT'!$H$9),"x","")</f>
        <v/>
      </c>
      <c r="AC426" s="87"/>
      <c r="AD426" s="87" t="str">
        <f>IF(AND(MONTH(E426)='IN-NX'!$J$5,'IN-NX'!$D$7=D426),"x","")</f>
        <v/>
      </c>
      <c r="AE426" s="87" t="str">
        <f>IF(AND(OR(LEFT(TH!N426,2)="15",LEFT(TH!O426,2)="15"),'152-CT'!$J$8=TH!F426),"x","")</f>
        <v/>
      </c>
      <c r="AF426" s="87" t="str">
        <f>IF(AND(OR(LEFT(TH!N426,2)="15",LEFT(TH!O426,2)="15"),'THE KHO'!$E$7=TH!F426),"x","")</f>
        <v/>
      </c>
      <c r="AG426" s="87" t="str">
        <f>IF(AND(N426="1521",MONTH(C426)='BK NL'!$M$11),"x","")</f>
        <v/>
      </c>
    </row>
    <row r="427" spans="1:33" ht="15.75" customHeight="1">
      <c r="A427" s="399" t="str">
        <f>IF(B427&lt;&gt;"",IF(AND(B427&gt;=_TM1,B427&lt;=_TM2,OR(TH!N427="1111",TH!O427="1111")),TH!D427,""),"")</f>
        <v/>
      </c>
      <c r="B427" s="63" t="str">
        <f>IF(C427&lt;&gt;"",MONTH(C427),"")</f>
        <v/>
      </c>
      <c r="C427" s="64"/>
      <c r="D427" s="64"/>
      <c r="E427" s="64"/>
      <c r="F427" s="67"/>
      <c r="G427" s="362"/>
      <c r="H427" s="75"/>
      <c r="I427" s="518"/>
      <c r="J427" s="518"/>
      <c r="K427" s="509"/>
      <c r="L427" s="518"/>
      <c r="M427" s="65"/>
      <c r="N427" s="66"/>
      <c r="O427" s="66"/>
      <c r="P427" s="87" t="str">
        <f>IF(AND('331-CT'!$E$7=TH!H427,OR(N427="331",O427="331")),"x","")</f>
        <v/>
      </c>
      <c r="Q427" s="87" t="str">
        <f>IF(AND(B427='111'!$L$11,OR($N427=$Q$7,$O427=$Q$7)),"x","")</f>
        <v/>
      </c>
      <c r="R427" s="87" t="str">
        <f>IF(AND($N427=$Q$7,$B427&lt;'111'!$L$11),"x","")</f>
        <v/>
      </c>
      <c r="S427" s="87" t="str">
        <f>IF(AND($O427=$Q$7,$B427&lt;'111'!$L$11),"x","")</f>
        <v/>
      </c>
      <c r="T427" s="87" t="str">
        <f>IF(ISERROR(FIND('112'!$M$9,G427,1)),"",IF((AND(FIND('112'!$M$9,G427,1)&gt;=1,B427='112'!$K$9,OR($N427='112'!$I$6,$O427='112'!$I$6))),"x",""))</f>
        <v/>
      </c>
      <c r="U427" s="87" t="str">
        <f>IF(ISERROR(FIND('112'!$M$9,G427,1)),"",IF((AND(FIND('112'!$M$9,G427,1)&gt;=1,B427&lt;'112'!$K$9,$N427='112'!$I$6)),"x",""))</f>
        <v/>
      </c>
      <c r="V427" s="87" t="str">
        <f>IF(ISERROR(FIND('112'!$M$9,G427,1)),"",IF((AND(FIND('112'!$M$9,G427,1)&gt;=1,B427&lt;'112'!$K$9,$O427='112'!$I$6)),"x",""))</f>
        <v/>
      </c>
      <c r="W427" s="87" t="str">
        <f>IF(AND($B427&gt;='1331'!$I$9,$B427&lt;='1331'!$J$9,OR($N427=$W$7,$O427=$W$7)),"x","")</f>
        <v/>
      </c>
      <c r="X427" s="87" t="str">
        <f>IF(AND($N427=$W$7,$B427&lt;'1331'!$I$9),"x","")</f>
        <v/>
      </c>
      <c r="Y427" s="87" t="str">
        <f>IF(AND($O427=$W$7,$B427&lt;'1331'!$I$9),"x","")</f>
        <v/>
      </c>
      <c r="Z427" s="87" t="str">
        <f>IF(AND('341-CT'!$H$9=H427,OR(LEFT(N427,3)=$Z$7,LEFT(O427,3)=$Z$7)),"x","")</f>
        <v/>
      </c>
      <c r="AA427" s="87" t="str">
        <f>IF(OR(TH!N427=TH!$AA$7,O427=TH!$AA$7),"x","")</f>
        <v/>
      </c>
      <c r="AB427" s="87" t="str">
        <f>IF(AND(OR(N427="131",O427="131"),H427='131-CT'!$H$9),"x","")</f>
        <v/>
      </c>
      <c r="AC427" s="87"/>
      <c r="AD427" s="87" t="str">
        <f>IF(AND(MONTH(E427)='IN-NX'!$J$5,'IN-NX'!$D$7=D427),"x","")</f>
        <v/>
      </c>
      <c r="AE427" s="87" t="str">
        <f>IF(AND(OR(LEFT(TH!N427,2)="15",LEFT(TH!O427,2)="15"),'152-CT'!$J$8=TH!F427),"x","")</f>
        <v/>
      </c>
      <c r="AF427" s="87" t="str">
        <f>IF(AND(OR(LEFT(TH!N427,2)="15",LEFT(TH!O427,2)="15"),'THE KHO'!$E$7=TH!F427),"x","")</f>
        <v/>
      </c>
      <c r="AG427" s="87" t="str">
        <f>IF(AND(N427="1521",MONTH(C427)='BK NL'!$M$11),"x","")</f>
        <v/>
      </c>
    </row>
    <row r="428" spans="1:33" ht="15.75" customHeight="1">
      <c r="A428" s="399" t="str">
        <f>IF(B428&lt;&gt;"",IF(AND(B428&gt;=_TM1,B428&lt;=_TM2,OR(TH!N428="1111",TH!O428="1111")),TH!D428,""),"")</f>
        <v/>
      </c>
      <c r="B428" s="63" t="str">
        <f>IF(C428&lt;&gt;"",MONTH(C428),"")</f>
        <v/>
      </c>
      <c r="C428" s="64"/>
      <c r="D428" s="64"/>
      <c r="E428" s="64"/>
      <c r="F428" s="67"/>
      <c r="G428" s="362"/>
      <c r="H428" s="75"/>
      <c r="I428" s="518"/>
      <c r="J428" s="518"/>
      <c r="K428" s="509"/>
      <c r="L428" s="518"/>
      <c r="M428" s="65"/>
      <c r="N428" s="66"/>
      <c r="O428" s="66"/>
      <c r="P428" s="87" t="str">
        <f>IF(AND('331-CT'!$E$7=TH!H428,OR(N428="331",O428="331")),"x","")</f>
        <v/>
      </c>
      <c r="Q428" s="87" t="str">
        <f>IF(AND(B428='111'!$L$11,OR($N428=$Q$7,$O428=$Q$7)),"x","")</f>
        <v/>
      </c>
      <c r="R428" s="87" t="str">
        <f>IF(AND($N428=$Q$7,$B428&lt;'111'!$L$11),"x","")</f>
        <v/>
      </c>
      <c r="S428" s="87" t="str">
        <f>IF(AND($O428=$Q$7,$B428&lt;'111'!$L$11),"x","")</f>
        <v/>
      </c>
      <c r="T428" s="87" t="str">
        <f>IF(ISERROR(FIND('112'!$M$9,G428,1)),"",IF((AND(FIND('112'!$M$9,G428,1)&gt;=1,B428='112'!$K$9,OR($N428='112'!$I$6,$O428='112'!$I$6))),"x",""))</f>
        <v/>
      </c>
      <c r="U428" s="87" t="str">
        <f>IF(ISERROR(FIND('112'!$M$9,G428,1)),"",IF((AND(FIND('112'!$M$9,G428,1)&gt;=1,B428&lt;'112'!$K$9,$N428='112'!$I$6)),"x",""))</f>
        <v/>
      </c>
      <c r="V428" s="87" t="str">
        <f>IF(ISERROR(FIND('112'!$M$9,G428,1)),"",IF((AND(FIND('112'!$M$9,G428,1)&gt;=1,B428&lt;'112'!$K$9,$O428='112'!$I$6)),"x",""))</f>
        <v/>
      </c>
      <c r="W428" s="87" t="str">
        <f>IF(AND($B428&gt;='1331'!$I$9,$B428&lt;='1331'!$J$9,OR($N428=$W$7,$O428=$W$7)),"x","")</f>
        <v/>
      </c>
      <c r="X428" s="87" t="str">
        <f>IF(AND($N428=$W$7,$B428&lt;'1331'!$I$9),"x","")</f>
        <v/>
      </c>
      <c r="Y428" s="87" t="str">
        <f>IF(AND($O428=$W$7,$B428&lt;'1331'!$I$9),"x","")</f>
        <v/>
      </c>
      <c r="Z428" s="87" t="str">
        <f>IF(AND('341-CT'!$H$9=H428,OR(LEFT(N428,3)=$Z$7,LEFT(O428,3)=$Z$7)),"x","")</f>
        <v/>
      </c>
      <c r="AA428" s="87" t="str">
        <f>IF(OR(TH!N428=TH!$AA$7,O428=TH!$AA$7),"x","")</f>
        <v/>
      </c>
      <c r="AB428" s="87" t="str">
        <f>IF(AND(OR(N428="131",O428="131"),H428='131-CT'!$H$9),"x","")</f>
        <v/>
      </c>
      <c r="AC428" s="87"/>
      <c r="AD428" s="87" t="str">
        <f>IF(AND(MONTH(E428)='IN-NX'!$J$5,'IN-NX'!$D$7=D428),"x","")</f>
        <v/>
      </c>
      <c r="AE428" s="87" t="str">
        <f>IF(AND(OR(LEFT(TH!N428,2)="15",LEFT(TH!O428,2)="15"),'152-CT'!$J$8=TH!F428),"x","")</f>
        <v/>
      </c>
      <c r="AF428" s="87" t="str">
        <f>IF(AND(OR(LEFT(TH!N428,2)="15",LEFT(TH!O428,2)="15"),'THE KHO'!$E$7=TH!F428),"x","")</f>
        <v/>
      </c>
      <c r="AG428" s="87" t="str">
        <f>IF(AND(N428="1521",MONTH(C428)='BK NL'!$M$11),"x","")</f>
        <v/>
      </c>
    </row>
    <row r="429" spans="1:33" ht="15.75" customHeight="1">
      <c r="A429" s="399" t="str">
        <f>IF(B429&lt;&gt;"",IF(AND(B429&gt;=_TM1,B429&lt;=_TM2,OR(TH!N429="1111",TH!O429="1111")),TH!D429,""),"")</f>
        <v/>
      </c>
      <c r="B429" s="63" t="str">
        <f>IF(C429&lt;&gt;"",MONTH(C429),"")</f>
        <v/>
      </c>
      <c r="C429" s="64"/>
      <c r="D429" s="64"/>
      <c r="E429" s="64"/>
      <c r="F429" s="67"/>
      <c r="G429" s="362"/>
      <c r="H429" s="75"/>
      <c r="I429" s="518"/>
      <c r="J429" s="518"/>
      <c r="K429" s="509"/>
      <c r="L429" s="518"/>
      <c r="M429" s="65"/>
      <c r="N429" s="66"/>
      <c r="O429" s="66"/>
      <c r="P429" s="87" t="str">
        <f>IF(AND('331-CT'!$E$7=TH!H429,OR(N429="331",O429="331")),"x","")</f>
        <v/>
      </c>
      <c r="Q429" s="87" t="str">
        <f>IF(AND(B429='111'!$L$11,OR($N429=$Q$7,$O429=$Q$7)),"x","")</f>
        <v/>
      </c>
      <c r="R429" s="87" t="str">
        <f>IF(AND($N429=$Q$7,$B429&lt;'111'!$L$11),"x","")</f>
        <v/>
      </c>
      <c r="S429" s="87" t="str">
        <f>IF(AND($O429=$Q$7,$B429&lt;'111'!$L$11),"x","")</f>
        <v/>
      </c>
      <c r="T429" s="87" t="str">
        <f>IF(ISERROR(FIND('112'!$M$9,G429,1)),"",IF((AND(FIND('112'!$M$9,G429,1)&gt;=1,B429='112'!$K$9,OR($N429='112'!$I$6,$O429='112'!$I$6))),"x",""))</f>
        <v/>
      </c>
      <c r="U429" s="87" t="str">
        <f>IF(ISERROR(FIND('112'!$M$9,G429,1)),"",IF((AND(FIND('112'!$M$9,G429,1)&gt;=1,B429&lt;'112'!$K$9,$N429='112'!$I$6)),"x",""))</f>
        <v/>
      </c>
      <c r="V429" s="87" t="str">
        <f>IF(ISERROR(FIND('112'!$M$9,G429,1)),"",IF((AND(FIND('112'!$M$9,G429,1)&gt;=1,B429&lt;'112'!$K$9,$O429='112'!$I$6)),"x",""))</f>
        <v/>
      </c>
      <c r="W429" s="87" t="str">
        <f>IF(AND($B429&gt;='1331'!$I$9,$B429&lt;='1331'!$J$9,OR($N429=$W$7,$O429=$W$7)),"x","")</f>
        <v/>
      </c>
      <c r="X429" s="87" t="str">
        <f>IF(AND($N429=$W$7,$B429&lt;'1331'!$I$9),"x","")</f>
        <v/>
      </c>
      <c r="Y429" s="87" t="str">
        <f>IF(AND($O429=$W$7,$B429&lt;'1331'!$I$9),"x","")</f>
        <v/>
      </c>
      <c r="Z429" s="87" t="str">
        <f>IF(AND('341-CT'!$H$9=H429,OR(LEFT(N429,3)=$Z$7,LEFT(O429,3)=$Z$7)),"x","")</f>
        <v/>
      </c>
      <c r="AA429" s="87" t="str">
        <f>IF(OR(TH!N429=TH!$AA$7,O429=TH!$AA$7),"x","")</f>
        <v/>
      </c>
      <c r="AB429" s="87" t="str">
        <f>IF(AND(OR(N429="131",O429="131"),H429='131-CT'!$H$9),"x","")</f>
        <v/>
      </c>
      <c r="AC429" s="87"/>
      <c r="AD429" s="87" t="str">
        <f>IF(AND(MONTH(E429)='IN-NX'!$J$5,'IN-NX'!$D$7=D429),"x","")</f>
        <v/>
      </c>
      <c r="AE429" s="87" t="str">
        <f>IF(AND(OR(LEFT(TH!N429,2)="15",LEFT(TH!O429,2)="15"),'152-CT'!$J$8=TH!F429),"x","")</f>
        <v/>
      </c>
      <c r="AF429" s="87" t="str">
        <f>IF(AND(OR(LEFT(TH!N429,2)="15",LEFT(TH!O429,2)="15"),'THE KHO'!$E$7=TH!F429),"x","")</f>
        <v/>
      </c>
      <c r="AG429" s="87" t="str">
        <f>IF(AND(N429="1521",MONTH(C429)='BK NL'!$M$11),"x","")</f>
        <v/>
      </c>
    </row>
    <row r="430" spans="1:33" ht="15.75" customHeight="1">
      <c r="A430" s="399" t="str">
        <f>IF(B430&lt;&gt;"",IF(AND(B430&gt;=_TM1,B430&lt;=_TM2,OR(TH!N430="1111",TH!O430="1111")),TH!D430,""),"")</f>
        <v/>
      </c>
      <c r="B430" s="63" t="str">
        <f t="shared" ref="B430:B493" si="12">IF(C430&lt;&gt;"",MONTH(C430),"")</f>
        <v/>
      </c>
      <c r="C430" s="363"/>
      <c r="D430" s="363"/>
      <c r="E430" s="363"/>
      <c r="F430" s="364"/>
      <c r="G430" s="381"/>
      <c r="H430" s="365"/>
      <c r="I430" s="518"/>
      <c r="J430" s="518"/>
      <c r="K430" s="509"/>
      <c r="L430" s="518"/>
      <c r="M430" s="65"/>
      <c r="N430" s="366"/>
      <c r="O430" s="366"/>
      <c r="P430" s="87" t="str">
        <f>IF(AND('331-CT'!$E$7=TH!H430,OR(N430="331",O430="331")),"x","")</f>
        <v/>
      </c>
      <c r="Q430" s="87" t="str">
        <f>IF(AND(B430='111'!$L$11,OR($N430=$Q$7,$O430=$Q$7)),"x","")</f>
        <v/>
      </c>
      <c r="R430" s="87" t="str">
        <f>IF(AND($N430=$Q$7,$B430&lt;'111'!$L$11),"x","")</f>
        <v/>
      </c>
      <c r="S430" s="87" t="str">
        <f>IF(AND($O430=$Q$7,$B430&lt;'111'!$L$11),"x","")</f>
        <v/>
      </c>
      <c r="T430" s="87" t="str">
        <f>IF(ISERROR(FIND('112'!$M$9,G430,1)),"",IF((AND(FIND('112'!$M$9,G430,1)&gt;=1,B430='112'!$K$9,OR($N430='112'!$I$6,$O430='112'!$I$6))),"x",""))</f>
        <v/>
      </c>
      <c r="U430" s="87" t="str">
        <f>IF(ISERROR(FIND('112'!$M$9,G430,1)),"",IF((AND(FIND('112'!$M$9,G430,1)&gt;=1,B430&lt;'112'!$K$9,$N430='112'!$I$6)),"x",""))</f>
        <v/>
      </c>
      <c r="V430" s="87" t="str">
        <f>IF(ISERROR(FIND('112'!$M$9,G430,1)),"",IF((AND(FIND('112'!$M$9,G430,1)&gt;=1,B430&lt;'112'!$K$9,$O430='112'!$I$6)),"x",""))</f>
        <v/>
      </c>
      <c r="W430" s="87" t="str">
        <f>IF(AND($B430&gt;='1331'!$I$9,$B430&lt;='1331'!$J$9,OR($N430=$W$7,$O430=$W$7)),"x","")</f>
        <v/>
      </c>
      <c r="X430" s="87" t="str">
        <f>IF(AND($N430=$W$7,$B430&lt;'1331'!$I$9),"x","")</f>
        <v/>
      </c>
      <c r="Y430" s="87" t="str">
        <f>IF(AND($O430=$W$7,$B430&lt;'1331'!$I$9),"x","")</f>
        <v/>
      </c>
      <c r="Z430" s="87" t="str">
        <f>IF(AND('341-CT'!$H$9=H430,OR(LEFT(N430,3)=$Z$7,LEFT(O430,3)=$Z$7)),"x","")</f>
        <v/>
      </c>
      <c r="AA430" s="87" t="str">
        <f>IF(OR(TH!N430=TH!$AA$7,O430=TH!$AA$7),"x","")</f>
        <v/>
      </c>
      <c r="AB430" s="87" t="str">
        <f>IF(AND(OR(N430="131",O430="131"),H430='131-CT'!$H$9),"x","")</f>
        <v/>
      </c>
      <c r="AC430" s="87"/>
      <c r="AD430" s="87" t="str">
        <f>IF(AND(MONTH(E430)='IN-NX'!$J$5,'IN-NX'!$D$7=D430),"x","")</f>
        <v/>
      </c>
      <c r="AE430" s="87" t="str">
        <f>IF(AND(OR(LEFT(TH!N430,2)="15",LEFT(TH!O430,2)="15"),'152-CT'!$J$8=TH!F430),"x","")</f>
        <v/>
      </c>
      <c r="AF430" s="87" t="str">
        <f>IF(AND(OR(LEFT(TH!N430,2)="15",LEFT(TH!O430,2)="15"),'THE KHO'!$E$7=TH!F430),"x","")</f>
        <v/>
      </c>
      <c r="AG430" s="87" t="str">
        <f>IF(AND(N430="1521",MONTH(C430)='BK NL'!$M$11),"x","")</f>
        <v/>
      </c>
    </row>
    <row r="431" spans="1:33" ht="15.75" customHeight="1">
      <c r="A431" s="399" t="str">
        <f>IF(B431&lt;&gt;"",IF(AND(B431&gt;=_TM1,B431&lt;=_TM2,OR(TH!N431="1111",TH!O431="1111")),TH!D431,""),"")</f>
        <v/>
      </c>
      <c r="B431" s="63" t="str">
        <f t="shared" si="12"/>
        <v/>
      </c>
      <c r="C431" s="363"/>
      <c r="D431" s="363"/>
      <c r="E431" s="363"/>
      <c r="F431" s="364"/>
      <c r="G431" s="381"/>
      <c r="H431" s="365"/>
      <c r="I431" s="518"/>
      <c r="J431" s="518"/>
      <c r="K431" s="509"/>
      <c r="L431" s="518"/>
      <c r="M431" s="65"/>
      <c r="N431" s="366"/>
      <c r="O431" s="366"/>
      <c r="P431" s="87" t="str">
        <f>IF(AND('331-CT'!$E$7=TH!H431,OR(N431="331",O431="331")),"x","")</f>
        <v/>
      </c>
      <c r="Q431" s="87" t="str">
        <f>IF(AND(B431='111'!$L$11,OR($N431=$Q$7,$O431=$Q$7)),"x","")</f>
        <v/>
      </c>
      <c r="R431" s="87" t="str">
        <f>IF(AND($N431=$Q$7,$B431&lt;'111'!$L$11),"x","")</f>
        <v/>
      </c>
      <c r="S431" s="87" t="str">
        <f>IF(AND($O431=$Q$7,$B431&lt;'111'!$L$11),"x","")</f>
        <v/>
      </c>
      <c r="T431" s="87" t="str">
        <f>IF(ISERROR(FIND('112'!$M$9,G431,1)),"",IF((AND(FIND('112'!$M$9,G431,1)&gt;=1,B431='112'!$K$9,OR($N431='112'!$I$6,$O431='112'!$I$6))),"x",""))</f>
        <v/>
      </c>
      <c r="U431" s="87" t="str">
        <f>IF(ISERROR(FIND('112'!$M$9,G431,1)),"",IF((AND(FIND('112'!$M$9,G431,1)&gt;=1,B431&lt;'112'!$K$9,$N431='112'!$I$6)),"x",""))</f>
        <v/>
      </c>
      <c r="V431" s="87" t="str">
        <f>IF(ISERROR(FIND('112'!$M$9,G431,1)),"",IF((AND(FIND('112'!$M$9,G431,1)&gt;=1,B431&lt;'112'!$K$9,$O431='112'!$I$6)),"x",""))</f>
        <v/>
      </c>
      <c r="W431" s="87" t="str">
        <f>IF(AND($B431&gt;='1331'!$I$9,$B431&lt;='1331'!$J$9,OR($N431=$W$7,$O431=$W$7)),"x","")</f>
        <v/>
      </c>
      <c r="X431" s="87" t="str">
        <f>IF(AND($N431=$W$7,$B431&lt;'1331'!$I$9),"x","")</f>
        <v/>
      </c>
      <c r="Y431" s="87" t="str">
        <f>IF(AND($O431=$W$7,$B431&lt;'1331'!$I$9),"x","")</f>
        <v/>
      </c>
      <c r="Z431" s="87" t="str">
        <f>IF(AND('341-CT'!$H$9=H431,OR(LEFT(N431,3)=$Z$7,LEFT(O431,3)=$Z$7)),"x","")</f>
        <v/>
      </c>
      <c r="AA431" s="87" t="str">
        <f>IF(OR(TH!N431=TH!$AA$7,O431=TH!$AA$7),"x","")</f>
        <v/>
      </c>
      <c r="AB431" s="87" t="str">
        <f>IF(AND(OR(N431="131",O431="131"),H431='131-CT'!$H$9),"x","")</f>
        <v/>
      </c>
      <c r="AC431" s="87"/>
      <c r="AD431" s="87" t="str">
        <f>IF(AND(MONTH(E431)='IN-NX'!$J$5,'IN-NX'!$D$7=D431),"x","")</f>
        <v/>
      </c>
      <c r="AE431" s="87" t="str">
        <f>IF(AND(OR(LEFT(TH!N431,2)="15",LEFT(TH!O431,2)="15"),'152-CT'!$J$8=TH!F431),"x","")</f>
        <v/>
      </c>
      <c r="AF431" s="87" t="str">
        <f>IF(AND(OR(LEFT(TH!N431,2)="15",LEFT(TH!O431,2)="15"),'THE KHO'!$E$7=TH!F431),"x","")</f>
        <v/>
      </c>
      <c r="AG431" s="87" t="str">
        <f>IF(AND(N431="1521",MONTH(C431)='BK NL'!$M$11),"x","")</f>
        <v/>
      </c>
    </row>
    <row r="432" spans="1:33" ht="15.75" customHeight="1">
      <c r="A432" s="399" t="str">
        <f>IF(B432&lt;&gt;"",IF(AND(B432&gt;=_TM1,B432&lt;=_TM2,OR(TH!N432="1111",TH!O432="1111")),TH!D432,""),"")</f>
        <v/>
      </c>
      <c r="B432" s="63" t="str">
        <f t="shared" si="12"/>
        <v/>
      </c>
      <c r="C432" s="363"/>
      <c r="D432" s="363"/>
      <c r="E432" s="363"/>
      <c r="F432" s="364"/>
      <c r="G432" s="381"/>
      <c r="H432" s="365"/>
      <c r="I432" s="518"/>
      <c r="J432" s="518"/>
      <c r="K432" s="509"/>
      <c r="L432" s="518"/>
      <c r="M432" s="65"/>
      <c r="N432" s="366"/>
      <c r="O432" s="366"/>
      <c r="P432" s="87" t="str">
        <f>IF(AND('331-CT'!$E$7=TH!H432,OR(N432="331",O432="331")),"x","")</f>
        <v/>
      </c>
      <c r="Q432" s="87" t="str">
        <f>IF(AND(B432='111'!$L$11,OR($N432=$Q$7,$O432=$Q$7)),"x","")</f>
        <v/>
      </c>
      <c r="R432" s="87" t="str">
        <f>IF(AND($N432=$Q$7,$B432&lt;'111'!$L$11),"x","")</f>
        <v/>
      </c>
      <c r="S432" s="87" t="str">
        <f>IF(AND($O432=$Q$7,$B432&lt;'111'!$L$11),"x","")</f>
        <v/>
      </c>
      <c r="T432" s="87" t="str">
        <f>IF(ISERROR(FIND('112'!$M$9,G432,1)),"",IF((AND(FIND('112'!$M$9,G432,1)&gt;=1,B432='112'!$K$9,OR($N432='112'!$I$6,$O432='112'!$I$6))),"x",""))</f>
        <v/>
      </c>
      <c r="U432" s="87" t="str">
        <f>IF(ISERROR(FIND('112'!$M$9,G432,1)),"",IF((AND(FIND('112'!$M$9,G432,1)&gt;=1,B432&lt;'112'!$K$9,$N432='112'!$I$6)),"x",""))</f>
        <v/>
      </c>
      <c r="V432" s="87" t="str">
        <f>IF(ISERROR(FIND('112'!$M$9,G432,1)),"",IF((AND(FIND('112'!$M$9,G432,1)&gt;=1,B432&lt;'112'!$K$9,$O432='112'!$I$6)),"x",""))</f>
        <v/>
      </c>
      <c r="W432" s="87" t="str">
        <f>IF(AND($B432&gt;='1331'!$I$9,$B432&lt;='1331'!$J$9,OR($N432=$W$7,$O432=$W$7)),"x","")</f>
        <v/>
      </c>
      <c r="X432" s="87" t="str">
        <f>IF(AND($N432=$W$7,$B432&lt;'1331'!$I$9),"x","")</f>
        <v/>
      </c>
      <c r="Y432" s="87" t="str">
        <f>IF(AND($O432=$W$7,$B432&lt;'1331'!$I$9),"x","")</f>
        <v/>
      </c>
      <c r="Z432" s="87" t="str">
        <f>IF(AND('341-CT'!$H$9=H432,OR(LEFT(N432,3)=$Z$7,LEFT(O432,3)=$Z$7)),"x","")</f>
        <v/>
      </c>
      <c r="AA432" s="87" t="str">
        <f>IF(OR(TH!N432=TH!$AA$7,O432=TH!$AA$7),"x","")</f>
        <v/>
      </c>
      <c r="AB432" s="87" t="str">
        <f>IF(AND(OR(N432="131",O432="131"),H432='131-CT'!$H$9),"x","")</f>
        <v/>
      </c>
      <c r="AC432" s="87"/>
      <c r="AD432" s="87" t="str">
        <f>IF(AND(MONTH(E432)='IN-NX'!$J$5,'IN-NX'!$D$7=D432),"x","")</f>
        <v/>
      </c>
      <c r="AE432" s="87" t="str">
        <f>IF(AND(OR(LEFT(TH!N432,2)="15",LEFT(TH!O432,2)="15"),'152-CT'!$J$8=TH!F432),"x","")</f>
        <v/>
      </c>
      <c r="AF432" s="87" t="str">
        <f>IF(AND(OR(LEFT(TH!N432,2)="15",LEFT(TH!O432,2)="15"),'THE KHO'!$E$7=TH!F432),"x","")</f>
        <v/>
      </c>
      <c r="AG432" s="87" t="str">
        <f>IF(AND(N432="1521",MONTH(C432)='BK NL'!$M$11),"x","")</f>
        <v/>
      </c>
    </row>
    <row r="433" spans="1:33" ht="15.75" customHeight="1">
      <c r="A433" s="399" t="str">
        <f>IF(B433&lt;&gt;"",IF(AND(B433&gt;=_TM1,B433&lt;=_TM2,OR(TH!N433="1111",TH!O433="1111")),TH!D433,""),"")</f>
        <v/>
      </c>
      <c r="B433" s="63" t="str">
        <f t="shared" si="12"/>
        <v/>
      </c>
      <c r="C433" s="363"/>
      <c r="D433" s="363"/>
      <c r="E433" s="363"/>
      <c r="F433" s="364"/>
      <c r="G433" s="381"/>
      <c r="H433" s="365"/>
      <c r="I433" s="518"/>
      <c r="J433" s="518"/>
      <c r="K433" s="509"/>
      <c r="L433" s="518"/>
      <c r="M433" s="65"/>
      <c r="N433" s="366"/>
      <c r="O433" s="366"/>
      <c r="P433" s="87" t="str">
        <f>IF(AND('331-CT'!$E$7=TH!H433,OR(N433="331",O433="331")),"x","")</f>
        <v/>
      </c>
      <c r="Q433" s="87" t="str">
        <f>IF(AND(B433='111'!$L$11,OR($N433=$Q$7,$O433=$Q$7)),"x","")</f>
        <v/>
      </c>
      <c r="R433" s="87" t="str">
        <f>IF(AND($N433=$Q$7,$B433&lt;'111'!$L$11),"x","")</f>
        <v/>
      </c>
      <c r="S433" s="87" t="str">
        <f>IF(AND($O433=$Q$7,$B433&lt;'111'!$L$11),"x","")</f>
        <v/>
      </c>
      <c r="T433" s="87" t="str">
        <f>IF(ISERROR(FIND('112'!$M$9,G433,1)),"",IF((AND(FIND('112'!$M$9,G433,1)&gt;=1,B433='112'!$K$9,OR($N433='112'!$I$6,$O433='112'!$I$6))),"x",""))</f>
        <v/>
      </c>
      <c r="U433" s="87" t="str">
        <f>IF(ISERROR(FIND('112'!$M$9,G433,1)),"",IF((AND(FIND('112'!$M$9,G433,1)&gt;=1,B433&lt;'112'!$K$9,$N433='112'!$I$6)),"x",""))</f>
        <v/>
      </c>
      <c r="V433" s="87" t="str">
        <f>IF(ISERROR(FIND('112'!$M$9,G433,1)),"",IF((AND(FIND('112'!$M$9,G433,1)&gt;=1,B433&lt;'112'!$K$9,$O433='112'!$I$6)),"x",""))</f>
        <v/>
      </c>
      <c r="W433" s="87" t="str">
        <f>IF(AND($B433&gt;='1331'!$I$9,$B433&lt;='1331'!$J$9,OR($N433=$W$7,$O433=$W$7)),"x","")</f>
        <v/>
      </c>
      <c r="X433" s="87" t="str">
        <f>IF(AND($N433=$W$7,$B433&lt;'1331'!$I$9),"x","")</f>
        <v/>
      </c>
      <c r="Y433" s="87" t="str">
        <f>IF(AND($O433=$W$7,$B433&lt;'1331'!$I$9),"x","")</f>
        <v/>
      </c>
      <c r="Z433" s="87" t="str">
        <f>IF(AND('341-CT'!$H$9=H433,OR(LEFT(N433,3)=$Z$7,LEFT(O433,3)=$Z$7)),"x","")</f>
        <v/>
      </c>
      <c r="AA433" s="87" t="str">
        <f>IF(OR(TH!N433=TH!$AA$7,O433=TH!$AA$7),"x","")</f>
        <v/>
      </c>
      <c r="AB433" s="87" t="str">
        <f>IF(AND(OR(N433="131",O433="131"),H433='131-CT'!$H$9),"x","")</f>
        <v/>
      </c>
      <c r="AC433" s="87"/>
      <c r="AD433" s="87" t="str">
        <f>IF(AND(MONTH(E433)='IN-NX'!$J$5,'IN-NX'!$D$7=D433),"x","")</f>
        <v/>
      </c>
      <c r="AE433" s="87" t="str">
        <f>IF(AND(OR(LEFT(TH!N433,2)="15",LEFT(TH!O433,2)="15"),'152-CT'!$J$8=TH!F433),"x","")</f>
        <v/>
      </c>
      <c r="AF433" s="87" t="str">
        <f>IF(AND(OR(LEFT(TH!N433,2)="15",LEFT(TH!O433,2)="15"),'THE KHO'!$E$7=TH!F433),"x","")</f>
        <v/>
      </c>
      <c r="AG433" s="87" t="str">
        <f>IF(AND(N433="1521",MONTH(C433)='BK NL'!$M$11),"x","")</f>
        <v/>
      </c>
    </row>
    <row r="434" spans="1:33" ht="15.75" customHeight="1">
      <c r="A434" s="399" t="str">
        <f>IF(B434&lt;&gt;"",IF(AND(B434&gt;=_TM1,B434&lt;=_TM2,OR(TH!N434="1111",TH!O434="1111")),TH!D434,""),"")</f>
        <v/>
      </c>
      <c r="B434" s="63" t="str">
        <f t="shared" si="12"/>
        <v/>
      </c>
      <c r="C434" s="363"/>
      <c r="D434" s="363"/>
      <c r="E434" s="363"/>
      <c r="F434" s="364"/>
      <c r="G434" s="381"/>
      <c r="H434" s="365"/>
      <c r="I434" s="518"/>
      <c r="J434" s="518"/>
      <c r="K434" s="509"/>
      <c r="L434" s="518"/>
      <c r="M434" s="65"/>
      <c r="N434" s="366"/>
      <c r="O434" s="366"/>
      <c r="P434" s="87" t="str">
        <f>IF(AND('331-CT'!$E$7=TH!H434,OR(N434="331",O434="331")),"x","")</f>
        <v/>
      </c>
      <c r="Q434" s="87" t="str">
        <f>IF(AND(B434='111'!$L$11,OR($N434=$Q$7,$O434=$Q$7)),"x","")</f>
        <v/>
      </c>
      <c r="R434" s="87" t="str">
        <f>IF(AND($N434=$Q$7,$B434&lt;'111'!$L$11),"x","")</f>
        <v/>
      </c>
      <c r="S434" s="87" t="str">
        <f>IF(AND($O434=$Q$7,$B434&lt;'111'!$L$11),"x","")</f>
        <v/>
      </c>
      <c r="T434" s="87" t="str">
        <f>IF(ISERROR(FIND('112'!$M$9,G434,1)),"",IF((AND(FIND('112'!$M$9,G434,1)&gt;=1,B434='112'!$K$9,OR($N434='112'!$I$6,$O434='112'!$I$6))),"x",""))</f>
        <v/>
      </c>
      <c r="U434" s="87" t="str">
        <f>IF(ISERROR(FIND('112'!$M$9,G434,1)),"",IF((AND(FIND('112'!$M$9,G434,1)&gt;=1,B434&lt;'112'!$K$9,$N434='112'!$I$6)),"x",""))</f>
        <v/>
      </c>
      <c r="V434" s="87" t="str">
        <f>IF(ISERROR(FIND('112'!$M$9,G434,1)),"",IF((AND(FIND('112'!$M$9,G434,1)&gt;=1,B434&lt;'112'!$K$9,$O434='112'!$I$6)),"x",""))</f>
        <v/>
      </c>
      <c r="W434" s="87" t="str">
        <f>IF(AND($B434&gt;='1331'!$I$9,$B434&lt;='1331'!$J$9,OR($N434=$W$7,$O434=$W$7)),"x","")</f>
        <v/>
      </c>
      <c r="X434" s="87" t="str">
        <f>IF(AND($N434=$W$7,$B434&lt;'1331'!$I$9),"x","")</f>
        <v/>
      </c>
      <c r="Y434" s="87" t="str">
        <f>IF(AND($O434=$W$7,$B434&lt;'1331'!$I$9),"x","")</f>
        <v/>
      </c>
      <c r="Z434" s="87" t="str">
        <f>IF(AND('341-CT'!$H$9=H434,OR(LEFT(N434,3)=$Z$7,LEFT(O434,3)=$Z$7)),"x","")</f>
        <v/>
      </c>
      <c r="AA434" s="87" t="str">
        <f>IF(OR(TH!N434=TH!$AA$7,O434=TH!$AA$7),"x","")</f>
        <v/>
      </c>
      <c r="AB434" s="87" t="str">
        <f>IF(AND(OR(N434="131",O434="131"),H434='131-CT'!$H$9),"x","")</f>
        <v/>
      </c>
      <c r="AC434" s="87"/>
      <c r="AD434" s="87" t="str">
        <f>IF(AND(MONTH(E434)='IN-NX'!$J$5,'IN-NX'!$D$7=D434),"x","")</f>
        <v/>
      </c>
      <c r="AE434" s="87" t="str">
        <f>IF(AND(OR(LEFT(TH!N434,2)="15",LEFT(TH!O434,2)="15"),'152-CT'!$J$8=TH!F434),"x","")</f>
        <v/>
      </c>
      <c r="AF434" s="87" t="str">
        <f>IF(AND(OR(LEFT(TH!N434,2)="15",LEFT(TH!O434,2)="15"),'THE KHO'!$E$7=TH!F434),"x","")</f>
        <v/>
      </c>
      <c r="AG434" s="87" t="str">
        <f>IF(AND(N434="1521",MONTH(C434)='BK NL'!$M$11),"x","")</f>
        <v/>
      </c>
    </row>
    <row r="435" spans="1:33" ht="15.75" customHeight="1">
      <c r="A435" s="399" t="str">
        <f>IF(B435&lt;&gt;"",IF(AND(B435&gt;=_TM1,B435&lt;=_TM2,OR(TH!N435="1111",TH!O435="1111")),TH!D435,""),"")</f>
        <v/>
      </c>
      <c r="B435" s="63" t="str">
        <f t="shared" si="12"/>
        <v/>
      </c>
      <c r="C435" s="363"/>
      <c r="D435" s="363"/>
      <c r="E435" s="363"/>
      <c r="F435" s="364"/>
      <c r="G435" s="381"/>
      <c r="H435" s="365"/>
      <c r="I435" s="518"/>
      <c r="J435" s="518"/>
      <c r="K435" s="509"/>
      <c r="L435" s="518"/>
      <c r="M435" s="65"/>
      <c r="N435" s="366"/>
      <c r="O435" s="366"/>
      <c r="P435" s="87" t="str">
        <f>IF(AND('331-CT'!$E$7=TH!H435,OR(N435="331",O435="331")),"x","")</f>
        <v/>
      </c>
      <c r="Q435" s="87" t="str">
        <f>IF(AND(B435='111'!$L$11,OR($N435=$Q$7,$O435=$Q$7)),"x","")</f>
        <v/>
      </c>
      <c r="R435" s="87" t="str">
        <f>IF(AND($N435=$Q$7,$B435&lt;'111'!$L$11),"x","")</f>
        <v/>
      </c>
      <c r="S435" s="87" t="str">
        <f>IF(AND($O435=$Q$7,$B435&lt;'111'!$L$11),"x","")</f>
        <v/>
      </c>
      <c r="T435" s="87" t="str">
        <f>IF(ISERROR(FIND('112'!$M$9,G435,1)),"",IF((AND(FIND('112'!$M$9,G435,1)&gt;=1,B435='112'!$K$9,OR($N435='112'!$I$6,$O435='112'!$I$6))),"x",""))</f>
        <v/>
      </c>
      <c r="U435" s="87" t="str">
        <f>IF(ISERROR(FIND('112'!$M$9,G435,1)),"",IF((AND(FIND('112'!$M$9,G435,1)&gt;=1,B435&lt;'112'!$K$9,$N435='112'!$I$6)),"x",""))</f>
        <v/>
      </c>
      <c r="V435" s="87" t="str">
        <f>IF(ISERROR(FIND('112'!$M$9,G435,1)),"",IF((AND(FIND('112'!$M$9,G435,1)&gt;=1,B435&lt;'112'!$K$9,$O435='112'!$I$6)),"x",""))</f>
        <v/>
      </c>
      <c r="W435" s="87" t="str">
        <f>IF(AND($B435&gt;='1331'!$I$9,$B435&lt;='1331'!$J$9,OR($N435=$W$7,$O435=$W$7)),"x","")</f>
        <v/>
      </c>
      <c r="X435" s="87" t="str">
        <f>IF(AND($N435=$W$7,$B435&lt;'1331'!$I$9),"x","")</f>
        <v/>
      </c>
      <c r="Y435" s="87" t="str">
        <f>IF(AND($O435=$W$7,$B435&lt;'1331'!$I$9),"x","")</f>
        <v/>
      </c>
      <c r="Z435" s="87" t="str">
        <f>IF(AND('341-CT'!$H$9=H435,OR(LEFT(N435,3)=$Z$7,LEFT(O435,3)=$Z$7)),"x","")</f>
        <v/>
      </c>
      <c r="AA435" s="87" t="str">
        <f>IF(OR(TH!N435=TH!$AA$7,O435=TH!$AA$7),"x","")</f>
        <v/>
      </c>
      <c r="AB435" s="87" t="str">
        <f>IF(AND(OR(N435="131",O435="131"),H435='131-CT'!$H$9),"x","")</f>
        <v/>
      </c>
      <c r="AC435" s="87"/>
      <c r="AD435" s="87" t="str">
        <f>IF(AND(MONTH(E435)='IN-NX'!$J$5,'IN-NX'!$D$7=D435),"x","")</f>
        <v/>
      </c>
      <c r="AE435" s="87" t="str">
        <f>IF(AND(OR(LEFT(TH!N435,2)="15",LEFT(TH!O435,2)="15"),'152-CT'!$J$8=TH!F435),"x","")</f>
        <v/>
      </c>
      <c r="AF435" s="87" t="str">
        <f>IF(AND(OR(LEFT(TH!N435,2)="15",LEFT(TH!O435,2)="15"),'THE KHO'!$E$7=TH!F435),"x","")</f>
        <v/>
      </c>
      <c r="AG435" s="87" t="str">
        <f>IF(AND(N435="1521",MONTH(C435)='BK NL'!$M$11),"x","")</f>
        <v/>
      </c>
    </row>
    <row r="436" spans="1:33" ht="15.75" customHeight="1">
      <c r="A436" s="399" t="str">
        <f>IF(B436&lt;&gt;"",IF(AND(B436&gt;=_TM1,B436&lt;=_TM2,OR(TH!N436="1111",TH!O436="1111")),TH!D436,""),"")</f>
        <v/>
      </c>
      <c r="B436" s="63" t="str">
        <f t="shared" si="12"/>
        <v/>
      </c>
      <c r="C436" s="363"/>
      <c r="D436" s="363"/>
      <c r="E436" s="363"/>
      <c r="F436" s="364"/>
      <c r="G436" s="381"/>
      <c r="H436" s="365"/>
      <c r="I436" s="518"/>
      <c r="J436" s="518"/>
      <c r="K436" s="509"/>
      <c r="L436" s="518"/>
      <c r="M436" s="65"/>
      <c r="N436" s="366"/>
      <c r="O436" s="366"/>
      <c r="P436" s="87" t="str">
        <f>IF(AND('331-CT'!$E$7=TH!H436,OR(N436="331",O436="331")),"x","")</f>
        <v/>
      </c>
      <c r="Q436" s="87" t="str">
        <f>IF(AND(B436='111'!$L$11,OR($N436=$Q$7,$O436=$Q$7)),"x","")</f>
        <v/>
      </c>
      <c r="R436" s="87" t="str">
        <f>IF(AND($N436=$Q$7,$B436&lt;'111'!$L$11),"x","")</f>
        <v/>
      </c>
      <c r="S436" s="87" t="str">
        <f>IF(AND($O436=$Q$7,$B436&lt;'111'!$L$11),"x","")</f>
        <v/>
      </c>
      <c r="T436" s="87" t="str">
        <f>IF(ISERROR(FIND('112'!$M$9,G436,1)),"",IF((AND(FIND('112'!$M$9,G436,1)&gt;=1,B436='112'!$K$9,OR($N436='112'!$I$6,$O436='112'!$I$6))),"x",""))</f>
        <v/>
      </c>
      <c r="U436" s="87" t="str">
        <f>IF(ISERROR(FIND('112'!$M$9,G436,1)),"",IF((AND(FIND('112'!$M$9,G436,1)&gt;=1,B436&lt;'112'!$K$9,$N436='112'!$I$6)),"x",""))</f>
        <v/>
      </c>
      <c r="V436" s="87" t="str">
        <f>IF(ISERROR(FIND('112'!$M$9,G436,1)),"",IF((AND(FIND('112'!$M$9,G436,1)&gt;=1,B436&lt;'112'!$K$9,$O436='112'!$I$6)),"x",""))</f>
        <v/>
      </c>
      <c r="W436" s="87" t="str">
        <f>IF(AND($B436&gt;='1331'!$I$9,$B436&lt;='1331'!$J$9,OR($N436=$W$7,$O436=$W$7)),"x","")</f>
        <v/>
      </c>
      <c r="X436" s="87" t="str">
        <f>IF(AND($N436=$W$7,$B436&lt;'1331'!$I$9),"x","")</f>
        <v/>
      </c>
      <c r="Y436" s="87" t="str">
        <f>IF(AND($O436=$W$7,$B436&lt;'1331'!$I$9),"x","")</f>
        <v/>
      </c>
      <c r="Z436" s="87" t="str">
        <f>IF(AND('341-CT'!$H$9=H436,OR(LEFT(N436,3)=$Z$7,LEFT(O436,3)=$Z$7)),"x","")</f>
        <v/>
      </c>
      <c r="AA436" s="87" t="str">
        <f>IF(OR(TH!N436=TH!$AA$7,O436=TH!$AA$7),"x","")</f>
        <v/>
      </c>
      <c r="AB436" s="87" t="str">
        <f>IF(AND(OR(N436="131",O436="131"),H436='131-CT'!$H$9),"x","")</f>
        <v/>
      </c>
      <c r="AC436" s="87"/>
      <c r="AD436" s="87" t="str">
        <f>IF(AND(MONTH(E436)='IN-NX'!$J$5,'IN-NX'!$D$7=D436),"x","")</f>
        <v/>
      </c>
      <c r="AE436" s="87" t="str">
        <f>IF(AND(OR(LEFT(TH!N436,2)="15",LEFT(TH!O436,2)="15"),'152-CT'!$J$8=TH!F436),"x","")</f>
        <v/>
      </c>
      <c r="AF436" s="87" t="str">
        <f>IF(AND(OR(LEFT(TH!N436,2)="15",LEFT(TH!O436,2)="15"),'THE KHO'!$E$7=TH!F436),"x","")</f>
        <v/>
      </c>
      <c r="AG436" s="87" t="str">
        <f>IF(AND(N436="1521",MONTH(C436)='BK NL'!$M$11),"x","")</f>
        <v/>
      </c>
    </row>
    <row r="437" spans="1:33" ht="15.75" customHeight="1">
      <c r="A437" s="399" t="str">
        <f>IF(B437&lt;&gt;"",IF(AND(B437&gt;=_TM1,B437&lt;=_TM2,OR(TH!N437="1111",TH!O437="1111")),TH!D437,""),"")</f>
        <v/>
      </c>
      <c r="B437" s="63" t="str">
        <f t="shared" si="12"/>
        <v/>
      </c>
      <c r="C437" s="363"/>
      <c r="D437" s="363"/>
      <c r="E437" s="363"/>
      <c r="F437" s="364"/>
      <c r="G437" s="381"/>
      <c r="H437" s="365"/>
      <c r="I437" s="518"/>
      <c r="J437" s="518"/>
      <c r="K437" s="509"/>
      <c r="L437" s="518"/>
      <c r="M437" s="65"/>
      <c r="N437" s="366"/>
      <c r="O437" s="366"/>
      <c r="P437" s="87" t="str">
        <f>IF(AND('331-CT'!$E$7=TH!H437,OR(N437="331",O437="331")),"x","")</f>
        <v/>
      </c>
      <c r="Q437" s="87" t="str">
        <f>IF(AND(B437='111'!$L$11,OR($N437=$Q$7,$O437=$Q$7)),"x","")</f>
        <v/>
      </c>
      <c r="R437" s="87" t="str">
        <f>IF(AND($N437=$Q$7,$B437&lt;'111'!$L$11),"x","")</f>
        <v/>
      </c>
      <c r="S437" s="87" t="str">
        <f>IF(AND($O437=$Q$7,$B437&lt;'111'!$L$11),"x","")</f>
        <v/>
      </c>
      <c r="T437" s="87" t="str">
        <f>IF(ISERROR(FIND('112'!$M$9,G437,1)),"",IF((AND(FIND('112'!$M$9,G437,1)&gt;=1,B437='112'!$K$9,OR($N437='112'!$I$6,$O437='112'!$I$6))),"x",""))</f>
        <v/>
      </c>
      <c r="U437" s="87" t="str">
        <f>IF(ISERROR(FIND('112'!$M$9,G437,1)),"",IF((AND(FIND('112'!$M$9,G437,1)&gt;=1,B437&lt;'112'!$K$9,$N437='112'!$I$6)),"x",""))</f>
        <v/>
      </c>
      <c r="V437" s="87" t="str">
        <f>IF(ISERROR(FIND('112'!$M$9,G437,1)),"",IF((AND(FIND('112'!$M$9,G437,1)&gt;=1,B437&lt;'112'!$K$9,$O437='112'!$I$6)),"x",""))</f>
        <v/>
      </c>
      <c r="W437" s="87" t="str">
        <f>IF(AND($B437&gt;='1331'!$I$9,$B437&lt;='1331'!$J$9,OR($N437=$W$7,$O437=$W$7)),"x","")</f>
        <v/>
      </c>
      <c r="X437" s="87" t="str">
        <f>IF(AND($N437=$W$7,$B437&lt;'1331'!$I$9),"x","")</f>
        <v/>
      </c>
      <c r="Y437" s="87" t="str">
        <f>IF(AND($O437=$W$7,$B437&lt;'1331'!$I$9),"x","")</f>
        <v/>
      </c>
      <c r="Z437" s="87" t="str">
        <f>IF(AND('341-CT'!$H$9=H437,OR(LEFT(N437,3)=$Z$7,LEFT(O437,3)=$Z$7)),"x","")</f>
        <v/>
      </c>
      <c r="AA437" s="87" t="str">
        <f>IF(OR(TH!N437=TH!$AA$7,O437=TH!$AA$7),"x","")</f>
        <v/>
      </c>
      <c r="AB437" s="87" t="str">
        <f>IF(AND(OR(N437="131",O437="131"),H437='131-CT'!$H$9),"x","")</f>
        <v/>
      </c>
      <c r="AC437" s="87"/>
      <c r="AD437" s="87" t="str">
        <f>IF(AND(MONTH(E437)='IN-NX'!$J$5,'IN-NX'!$D$7=D437),"x","")</f>
        <v/>
      </c>
      <c r="AE437" s="87" t="str">
        <f>IF(AND(OR(LEFT(TH!N437,2)="15",LEFT(TH!O437,2)="15"),'152-CT'!$J$8=TH!F437),"x","")</f>
        <v/>
      </c>
      <c r="AF437" s="87" t="str">
        <f>IF(AND(OR(LEFT(TH!N437,2)="15",LEFT(TH!O437,2)="15"),'THE KHO'!$E$7=TH!F437),"x","")</f>
        <v/>
      </c>
      <c r="AG437" s="87" t="str">
        <f>IF(AND(N437="1521",MONTH(C437)='BK NL'!$M$11),"x","")</f>
        <v/>
      </c>
    </row>
    <row r="438" spans="1:33" ht="15.75" customHeight="1">
      <c r="A438" s="399" t="str">
        <f>IF(B438&lt;&gt;"",IF(AND(B438&gt;=_TM1,B438&lt;=_TM2,OR(TH!N438="1111",TH!O438="1111")),TH!D438,""),"")</f>
        <v/>
      </c>
      <c r="B438" s="63" t="str">
        <f t="shared" si="12"/>
        <v/>
      </c>
      <c r="C438" s="363"/>
      <c r="D438" s="363"/>
      <c r="E438" s="363"/>
      <c r="F438" s="364"/>
      <c r="G438" s="381"/>
      <c r="H438" s="365"/>
      <c r="I438" s="518"/>
      <c r="J438" s="518"/>
      <c r="K438" s="509"/>
      <c r="L438" s="518"/>
      <c r="M438" s="65"/>
      <c r="N438" s="366"/>
      <c r="O438" s="366"/>
      <c r="P438" s="87" t="str">
        <f>IF(AND('331-CT'!$E$7=TH!H438,OR(N438="331",O438="331")),"x","")</f>
        <v/>
      </c>
      <c r="Q438" s="87" t="str">
        <f>IF(AND(B438='111'!$L$11,OR($N438=$Q$7,$O438=$Q$7)),"x","")</f>
        <v/>
      </c>
      <c r="R438" s="87" t="str">
        <f>IF(AND($N438=$Q$7,$B438&lt;'111'!$L$11),"x","")</f>
        <v/>
      </c>
      <c r="S438" s="87" t="str">
        <f>IF(AND($O438=$Q$7,$B438&lt;'111'!$L$11),"x","")</f>
        <v/>
      </c>
      <c r="T438" s="87" t="str">
        <f>IF(ISERROR(FIND('112'!$M$9,G438,1)),"",IF((AND(FIND('112'!$M$9,G438,1)&gt;=1,B438='112'!$K$9,OR($N438='112'!$I$6,$O438='112'!$I$6))),"x",""))</f>
        <v/>
      </c>
      <c r="U438" s="87" t="str">
        <f>IF(ISERROR(FIND('112'!$M$9,G438,1)),"",IF((AND(FIND('112'!$M$9,G438,1)&gt;=1,B438&lt;'112'!$K$9,$N438='112'!$I$6)),"x",""))</f>
        <v/>
      </c>
      <c r="V438" s="87" t="str">
        <f>IF(ISERROR(FIND('112'!$M$9,G438,1)),"",IF((AND(FIND('112'!$M$9,G438,1)&gt;=1,B438&lt;'112'!$K$9,$O438='112'!$I$6)),"x",""))</f>
        <v/>
      </c>
      <c r="W438" s="87" t="str">
        <f>IF(AND($B438&gt;='1331'!$I$9,$B438&lt;='1331'!$J$9,OR($N438=$W$7,$O438=$W$7)),"x","")</f>
        <v/>
      </c>
      <c r="X438" s="87" t="str">
        <f>IF(AND($N438=$W$7,$B438&lt;'1331'!$I$9),"x","")</f>
        <v/>
      </c>
      <c r="Y438" s="87" t="str">
        <f>IF(AND($O438=$W$7,$B438&lt;'1331'!$I$9),"x","")</f>
        <v/>
      </c>
      <c r="Z438" s="87" t="str">
        <f>IF(AND('341-CT'!$H$9=H438,OR(LEFT(N438,3)=$Z$7,LEFT(O438,3)=$Z$7)),"x","")</f>
        <v/>
      </c>
      <c r="AA438" s="87" t="str">
        <f>IF(OR(TH!N438=TH!$AA$7,O438=TH!$AA$7),"x","")</f>
        <v/>
      </c>
      <c r="AB438" s="87" t="str">
        <f>IF(AND(OR(N438="131",O438="131"),H438='131-CT'!$H$9),"x","")</f>
        <v/>
      </c>
      <c r="AC438" s="87"/>
      <c r="AD438" s="87" t="str">
        <f>IF(AND(MONTH(E438)='IN-NX'!$J$5,'IN-NX'!$D$7=D438),"x","")</f>
        <v/>
      </c>
      <c r="AE438" s="87" t="str">
        <f>IF(AND(OR(LEFT(TH!N438,2)="15",LEFT(TH!O438,2)="15"),'152-CT'!$J$8=TH!F438),"x","")</f>
        <v/>
      </c>
      <c r="AF438" s="87" t="str">
        <f>IF(AND(OR(LEFT(TH!N438,2)="15",LEFT(TH!O438,2)="15"),'THE KHO'!$E$7=TH!F438),"x","")</f>
        <v/>
      </c>
      <c r="AG438" s="87" t="str">
        <f>IF(AND(N438="1521",MONTH(C438)='BK NL'!$M$11),"x","")</f>
        <v/>
      </c>
    </row>
    <row r="439" spans="1:33" ht="15.75" customHeight="1">
      <c r="A439" s="399" t="str">
        <f>IF(B439&lt;&gt;"",IF(AND(B439&gt;=_TM1,B439&lt;=_TM2,OR(TH!N439="1111",TH!O439="1111")),TH!D439,""),"")</f>
        <v/>
      </c>
      <c r="B439" s="63" t="str">
        <f t="shared" si="12"/>
        <v/>
      </c>
      <c r="C439" s="363"/>
      <c r="D439" s="363"/>
      <c r="E439" s="363"/>
      <c r="F439" s="364"/>
      <c r="G439" s="381"/>
      <c r="H439" s="365"/>
      <c r="I439" s="518"/>
      <c r="J439" s="518"/>
      <c r="K439" s="509"/>
      <c r="L439" s="518"/>
      <c r="M439" s="65"/>
      <c r="N439" s="366"/>
      <c r="O439" s="366"/>
      <c r="P439" s="87" t="str">
        <f>IF(AND('331-CT'!$E$7=TH!H439,OR(N439="331",O439="331")),"x","")</f>
        <v/>
      </c>
      <c r="Q439" s="87" t="str">
        <f>IF(AND(B439='111'!$L$11,OR($N439=$Q$7,$O439=$Q$7)),"x","")</f>
        <v/>
      </c>
      <c r="R439" s="87" t="str">
        <f>IF(AND($N439=$Q$7,$B439&lt;'111'!$L$11),"x","")</f>
        <v/>
      </c>
      <c r="S439" s="87" t="str">
        <f>IF(AND($O439=$Q$7,$B439&lt;'111'!$L$11),"x","")</f>
        <v/>
      </c>
      <c r="T439" s="87" t="str">
        <f>IF(ISERROR(FIND('112'!$M$9,G439,1)),"",IF((AND(FIND('112'!$M$9,G439,1)&gt;=1,B439='112'!$K$9,OR($N439='112'!$I$6,$O439='112'!$I$6))),"x",""))</f>
        <v/>
      </c>
      <c r="U439" s="87" t="str">
        <f>IF(ISERROR(FIND('112'!$M$9,G439,1)),"",IF((AND(FIND('112'!$M$9,G439,1)&gt;=1,B439&lt;'112'!$K$9,$N439='112'!$I$6)),"x",""))</f>
        <v/>
      </c>
      <c r="V439" s="87" t="str">
        <f>IF(ISERROR(FIND('112'!$M$9,G439,1)),"",IF((AND(FIND('112'!$M$9,G439,1)&gt;=1,B439&lt;'112'!$K$9,$O439='112'!$I$6)),"x",""))</f>
        <v/>
      </c>
      <c r="W439" s="87" t="str">
        <f>IF(AND($B439&gt;='1331'!$I$9,$B439&lt;='1331'!$J$9,OR($N439=$W$7,$O439=$W$7)),"x","")</f>
        <v/>
      </c>
      <c r="X439" s="87" t="str">
        <f>IF(AND($N439=$W$7,$B439&lt;'1331'!$I$9),"x","")</f>
        <v/>
      </c>
      <c r="Y439" s="87" t="str">
        <f>IF(AND($O439=$W$7,$B439&lt;'1331'!$I$9),"x","")</f>
        <v/>
      </c>
      <c r="Z439" s="87" t="str">
        <f>IF(AND('341-CT'!$H$9=H439,OR(LEFT(N439,3)=$Z$7,LEFT(O439,3)=$Z$7)),"x","")</f>
        <v/>
      </c>
      <c r="AA439" s="87" t="str">
        <f>IF(OR(TH!N439=TH!$AA$7,O439=TH!$AA$7),"x","")</f>
        <v/>
      </c>
      <c r="AB439" s="87" t="str">
        <f>IF(AND(OR(N439="131",O439="131"),H439='131-CT'!$H$9),"x","")</f>
        <v/>
      </c>
      <c r="AC439" s="87"/>
      <c r="AD439" s="87" t="str">
        <f>IF(AND(MONTH(E439)='IN-NX'!$J$5,'IN-NX'!$D$7=D439),"x","")</f>
        <v/>
      </c>
      <c r="AE439" s="87" t="str">
        <f>IF(AND(OR(LEFT(TH!N439,2)="15",LEFT(TH!O439,2)="15"),'152-CT'!$J$8=TH!F439),"x","")</f>
        <v/>
      </c>
      <c r="AF439" s="87" t="str">
        <f>IF(AND(OR(LEFT(TH!N439,2)="15",LEFT(TH!O439,2)="15"),'THE KHO'!$E$7=TH!F439),"x","")</f>
        <v/>
      </c>
      <c r="AG439" s="87" t="str">
        <f>IF(AND(N439="1521",MONTH(C439)='BK NL'!$M$11),"x","")</f>
        <v/>
      </c>
    </row>
    <row r="440" spans="1:33" ht="15.75" customHeight="1">
      <c r="A440" s="399" t="str">
        <f>IF(B440&lt;&gt;"",IF(AND(B440&gt;=_TM1,B440&lt;=_TM2,OR(TH!N440="1111",TH!O440="1111")),TH!D440,""),"")</f>
        <v/>
      </c>
      <c r="B440" s="63" t="str">
        <f t="shared" si="12"/>
        <v/>
      </c>
      <c r="C440" s="363"/>
      <c r="D440" s="363"/>
      <c r="E440" s="363"/>
      <c r="F440" s="364"/>
      <c r="G440" s="381"/>
      <c r="H440" s="365"/>
      <c r="I440" s="518"/>
      <c r="J440" s="518"/>
      <c r="K440" s="509"/>
      <c r="L440" s="518"/>
      <c r="M440" s="65"/>
      <c r="N440" s="366"/>
      <c r="O440" s="366"/>
      <c r="P440" s="87" t="str">
        <f>IF(AND('331-CT'!$E$7=TH!H440,OR(N440="331",O440="331")),"x","")</f>
        <v/>
      </c>
      <c r="Q440" s="87" t="str">
        <f>IF(AND(B440='111'!$L$11,OR($N440=$Q$7,$O440=$Q$7)),"x","")</f>
        <v/>
      </c>
      <c r="R440" s="87" t="str">
        <f>IF(AND($N440=$Q$7,$B440&lt;'111'!$L$11),"x","")</f>
        <v/>
      </c>
      <c r="S440" s="87" t="str">
        <f>IF(AND($O440=$Q$7,$B440&lt;'111'!$L$11),"x","")</f>
        <v/>
      </c>
      <c r="T440" s="87" t="str">
        <f>IF(ISERROR(FIND('112'!$M$9,G440,1)),"",IF((AND(FIND('112'!$M$9,G440,1)&gt;=1,B440='112'!$K$9,OR($N440='112'!$I$6,$O440='112'!$I$6))),"x",""))</f>
        <v/>
      </c>
      <c r="U440" s="87" t="str">
        <f>IF(ISERROR(FIND('112'!$M$9,G440,1)),"",IF((AND(FIND('112'!$M$9,G440,1)&gt;=1,B440&lt;'112'!$K$9,$N440='112'!$I$6)),"x",""))</f>
        <v/>
      </c>
      <c r="V440" s="87" t="str">
        <f>IF(ISERROR(FIND('112'!$M$9,G440,1)),"",IF((AND(FIND('112'!$M$9,G440,1)&gt;=1,B440&lt;'112'!$K$9,$O440='112'!$I$6)),"x",""))</f>
        <v/>
      </c>
      <c r="W440" s="87" t="str">
        <f>IF(AND($B440&gt;='1331'!$I$9,$B440&lt;='1331'!$J$9,OR($N440=$W$7,$O440=$W$7)),"x","")</f>
        <v/>
      </c>
      <c r="X440" s="87" t="str">
        <f>IF(AND($N440=$W$7,$B440&lt;'1331'!$I$9),"x","")</f>
        <v/>
      </c>
      <c r="Y440" s="87" t="str">
        <f>IF(AND($O440=$W$7,$B440&lt;'1331'!$I$9),"x","")</f>
        <v/>
      </c>
      <c r="Z440" s="87" t="str">
        <f>IF(AND('341-CT'!$H$9=H440,OR(LEFT(N440,3)=$Z$7,LEFT(O440,3)=$Z$7)),"x","")</f>
        <v/>
      </c>
      <c r="AA440" s="87" t="str">
        <f>IF(OR(TH!N440=TH!$AA$7,O440=TH!$AA$7),"x","")</f>
        <v/>
      </c>
      <c r="AB440" s="87" t="str">
        <f>IF(AND(OR(N440="131",O440="131"),H440='131-CT'!$H$9),"x","")</f>
        <v/>
      </c>
      <c r="AC440" s="87"/>
      <c r="AD440" s="87" t="str">
        <f>IF(AND(MONTH(E440)='IN-NX'!$J$5,'IN-NX'!$D$7=D440),"x","")</f>
        <v/>
      </c>
      <c r="AE440" s="87" t="str">
        <f>IF(AND(OR(LEFT(TH!N440,2)="15",LEFT(TH!O440,2)="15"),'152-CT'!$J$8=TH!F440),"x","")</f>
        <v/>
      </c>
      <c r="AF440" s="87" t="str">
        <f>IF(AND(OR(LEFT(TH!N440,2)="15",LEFT(TH!O440,2)="15"),'THE KHO'!$E$7=TH!F440),"x","")</f>
        <v/>
      </c>
      <c r="AG440" s="87" t="str">
        <f>IF(AND(N440="1521",MONTH(C440)='BK NL'!$M$11),"x","")</f>
        <v/>
      </c>
    </row>
    <row r="441" spans="1:33" ht="15.75" customHeight="1">
      <c r="A441" s="399" t="str">
        <f>IF(B441&lt;&gt;"",IF(AND(B441&gt;=_TM1,B441&lt;=_TM2,OR(TH!N441="1111",TH!O441="1111")),TH!D441,""),"")</f>
        <v/>
      </c>
      <c r="B441" s="63" t="str">
        <f t="shared" si="12"/>
        <v/>
      </c>
      <c r="C441" s="363"/>
      <c r="D441" s="363"/>
      <c r="E441" s="363"/>
      <c r="F441" s="364"/>
      <c r="G441" s="381"/>
      <c r="H441" s="365"/>
      <c r="I441" s="518"/>
      <c r="J441" s="518"/>
      <c r="K441" s="509"/>
      <c r="L441" s="518"/>
      <c r="M441" s="65"/>
      <c r="N441" s="366"/>
      <c r="O441" s="366"/>
      <c r="P441" s="87" t="str">
        <f>IF(AND('331-CT'!$E$7=TH!H441,OR(N441="331",O441="331")),"x","")</f>
        <v/>
      </c>
      <c r="Q441" s="87" t="str">
        <f>IF(AND(B441='111'!$L$11,OR($N441=$Q$7,$O441=$Q$7)),"x","")</f>
        <v/>
      </c>
      <c r="R441" s="87" t="str">
        <f>IF(AND($N441=$Q$7,$B441&lt;'111'!$L$11),"x","")</f>
        <v/>
      </c>
      <c r="S441" s="87" t="str">
        <f>IF(AND($O441=$Q$7,$B441&lt;'111'!$L$11),"x","")</f>
        <v/>
      </c>
      <c r="T441" s="87" t="str">
        <f>IF(ISERROR(FIND('112'!$M$9,G441,1)),"",IF((AND(FIND('112'!$M$9,G441,1)&gt;=1,B441='112'!$K$9,OR($N441='112'!$I$6,$O441='112'!$I$6))),"x",""))</f>
        <v/>
      </c>
      <c r="U441" s="87" t="str">
        <f>IF(ISERROR(FIND('112'!$M$9,G441,1)),"",IF((AND(FIND('112'!$M$9,G441,1)&gt;=1,B441&lt;'112'!$K$9,$N441='112'!$I$6)),"x",""))</f>
        <v/>
      </c>
      <c r="V441" s="87" t="str">
        <f>IF(ISERROR(FIND('112'!$M$9,G441,1)),"",IF((AND(FIND('112'!$M$9,G441,1)&gt;=1,B441&lt;'112'!$K$9,$O441='112'!$I$6)),"x",""))</f>
        <v/>
      </c>
      <c r="W441" s="87" t="str">
        <f>IF(AND($B441&gt;='1331'!$I$9,$B441&lt;='1331'!$J$9,OR($N441=$W$7,$O441=$W$7)),"x","")</f>
        <v/>
      </c>
      <c r="X441" s="87" t="str">
        <f>IF(AND($N441=$W$7,$B441&lt;'1331'!$I$9),"x","")</f>
        <v/>
      </c>
      <c r="Y441" s="87" t="str">
        <f>IF(AND($O441=$W$7,$B441&lt;'1331'!$I$9),"x","")</f>
        <v/>
      </c>
      <c r="Z441" s="87" t="str">
        <f>IF(AND('341-CT'!$H$9=H441,OR(LEFT(N441,3)=$Z$7,LEFT(O441,3)=$Z$7)),"x","")</f>
        <v/>
      </c>
      <c r="AA441" s="87" t="str">
        <f>IF(OR(TH!N441=TH!$AA$7,O441=TH!$AA$7),"x","")</f>
        <v/>
      </c>
      <c r="AB441" s="87" t="str">
        <f>IF(AND(OR(N441="131",O441="131"),H441='131-CT'!$H$9),"x","")</f>
        <v/>
      </c>
      <c r="AC441" s="87"/>
      <c r="AD441" s="87" t="str">
        <f>IF(AND(MONTH(E441)='IN-NX'!$J$5,'IN-NX'!$D$7=D441),"x","")</f>
        <v/>
      </c>
      <c r="AE441" s="87" t="str">
        <f>IF(AND(OR(LEFT(TH!N441,2)="15",LEFT(TH!O441,2)="15"),'152-CT'!$J$8=TH!F441),"x","")</f>
        <v/>
      </c>
      <c r="AF441" s="87" t="str">
        <f>IF(AND(OR(LEFT(TH!N441,2)="15",LEFT(TH!O441,2)="15"),'THE KHO'!$E$7=TH!F441),"x","")</f>
        <v/>
      </c>
      <c r="AG441" s="87" t="str">
        <f>IF(AND(N441="1521",MONTH(C441)='BK NL'!$M$11),"x","")</f>
        <v/>
      </c>
    </row>
    <row r="442" spans="1:33" ht="15.75" customHeight="1">
      <c r="A442" s="399" t="str">
        <f>IF(B442&lt;&gt;"",IF(AND(B442&gt;=_TM1,B442&lt;=_TM2,OR(TH!N442="1111",TH!O442="1111")),TH!D442,""),"")</f>
        <v/>
      </c>
      <c r="B442" s="63" t="str">
        <f t="shared" si="12"/>
        <v/>
      </c>
      <c r="C442" s="363"/>
      <c r="D442" s="363"/>
      <c r="E442" s="363"/>
      <c r="F442" s="364"/>
      <c r="G442" s="381"/>
      <c r="H442" s="365"/>
      <c r="I442" s="518"/>
      <c r="J442" s="518"/>
      <c r="K442" s="509"/>
      <c r="L442" s="518"/>
      <c r="M442" s="65"/>
      <c r="N442" s="366"/>
      <c r="O442" s="366"/>
      <c r="P442" s="87" t="str">
        <f>IF(AND('331-CT'!$E$7=TH!H442,OR(N442="331",O442="331")),"x","")</f>
        <v/>
      </c>
      <c r="Q442" s="87" t="str">
        <f>IF(AND(B442='111'!$L$11,OR($N442=$Q$7,$O442=$Q$7)),"x","")</f>
        <v/>
      </c>
      <c r="R442" s="87" t="str">
        <f>IF(AND($N442=$Q$7,$B442&lt;'111'!$L$11),"x","")</f>
        <v/>
      </c>
      <c r="S442" s="87" t="str">
        <f>IF(AND($O442=$Q$7,$B442&lt;'111'!$L$11),"x","")</f>
        <v/>
      </c>
      <c r="T442" s="87" t="str">
        <f>IF(ISERROR(FIND('112'!$M$9,G442,1)),"",IF((AND(FIND('112'!$M$9,G442,1)&gt;=1,B442='112'!$K$9,OR($N442='112'!$I$6,$O442='112'!$I$6))),"x",""))</f>
        <v/>
      </c>
      <c r="U442" s="87" t="str">
        <f>IF(ISERROR(FIND('112'!$M$9,G442,1)),"",IF((AND(FIND('112'!$M$9,G442,1)&gt;=1,B442&lt;'112'!$K$9,$N442='112'!$I$6)),"x",""))</f>
        <v/>
      </c>
      <c r="V442" s="87" t="str">
        <f>IF(ISERROR(FIND('112'!$M$9,G442,1)),"",IF((AND(FIND('112'!$M$9,G442,1)&gt;=1,B442&lt;'112'!$K$9,$O442='112'!$I$6)),"x",""))</f>
        <v/>
      </c>
      <c r="W442" s="87" t="str">
        <f>IF(AND($B442&gt;='1331'!$I$9,$B442&lt;='1331'!$J$9,OR($N442=$W$7,$O442=$W$7)),"x","")</f>
        <v/>
      </c>
      <c r="X442" s="87" t="str">
        <f>IF(AND($N442=$W$7,$B442&lt;'1331'!$I$9),"x","")</f>
        <v/>
      </c>
      <c r="Y442" s="87" t="str">
        <f>IF(AND($O442=$W$7,$B442&lt;'1331'!$I$9),"x","")</f>
        <v/>
      </c>
      <c r="Z442" s="87" t="str">
        <f>IF(AND('341-CT'!$H$9=H442,OR(LEFT(N442,3)=$Z$7,LEFT(O442,3)=$Z$7)),"x","")</f>
        <v/>
      </c>
      <c r="AA442" s="87" t="str">
        <f>IF(OR(TH!N442=TH!$AA$7,O442=TH!$AA$7),"x","")</f>
        <v/>
      </c>
      <c r="AB442" s="87" t="str">
        <f>IF(AND(OR(N442="131",O442="131"),H442='131-CT'!$H$9),"x","")</f>
        <v/>
      </c>
      <c r="AC442" s="87"/>
      <c r="AD442" s="87" t="str">
        <f>IF(AND(MONTH(E442)='IN-NX'!$J$5,'IN-NX'!$D$7=D442),"x","")</f>
        <v/>
      </c>
      <c r="AE442" s="87" t="str">
        <f>IF(AND(OR(LEFT(TH!N442,2)="15",LEFT(TH!O442,2)="15"),'152-CT'!$J$8=TH!F442),"x","")</f>
        <v/>
      </c>
      <c r="AF442" s="87" t="str">
        <f>IF(AND(OR(LEFT(TH!N442,2)="15",LEFT(TH!O442,2)="15"),'THE KHO'!$E$7=TH!F442),"x","")</f>
        <v/>
      </c>
      <c r="AG442" s="87" t="str">
        <f>IF(AND(N442="1521",MONTH(C442)='BK NL'!$M$11),"x","")</f>
        <v/>
      </c>
    </row>
    <row r="443" spans="1:33" ht="15.75" customHeight="1">
      <c r="A443" s="399" t="str">
        <f>IF(B443&lt;&gt;"",IF(AND(B443&gt;=_TM1,B443&lt;=_TM2,OR(TH!N443="1111",TH!O443="1111")),TH!D443,""),"")</f>
        <v/>
      </c>
      <c r="B443" s="63" t="str">
        <f t="shared" si="12"/>
        <v/>
      </c>
      <c r="C443" s="363"/>
      <c r="D443" s="363"/>
      <c r="E443" s="363"/>
      <c r="F443" s="364"/>
      <c r="G443" s="381"/>
      <c r="H443" s="365"/>
      <c r="I443" s="518"/>
      <c r="J443" s="518"/>
      <c r="K443" s="509"/>
      <c r="L443" s="518"/>
      <c r="M443" s="65"/>
      <c r="N443" s="366"/>
      <c r="O443" s="366"/>
      <c r="P443" s="87" t="str">
        <f>IF(AND('331-CT'!$E$7=TH!H443,OR(N443="331",O443="331")),"x","")</f>
        <v/>
      </c>
      <c r="Q443" s="87" t="str">
        <f>IF(AND(B443='111'!$L$11,OR($N443=$Q$7,$O443=$Q$7)),"x","")</f>
        <v/>
      </c>
      <c r="R443" s="87" t="str">
        <f>IF(AND($N443=$Q$7,$B443&lt;'111'!$L$11),"x","")</f>
        <v/>
      </c>
      <c r="S443" s="87" t="str">
        <f>IF(AND($O443=$Q$7,$B443&lt;'111'!$L$11),"x","")</f>
        <v/>
      </c>
      <c r="T443" s="87" t="str">
        <f>IF(ISERROR(FIND('112'!$M$9,G443,1)),"",IF((AND(FIND('112'!$M$9,G443,1)&gt;=1,B443='112'!$K$9,OR($N443='112'!$I$6,$O443='112'!$I$6))),"x",""))</f>
        <v/>
      </c>
      <c r="U443" s="87" t="str">
        <f>IF(ISERROR(FIND('112'!$M$9,G443,1)),"",IF((AND(FIND('112'!$M$9,G443,1)&gt;=1,B443&lt;'112'!$K$9,$N443='112'!$I$6)),"x",""))</f>
        <v/>
      </c>
      <c r="V443" s="87" t="str">
        <f>IF(ISERROR(FIND('112'!$M$9,G443,1)),"",IF((AND(FIND('112'!$M$9,G443,1)&gt;=1,B443&lt;'112'!$K$9,$O443='112'!$I$6)),"x",""))</f>
        <v/>
      </c>
      <c r="W443" s="87" t="str">
        <f>IF(AND($B443&gt;='1331'!$I$9,$B443&lt;='1331'!$J$9,OR($N443=$W$7,$O443=$W$7)),"x","")</f>
        <v/>
      </c>
      <c r="X443" s="87" t="str">
        <f>IF(AND($N443=$W$7,$B443&lt;'1331'!$I$9),"x","")</f>
        <v/>
      </c>
      <c r="Y443" s="87" t="str">
        <f>IF(AND($O443=$W$7,$B443&lt;'1331'!$I$9),"x","")</f>
        <v/>
      </c>
      <c r="Z443" s="87" t="str">
        <f>IF(AND('341-CT'!$H$9=H443,OR(LEFT(N443,3)=$Z$7,LEFT(O443,3)=$Z$7)),"x","")</f>
        <v/>
      </c>
      <c r="AA443" s="87" t="str">
        <f>IF(OR(TH!N443=TH!$AA$7,O443=TH!$AA$7),"x","")</f>
        <v/>
      </c>
      <c r="AB443" s="87" t="str">
        <f>IF(AND(OR(N443="131",O443="131"),H443='131-CT'!$H$9),"x","")</f>
        <v/>
      </c>
      <c r="AC443" s="87"/>
      <c r="AD443" s="87" t="str">
        <f>IF(AND(MONTH(E443)='IN-NX'!$J$5,'IN-NX'!$D$7=D443),"x","")</f>
        <v/>
      </c>
      <c r="AE443" s="87" t="str">
        <f>IF(AND(OR(LEFT(TH!N443,2)="15",LEFT(TH!O443,2)="15"),'152-CT'!$J$8=TH!F443),"x","")</f>
        <v/>
      </c>
      <c r="AF443" s="87" t="str">
        <f>IF(AND(OR(LEFT(TH!N443,2)="15",LEFT(TH!O443,2)="15"),'THE KHO'!$E$7=TH!F443),"x","")</f>
        <v/>
      </c>
      <c r="AG443" s="87" t="str">
        <f>IF(AND(N443="1521",MONTH(C443)='BK NL'!$M$11),"x","")</f>
        <v/>
      </c>
    </row>
    <row r="444" spans="1:33" ht="15.75" customHeight="1">
      <c r="A444" s="399" t="str">
        <f>IF(B444&lt;&gt;"",IF(AND(B444&gt;=_TM1,B444&lt;=_TM2,OR(TH!N444="1111",TH!O444="1111")),TH!D444,""),"")</f>
        <v/>
      </c>
      <c r="B444" s="63" t="str">
        <f t="shared" si="12"/>
        <v/>
      </c>
      <c r="C444" s="363"/>
      <c r="D444" s="363"/>
      <c r="E444" s="363"/>
      <c r="F444" s="364"/>
      <c r="G444" s="382"/>
      <c r="H444" s="365"/>
      <c r="I444" s="518"/>
      <c r="J444" s="518"/>
      <c r="K444" s="509"/>
      <c r="L444" s="518"/>
      <c r="M444" s="65"/>
      <c r="N444" s="366"/>
      <c r="O444" s="366"/>
      <c r="P444" s="87" t="str">
        <f>IF(AND('331-CT'!$E$7=TH!H444,OR(N444="331",O444="331")),"x","")</f>
        <v/>
      </c>
      <c r="Q444" s="87" t="str">
        <f>IF(AND(B444='111'!$L$11,OR($N444=$Q$7,$O444=$Q$7)),"x","")</f>
        <v/>
      </c>
      <c r="R444" s="87" t="str">
        <f>IF(AND($N444=$Q$7,$B444&lt;'111'!$L$11),"x","")</f>
        <v/>
      </c>
      <c r="S444" s="87" t="str">
        <f>IF(AND($O444=$Q$7,$B444&lt;'111'!$L$11),"x","")</f>
        <v/>
      </c>
      <c r="T444" s="87" t="str">
        <f>IF(ISERROR(FIND('112'!$M$9,G444,1)),"",IF((AND(FIND('112'!$M$9,G444,1)&gt;=1,B444='112'!$K$9,OR($N444='112'!$I$6,$O444='112'!$I$6))),"x",""))</f>
        <v/>
      </c>
      <c r="U444" s="87" t="str">
        <f>IF(ISERROR(FIND('112'!$M$9,G444,1)),"",IF((AND(FIND('112'!$M$9,G444,1)&gt;=1,B444&lt;'112'!$K$9,$N444='112'!$I$6)),"x",""))</f>
        <v/>
      </c>
      <c r="V444" s="87" t="str">
        <f>IF(ISERROR(FIND('112'!$M$9,G444,1)),"",IF((AND(FIND('112'!$M$9,G444,1)&gt;=1,B444&lt;'112'!$K$9,$O444='112'!$I$6)),"x",""))</f>
        <v/>
      </c>
      <c r="W444" s="87" t="str">
        <f>IF(AND($B444&gt;='1331'!$I$9,$B444&lt;='1331'!$J$9,OR($N444=$W$7,$O444=$W$7)),"x","")</f>
        <v/>
      </c>
      <c r="X444" s="87" t="str">
        <f>IF(AND($N444=$W$7,$B444&lt;'1331'!$I$9),"x","")</f>
        <v/>
      </c>
      <c r="Y444" s="87" t="str">
        <f>IF(AND($O444=$W$7,$B444&lt;'1331'!$I$9),"x","")</f>
        <v/>
      </c>
      <c r="Z444" s="87" t="str">
        <f>IF(AND('341-CT'!$H$9=H444,OR(LEFT(N444,3)=$Z$7,LEFT(O444,3)=$Z$7)),"x","")</f>
        <v/>
      </c>
      <c r="AA444" s="87" t="str">
        <f>IF(OR(TH!N444=TH!$AA$7,O444=TH!$AA$7),"x","")</f>
        <v/>
      </c>
      <c r="AB444" s="87" t="str">
        <f>IF(AND(OR(N444="131",O444="131"),H444='131-CT'!$H$9),"x","")</f>
        <v/>
      </c>
      <c r="AC444" s="87"/>
      <c r="AD444" s="87" t="str">
        <f>IF(AND(MONTH(E444)='IN-NX'!$J$5,'IN-NX'!$D$7=D444),"x","")</f>
        <v/>
      </c>
      <c r="AE444" s="87" t="str">
        <f>IF(AND(OR(LEFT(TH!N444,2)="15",LEFT(TH!O444,2)="15"),'152-CT'!$J$8=TH!F444),"x","")</f>
        <v/>
      </c>
      <c r="AF444" s="87" t="str">
        <f>IF(AND(OR(LEFT(TH!N444,2)="15",LEFT(TH!O444,2)="15"),'THE KHO'!$E$7=TH!F444),"x","")</f>
        <v/>
      </c>
      <c r="AG444" s="87" t="str">
        <f>IF(AND(N444="1521",MONTH(C444)='BK NL'!$M$11),"x","")</f>
        <v/>
      </c>
    </row>
    <row r="445" spans="1:33" ht="15.75" customHeight="1">
      <c r="A445" s="399" t="str">
        <f>IF(B445&lt;&gt;"",IF(AND(B445&gt;=_TM1,B445&lt;=_TM2,OR(TH!N445="1111",TH!O445="1111")),TH!D445,""),"")</f>
        <v/>
      </c>
      <c r="B445" s="63" t="str">
        <f t="shared" si="12"/>
        <v/>
      </c>
      <c r="C445" s="363"/>
      <c r="D445" s="363"/>
      <c r="E445" s="363"/>
      <c r="F445" s="364"/>
      <c r="G445" s="382"/>
      <c r="H445" s="365"/>
      <c r="I445" s="518"/>
      <c r="J445" s="518"/>
      <c r="K445" s="509"/>
      <c r="L445" s="518"/>
      <c r="M445" s="65"/>
      <c r="N445" s="366"/>
      <c r="O445" s="366"/>
      <c r="P445" s="87" t="str">
        <f>IF(AND('331-CT'!$E$7=TH!H445,OR(N445="331",O445="331")),"x","")</f>
        <v/>
      </c>
      <c r="Q445" s="87" t="str">
        <f>IF(AND(B445='111'!$L$11,OR($N445=$Q$7,$O445=$Q$7)),"x","")</f>
        <v/>
      </c>
      <c r="R445" s="87" t="str">
        <f>IF(AND($N445=$Q$7,$B445&lt;'111'!$L$11),"x","")</f>
        <v/>
      </c>
      <c r="S445" s="87" t="str">
        <f>IF(AND($O445=$Q$7,$B445&lt;'111'!$L$11),"x","")</f>
        <v/>
      </c>
      <c r="T445" s="87" t="str">
        <f>IF(ISERROR(FIND('112'!$M$9,G445,1)),"",IF((AND(FIND('112'!$M$9,G445,1)&gt;=1,B445='112'!$K$9,OR($N445='112'!$I$6,$O445='112'!$I$6))),"x",""))</f>
        <v/>
      </c>
      <c r="U445" s="87" t="str">
        <f>IF(ISERROR(FIND('112'!$M$9,G445,1)),"",IF((AND(FIND('112'!$M$9,G445,1)&gt;=1,B445&lt;'112'!$K$9,$N445='112'!$I$6)),"x",""))</f>
        <v/>
      </c>
      <c r="V445" s="87" t="str">
        <f>IF(ISERROR(FIND('112'!$M$9,G445,1)),"",IF((AND(FIND('112'!$M$9,G445,1)&gt;=1,B445&lt;'112'!$K$9,$O445='112'!$I$6)),"x",""))</f>
        <v/>
      </c>
      <c r="W445" s="87" t="str">
        <f>IF(AND($B445&gt;='1331'!$I$9,$B445&lt;='1331'!$J$9,OR($N445=$W$7,$O445=$W$7)),"x","")</f>
        <v/>
      </c>
      <c r="X445" s="87" t="str">
        <f>IF(AND($N445=$W$7,$B445&lt;'1331'!$I$9),"x","")</f>
        <v/>
      </c>
      <c r="Y445" s="87" t="str">
        <f>IF(AND($O445=$W$7,$B445&lt;'1331'!$I$9),"x","")</f>
        <v/>
      </c>
      <c r="Z445" s="87" t="str">
        <f>IF(AND('341-CT'!$H$9=H445,OR(LEFT(N445,3)=$Z$7,LEFT(O445,3)=$Z$7)),"x","")</f>
        <v/>
      </c>
      <c r="AA445" s="87" t="str">
        <f>IF(OR(TH!N445=TH!$AA$7,O445=TH!$AA$7),"x","")</f>
        <v/>
      </c>
      <c r="AB445" s="87" t="str">
        <f>IF(AND(OR(N445="131",O445="131"),H445='131-CT'!$H$9),"x","")</f>
        <v/>
      </c>
      <c r="AC445" s="87"/>
      <c r="AD445" s="87" t="str">
        <f>IF(AND(MONTH(E445)='IN-NX'!$J$5,'IN-NX'!$D$7=D445),"x","")</f>
        <v/>
      </c>
      <c r="AE445" s="87" t="str">
        <f>IF(AND(OR(LEFT(TH!N445,2)="15",LEFT(TH!O445,2)="15"),'152-CT'!$J$8=TH!F445),"x","")</f>
        <v/>
      </c>
      <c r="AF445" s="87" t="str">
        <f>IF(AND(OR(LEFT(TH!N445,2)="15",LEFT(TH!O445,2)="15"),'THE KHO'!$E$7=TH!F445),"x","")</f>
        <v/>
      </c>
      <c r="AG445" s="87" t="str">
        <f>IF(AND(N445="1521",MONTH(C445)='BK NL'!$M$11),"x","")</f>
        <v/>
      </c>
    </row>
    <row r="446" spans="1:33" ht="15.75" customHeight="1">
      <c r="A446" s="399" t="str">
        <f>IF(B446&lt;&gt;"",IF(AND(B446&gt;=_TM1,B446&lt;=_TM2,OR(TH!N446="1111",TH!O446="1111")),TH!D446,""),"")</f>
        <v/>
      </c>
      <c r="B446" s="63" t="str">
        <f t="shared" si="12"/>
        <v/>
      </c>
      <c r="C446" s="363"/>
      <c r="D446" s="363"/>
      <c r="E446" s="363"/>
      <c r="F446" s="364"/>
      <c r="G446" s="382"/>
      <c r="H446" s="365"/>
      <c r="I446" s="518"/>
      <c r="J446" s="518"/>
      <c r="K446" s="509"/>
      <c r="L446" s="518"/>
      <c r="M446" s="65"/>
      <c r="N446" s="366"/>
      <c r="O446" s="366"/>
      <c r="P446" s="87" t="str">
        <f>IF(AND('331-CT'!$E$7=TH!H446,OR(N446="331",O446="331")),"x","")</f>
        <v/>
      </c>
      <c r="Q446" s="87" t="str">
        <f>IF(AND(B446='111'!$L$11,OR($N446=$Q$7,$O446=$Q$7)),"x","")</f>
        <v/>
      </c>
      <c r="R446" s="87" t="str">
        <f>IF(AND($N446=$Q$7,$B446&lt;'111'!$L$11),"x","")</f>
        <v/>
      </c>
      <c r="S446" s="87" t="str">
        <f>IF(AND($O446=$Q$7,$B446&lt;'111'!$L$11),"x","")</f>
        <v/>
      </c>
      <c r="T446" s="87" t="str">
        <f>IF(ISERROR(FIND('112'!$M$9,G446,1)),"",IF((AND(FIND('112'!$M$9,G446,1)&gt;=1,B446='112'!$K$9,OR($N446='112'!$I$6,$O446='112'!$I$6))),"x",""))</f>
        <v/>
      </c>
      <c r="U446" s="87" t="str">
        <f>IF(ISERROR(FIND('112'!$M$9,G446,1)),"",IF((AND(FIND('112'!$M$9,G446,1)&gt;=1,B446&lt;'112'!$K$9,$N446='112'!$I$6)),"x",""))</f>
        <v/>
      </c>
      <c r="V446" s="87" t="str">
        <f>IF(ISERROR(FIND('112'!$M$9,G446,1)),"",IF((AND(FIND('112'!$M$9,G446,1)&gt;=1,B446&lt;'112'!$K$9,$O446='112'!$I$6)),"x",""))</f>
        <v/>
      </c>
      <c r="W446" s="87" t="str">
        <f>IF(AND($B446&gt;='1331'!$I$9,$B446&lt;='1331'!$J$9,OR($N446=$W$7,$O446=$W$7)),"x","")</f>
        <v/>
      </c>
      <c r="X446" s="87" t="str">
        <f>IF(AND($N446=$W$7,$B446&lt;'1331'!$I$9),"x","")</f>
        <v/>
      </c>
      <c r="Y446" s="87" t="str">
        <f>IF(AND($O446=$W$7,$B446&lt;'1331'!$I$9),"x","")</f>
        <v/>
      </c>
      <c r="Z446" s="87" t="str">
        <f>IF(AND('341-CT'!$H$9=H446,OR(LEFT(N446,3)=$Z$7,LEFT(O446,3)=$Z$7)),"x","")</f>
        <v/>
      </c>
      <c r="AA446" s="87" t="str">
        <f>IF(OR(TH!N446=TH!$AA$7,O446=TH!$AA$7),"x","")</f>
        <v/>
      </c>
      <c r="AB446" s="87" t="str">
        <f>IF(AND(OR(N446="131",O446="131"),H446='131-CT'!$H$9),"x","")</f>
        <v/>
      </c>
      <c r="AC446" s="87"/>
      <c r="AD446" s="87" t="str">
        <f>IF(AND(MONTH(E446)='IN-NX'!$J$5,'IN-NX'!$D$7=D446),"x","")</f>
        <v/>
      </c>
      <c r="AE446" s="87" t="str">
        <f>IF(AND(OR(LEFT(TH!N446,2)="15",LEFT(TH!O446,2)="15"),'152-CT'!$J$8=TH!F446),"x","")</f>
        <v/>
      </c>
      <c r="AF446" s="87" t="str">
        <f>IF(AND(OR(LEFT(TH!N446,2)="15",LEFT(TH!O446,2)="15"),'THE KHO'!$E$7=TH!F446),"x","")</f>
        <v/>
      </c>
      <c r="AG446" s="87" t="str">
        <f>IF(AND(N446="1521",MONTH(C446)='BK NL'!$M$11),"x","")</f>
        <v/>
      </c>
    </row>
    <row r="447" spans="1:33" ht="15.75" customHeight="1">
      <c r="A447" s="399" t="str">
        <f>IF(B447&lt;&gt;"",IF(AND(B447&gt;=_TM1,B447&lt;=_TM2,OR(TH!N447="1111",TH!O447="1111")),TH!D447,""),"")</f>
        <v/>
      </c>
      <c r="B447" s="63" t="str">
        <f t="shared" si="12"/>
        <v/>
      </c>
      <c r="C447" s="363"/>
      <c r="D447" s="363"/>
      <c r="E447" s="363"/>
      <c r="F447" s="364"/>
      <c r="G447" s="382"/>
      <c r="H447" s="365"/>
      <c r="I447" s="518"/>
      <c r="J447" s="518"/>
      <c r="K447" s="509"/>
      <c r="L447" s="518"/>
      <c r="M447" s="65"/>
      <c r="N447" s="366"/>
      <c r="O447" s="366"/>
      <c r="P447" s="87" t="str">
        <f>IF(AND('331-CT'!$E$7=TH!H447,OR(N447="331",O447="331")),"x","")</f>
        <v/>
      </c>
      <c r="Q447" s="87" t="str">
        <f>IF(AND(B447='111'!$L$11,OR($N447=$Q$7,$O447=$Q$7)),"x","")</f>
        <v/>
      </c>
      <c r="R447" s="87" t="str">
        <f>IF(AND($N447=$Q$7,$B447&lt;'111'!$L$11),"x","")</f>
        <v/>
      </c>
      <c r="S447" s="87" t="str">
        <f>IF(AND($O447=$Q$7,$B447&lt;'111'!$L$11),"x","")</f>
        <v/>
      </c>
      <c r="T447" s="87" t="str">
        <f>IF(ISERROR(FIND('112'!$M$9,G447,1)),"",IF((AND(FIND('112'!$M$9,G447,1)&gt;=1,B447='112'!$K$9,OR($N447='112'!$I$6,$O447='112'!$I$6))),"x",""))</f>
        <v/>
      </c>
      <c r="U447" s="87" t="str">
        <f>IF(ISERROR(FIND('112'!$M$9,G447,1)),"",IF((AND(FIND('112'!$M$9,G447,1)&gt;=1,B447&lt;'112'!$K$9,$N447='112'!$I$6)),"x",""))</f>
        <v/>
      </c>
      <c r="V447" s="87" t="str">
        <f>IF(ISERROR(FIND('112'!$M$9,G447,1)),"",IF((AND(FIND('112'!$M$9,G447,1)&gt;=1,B447&lt;'112'!$K$9,$O447='112'!$I$6)),"x",""))</f>
        <v/>
      </c>
      <c r="W447" s="87" t="str">
        <f>IF(AND($B447&gt;='1331'!$I$9,$B447&lt;='1331'!$J$9,OR($N447=$W$7,$O447=$W$7)),"x","")</f>
        <v/>
      </c>
      <c r="X447" s="87" t="str">
        <f>IF(AND($N447=$W$7,$B447&lt;'1331'!$I$9),"x","")</f>
        <v/>
      </c>
      <c r="Y447" s="87" t="str">
        <f>IF(AND($O447=$W$7,$B447&lt;'1331'!$I$9),"x","")</f>
        <v/>
      </c>
      <c r="Z447" s="87" t="str">
        <f>IF(AND('341-CT'!$H$9=H447,OR(LEFT(N447,3)=$Z$7,LEFT(O447,3)=$Z$7)),"x","")</f>
        <v/>
      </c>
      <c r="AA447" s="87" t="str">
        <f>IF(OR(TH!N447=TH!$AA$7,O447=TH!$AA$7),"x","")</f>
        <v/>
      </c>
      <c r="AB447" s="87" t="str">
        <f>IF(AND(OR(N447="131",O447="131"),H447='131-CT'!$H$9),"x","")</f>
        <v/>
      </c>
      <c r="AC447" s="87"/>
      <c r="AD447" s="87" t="str">
        <f>IF(AND(MONTH(E447)='IN-NX'!$J$5,'IN-NX'!$D$7=D447),"x","")</f>
        <v/>
      </c>
      <c r="AE447" s="87" t="str">
        <f>IF(AND(OR(LEFT(TH!N447,2)="15",LEFT(TH!O447,2)="15"),'152-CT'!$J$8=TH!F447),"x","")</f>
        <v/>
      </c>
      <c r="AF447" s="87" t="str">
        <f>IF(AND(OR(LEFT(TH!N447,2)="15",LEFT(TH!O447,2)="15"),'THE KHO'!$E$7=TH!F447),"x","")</f>
        <v/>
      </c>
      <c r="AG447" s="87" t="str">
        <f>IF(AND(N447="1521",MONTH(C447)='BK NL'!$M$11),"x","")</f>
        <v/>
      </c>
    </row>
    <row r="448" spans="1:33" ht="15.75" customHeight="1">
      <c r="A448" s="399" t="str">
        <f>IF(B448&lt;&gt;"",IF(AND(B448&gt;=_TM1,B448&lt;=_TM2,OR(TH!N448="1111",TH!O448="1111")),TH!D448,""),"")</f>
        <v/>
      </c>
      <c r="B448" s="63" t="str">
        <f t="shared" si="12"/>
        <v/>
      </c>
      <c r="C448" s="363"/>
      <c r="D448" s="363"/>
      <c r="E448" s="363"/>
      <c r="F448" s="364"/>
      <c r="G448" s="382"/>
      <c r="H448" s="365"/>
      <c r="I448" s="518"/>
      <c r="J448" s="518"/>
      <c r="K448" s="509"/>
      <c r="L448" s="518"/>
      <c r="M448" s="65"/>
      <c r="N448" s="366"/>
      <c r="O448" s="366"/>
      <c r="P448" s="87" t="str">
        <f>IF(AND('331-CT'!$E$7=TH!H448,OR(N448="331",O448="331")),"x","")</f>
        <v/>
      </c>
      <c r="Q448" s="87" t="str">
        <f>IF(AND(B448='111'!$L$11,OR($N448=$Q$7,$O448=$Q$7)),"x","")</f>
        <v/>
      </c>
      <c r="R448" s="87" t="str">
        <f>IF(AND($N448=$Q$7,$B448&lt;'111'!$L$11),"x","")</f>
        <v/>
      </c>
      <c r="S448" s="87" t="str">
        <f>IF(AND($O448=$Q$7,$B448&lt;'111'!$L$11),"x","")</f>
        <v/>
      </c>
      <c r="T448" s="87" t="str">
        <f>IF(ISERROR(FIND('112'!$M$9,G448,1)),"",IF((AND(FIND('112'!$M$9,G448,1)&gt;=1,B448='112'!$K$9,OR($N448='112'!$I$6,$O448='112'!$I$6))),"x",""))</f>
        <v/>
      </c>
      <c r="U448" s="87" t="str">
        <f>IF(ISERROR(FIND('112'!$M$9,G448,1)),"",IF((AND(FIND('112'!$M$9,G448,1)&gt;=1,B448&lt;'112'!$K$9,$N448='112'!$I$6)),"x",""))</f>
        <v/>
      </c>
      <c r="V448" s="87" t="str">
        <f>IF(ISERROR(FIND('112'!$M$9,G448,1)),"",IF((AND(FIND('112'!$M$9,G448,1)&gt;=1,B448&lt;'112'!$K$9,$O448='112'!$I$6)),"x",""))</f>
        <v/>
      </c>
      <c r="W448" s="87" t="str">
        <f>IF(AND($B448&gt;='1331'!$I$9,$B448&lt;='1331'!$J$9,OR($N448=$W$7,$O448=$W$7)),"x","")</f>
        <v/>
      </c>
      <c r="X448" s="87" t="str">
        <f>IF(AND($N448=$W$7,$B448&lt;'1331'!$I$9),"x","")</f>
        <v/>
      </c>
      <c r="Y448" s="87" t="str">
        <f>IF(AND($O448=$W$7,$B448&lt;'1331'!$I$9),"x","")</f>
        <v/>
      </c>
      <c r="Z448" s="87" t="str">
        <f>IF(AND('341-CT'!$H$9=H448,OR(LEFT(N448,3)=$Z$7,LEFT(O448,3)=$Z$7)),"x","")</f>
        <v/>
      </c>
      <c r="AA448" s="87" t="str">
        <f>IF(OR(TH!N448=TH!$AA$7,O448=TH!$AA$7),"x","")</f>
        <v/>
      </c>
      <c r="AB448" s="87" t="str">
        <f>IF(AND(OR(N448="131",O448="131"),H448='131-CT'!$H$9),"x","")</f>
        <v/>
      </c>
      <c r="AC448" s="87"/>
      <c r="AD448" s="87" t="str">
        <f>IF(AND(MONTH(E448)='IN-NX'!$J$5,'IN-NX'!$D$7=D448),"x","")</f>
        <v/>
      </c>
      <c r="AE448" s="87" t="str">
        <f>IF(AND(OR(LEFT(TH!N448,2)="15",LEFT(TH!O448,2)="15"),'152-CT'!$J$8=TH!F448),"x","")</f>
        <v/>
      </c>
      <c r="AF448" s="87" t="str">
        <f>IF(AND(OR(LEFT(TH!N448,2)="15",LEFT(TH!O448,2)="15"),'THE KHO'!$E$7=TH!F448),"x","")</f>
        <v/>
      </c>
      <c r="AG448" s="87" t="str">
        <f>IF(AND(N448="1521",MONTH(C448)='BK NL'!$M$11),"x","")</f>
        <v/>
      </c>
    </row>
    <row r="449" spans="1:33" ht="15.75" customHeight="1">
      <c r="A449" s="399" t="str">
        <f>IF(B449&lt;&gt;"",IF(AND(B449&gt;=_TM1,B449&lt;=_TM2,OR(TH!N449="1111",TH!O449="1111")),TH!D449,""),"")</f>
        <v/>
      </c>
      <c r="B449" s="63" t="str">
        <f t="shared" si="12"/>
        <v/>
      </c>
      <c r="C449" s="363"/>
      <c r="D449" s="363"/>
      <c r="E449" s="363"/>
      <c r="F449" s="364"/>
      <c r="G449" s="382"/>
      <c r="H449" s="409"/>
      <c r="I449" s="522"/>
      <c r="J449" s="522"/>
      <c r="K449" s="513"/>
      <c r="L449" s="522"/>
      <c r="M449" s="65"/>
      <c r="N449" s="366"/>
      <c r="O449" s="366"/>
      <c r="P449" s="87" t="str">
        <f>IF(AND('331-CT'!$E$7=TH!H449,OR(N449="331",O449="331")),"x","")</f>
        <v/>
      </c>
      <c r="Q449" s="87" t="str">
        <f>IF(AND(B449='111'!$L$11,OR($N449=$Q$7,$O449=$Q$7)),"x","")</f>
        <v/>
      </c>
      <c r="R449" s="87" t="str">
        <f>IF(AND($N449=$Q$7,$B449&lt;'111'!$L$11),"x","")</f>
        <v/>
      </c>
      <c r="S449" s="87" t="str">
        <f>IF(AND($O449=$Q$7,$B449&lt;'111'!$L$11),"x","")</f>
        <v/>
      </c>
      <c r="T449" s="87" t="str">
        <f>IF(ISERROR(FIND('112'!$M$9,G449,1)),"",IF((AND(FIND('112'!$M$9,G449,1)&gt;=1,B449='112'!$K$9,OR($N449='112'!$I$6,$O449='112'!$I$6))),"x",""))</f>
        <v/>
      </c>
      <c r="U449" s="87" t="str">
        <f>IF(ISERROR(FIND('112'!$M$9,G449,1)),"",IF((AND(FIND('112'!$M$9,G449,1)&gt;=1,B449&lt;'112'!$K$9,$N449='112'!$I$6)),"x",""))</f>
        <v/>
      </c>
      <c r="V449" s="87" t="str">
        <f>IF(ISERROR(FIND('112'!$M$9,G449,1)),"",IF((AND(FIND('112'!$M$9,G449,1)&gt;=1,B449&lt;'112'!$K$9,$O449='112'!$I$6)),"x",""))</f>
        <v/>
      </c>
      <c r="W449" s="87" t="str">
        <f>IF(AND($B449&gt;='1331'!$I$9,$B449&lt;='1331'!$J$9,OR($N449=$W$7,$O449=$W$7)),"x","")</f>
        <v/>
      </c>
      <c r="X449" s="87" t="str">
        <f>IF(AND($N449=$W$7,$B449&lt;'1331'!$I$9),"x","")</f>
        <v/>
      </c>
      <c r="Y449" s="87" t="str">
        <f>IF(AND($O449=$W$7,$B449&lt;'1331'!$I$9),"x","")</f>
        <v/>
      </c>
      <c r="Z449" s="87" t="str">
        <f>IF(AND('341-CT'!$H$9=H449,OR(LEFT(N449,3)=$Z$7,LEFT(O449,3)=$Z$7)),"x","")</f>
        <v/>
      </c>
      <c r="AA449" s="87" t="str">
        <f>IF(OR(TH!N449=TH!$AA$7,O449=TH!$AA$7),"x","")</f>
        <v/>
      </c>
      <c r="AB449" s="87" t="str">
        <f>IF(AND(OR(N449="131",O449="131"),H449='131-CT'!$H$9),"x","")</f>
        <v/>
      </c>
      <c r="AC449" s="87"/>
      <c r="AD449" s="87" t="str">
        <f>IF(AND(MONTH(E449)='IN-NX'!$J$5,'IN-NX'!$D$7=D449),"x","")</f>
        <v/>
      </c>
      <c r="AE449" s="87" t="str">
        <f>IF(AND(OR(LEFT(TH!N449,2)="15",LEFT(TH!O449,2)="15"),'152-CT'!$J$8=TH!F449),"x","")</f>
        <v/>
      </c>
      <c r="AF449" s="87" t="str">
        <f>IF(AND(OR(LEFT(TH!N449,2)="15",LEFT(TH!O449,2)="15"),'THE KHO'!$E$7=TH!F449),"x","")</f>
        <v/>
      </c>
      <c r="AG449" s="87" t="str">
        <f>IF(AND(N449="1521",MONTH(C449)='BK NL'!$M$11),"x","")</f>
        <v/>
      </c>
    </row>
    <row r="450" spans="1:33" ht="15.75" customHeight="1">
      <c r="A450" s="399" t="str">
        <f>IF(B450&lt;&gt;"",IF(AND(B450&gt;=_TM1,B450&lt;=_TM2,OR(TH!N450="1111",TH!O450="1111")),TH!D450,""),"")</f>
        <v/>
      </c>
      <c r="B450" s="63" t="str">
        <f t="shared" si="12"/>
        <v/>
      </c>
      <c r="C450" s="363"/>
      <c r="D450" s="363"/>
      <c r="E450" s="363"/>
      <c r="F450" s="364"/>
      <c r="G450" s="382"/>
      <c r="H450" s="365"/>
      <c r="I450" s="518"/>
      <c r="J450" s="518"/>
      <c r="K450" s="509"/>
      <c r="L450" s="518"/>
      <c r="M450" s="65"/>
      <c r="N450" s="366"/>
      <c r="O450" s="366"/>
      <c r="P450" s="87" t="str">
        <f>IF(AND('331-CT'!$E$7=TH!H450,OR(N450="331",O450="331")),"x","")</f>
        <v/>
      </c>
      <c r="Q450" s="87" t="str">
        <f>IF(AND(B450='111'!$L$11,OR($N450=$Q$7,$O450=$Q$7)),"x","")</f>
        <v/>
      </c>
      <c r="R450" s="87" t="str">
        <f>IF(AND($N450=$Q$7,$B450&lt;'111'!$L$11),"x","")</f>
        <v/>
      </c>
      <c r="S450" s="87" t="str">
        <f>IF(AND($O450=$Q$7,$B450&lt;'111'!$L$11),"x","")</f>
        <v/>
      </c>
      <c r="T450" s="87" t="str">
        <f>IF(ISERROR(FIND('112'!$M$9,G450,1)),"",IF((AND(FIND('112'!$M$9,G450,1)&gt;=1,B450='112'!$K$9,OR($N450='112'!$I$6,$O450='112'!$I$6))),"x",""))</f>
        <v/>
      </c>
      <c r="U450" s="87" t="str">
        <f>IF(ISERROR(FIND('112'!$M$9,G450,1)),"",IF((AND(FIND('112'!$M$9,G450,1)&gt;=1,B450&lt;'112'!$K$9,$N450='112'!$I$6)),"x",""))</f>
        <v/>
      </c>
      <c r="V450" s="87" t="str">
        <f>IF(ISERROR(FIND('112'!$M$9,G450,1)),"",IF((AND(FIND('112'!$M$9,G450,1)&gt;=1,B450&lt;'112'!$K$9,$O450='112'!$I$6)),"x",""))</f>
        <v/>
      </c>
      <c r="W450" s="87" t="str">
        <f>IF(AND($B450&gt;='1331'!$I$9,$B450&lt;='1331'!$J$9,OR($N450=$W$7,$O450=$W$7)),"x","")</f>
        <v/>
      </c>
      <c r="X450" s="87" t="str">
        <f>IF(AND($N450=$W$7,$B450&lt;'1331'!$I$9),"x","")</f>
        <v/>
      </c>
      <c r="Y450" s="87" t="str">
        <f>IF(AND($O450=$W$7,$B450&lt;'1331'!$I$9),"x","")</f>
        <v/>
      </c>
      <c r="Z450" s="87" t="str">
        <f>IF(AND('341-CT'!$H$9=H450,OR(LEFT(N450,3)=$Z$7,LEFT(O450,3)=$Z$7)),"x","")</f>
        <v/>
      </c>
      <c r="AA450" s="87" t="str">
        <f>IF(OR(TH!N450=TH!$AA$7,O450=TH!$AA$7),"x","")</f>
        <v/>
      </c>
      <c r="AB450" s="87" t="str">
        <f>IF(AND(OR(N450="131",O450="131"),H450='131-CT'!$H$9),"x","")</f>
        <v/>
      </c>
      <c r="AC450" s="87"/>
      <c r="AD450" s="87" t="str">
        <f>IF(AND(MONTH(E450)='IN-NX'!$J$5,'IN-NX'!$D$7=D450),"x","")</f>
        <v/>
      </c>
      <c r="AE450" s="87" t="str">
        <f>IF(AND(OR(LEFT(TH!N450,2)="15",LEFT(TH!O450,2)="15"),'152-CT'!$J$8=TH!F450),"x","")</f>
        <v/>
      </c>
      <c r="AF450" s="87" t="str">
        <f>IF(AND(OR(LEFT(TH!N450,2)="15",LEFT(TH!O450,2)="15"),'THE KHO'!$E$7=TH!F450),"x","")</f>
        <v/>
      </c>
      <c r="AG450" s="87" t="str">
        <f>IF(AND(N450="1521",MONTH(C450)='BK NL'!$M$11),"x","")</f>
        <v/>
      </c>
    </row>
    <row r="451" spans="1:33" ht="15.75" customHeight="1">
      <c r="A451" s="399" t="str">
        <f>IF(B451&lt;&gt;"",IF(AND(B451&gt;=_TM1,B451&lt;=_TM2,OR(TH!N451="1111",TH!O451="1111")),TH!D451,""),"")</f>
        <v/>
      </c>
      <c r="B451" s="63" t="str">
        <f t="shared" si="12"/>
        <v/>
      </c>
      <c r="C451" s="363"/>
      <c r="D451" s="363"/>
      <c r="E451" s="363"/>
      <c r="F451" s="364"/>
      <c r="G451" s="382"/>
      <c r="H451" s="365"/>
      <c r="I451" s="518"/>
      <c r="J451" s="518"/>
      <c r="K451" s="509"/>
      <c r="L451" s="518"/>
      <c r="M451" s="65"/>
      <c r="N451" s="366"/>
      <c r="O451" s="366"/>
      <c r="P451" s="87" t="str">
        <f>IF(AND('331-CT'!$E$7=TH!H451,OR(N451="331",O451="331")),"x","")</f>
        <v/>
      </c>
      <c r="Q451" s="87" t="str">
        <f>IF(AND(B451='111'!$L$11,OR($N451=$Q$7,$O451=$Q$7)),"x","")</f>
        <v/>
      </c>
      <c r="R451" s="87" t="str">
        <f>IF(AND($N451=$Q$7,$B451&lt;'111'!$L$11),"x","")</f>
        <v/>
      </c>
      <c r="S451" s="87" t="str">
        <f>IF(AND($O451=$Q$7,$B451&lt;'111'!$L$11),"x","")</f>
        <v/>
      </c>
      <c r="T451" s="87" t="str">
        <f>IF(ISERROR(FIND('112'!$M$9,G451,1)),"",IF((AND(FIND('112'!$M$9,G451,1)&gt;=1,B451='112'!$K$9,OR($N451='112'!$I$6,$O451='112'!$I$6))),"x",""))</f>
        <v/>
      </c>
      <c r="U451" s="87" t="str">
        <f>IF(ISERROR(FIND('112'!$M$9,G451,1)),"",IF((AND(FIND('112'!$M$9,G451,1)&gt;=1,B451&lt;'112'!$K$9,$N451='112'!$I$6)),"x",""))</f>
        <v/>
      </c>
      <c r="V451" s="87" t="str">
        <f>IF(ISERROR(FIND('112'!$M$9,G451,1)),"",IF((AND(FIND('112'!$M$9,G451,1)&gt;=1,B451&lt;'112'!$K$9,$O451='112'!$I$6)),"x",""))</f>
        <v/>
      </c>
      <c r="W451" s="87" t="str">
        <f>IF(AND($B451&gt;='1331'!$I$9,$B451&lt;='1331'!$J$9,OR($N451=$W$7,$O451=$W$7)),"x","")</f>
        <v/>
      </c>
      <c r="X451" s="87" t="str">
        <f>IF(AND($N451=$W$7,$B451&lt;'1331'!$I$9),"x","")</f>
        <v/>
      </c>
      <c r="Y451" s="87" t="str">
        <f>IF(AND($O451=$W$7,$B451&lt;'1331'!$I$9),"x","")</f>
        <v/>
      </c>
      <c r="Z451" s="87" t="str">
        <f>IF(AND('341-CT'!$H$9=H451,OR(LEFT(N451,3)=$Z$7,LEFT(O451,3)=$Z$7)),"x","")</f>
        <v/>
      </c>
      <c r="AA451" s="87" t="str">
        <f>IF(OR(TH!N451=TH!$AA$7,O451=TH!$AA$7),"x","")</f>
        <v/>
      </c>
      <c r="AB451" s="87" t="str">
        <f>IF(AND(OR(N451="131",O451="131"),H451='131-CT'!$H$9),"x","")</f>
        <v/>
      </c>
      <c r="AC451" s="87"/>
      <c r="AD451" s="87" t="str">
        <f>IF(AND(MONTH(E451)='IN-NX'!$J$5,'IN-NX'!$D$7=D451),"x","")</f>
        <v/>
      </c>
      <c r="AE451" s="87" t="str">
        <f>IF(AND(OR(LEFT(TH!N451,2)="15",LEFT(TH!O451,2)="15"),'152-CT'!$J$8=TH!F451),"x","")</f>
        <v/>
      </c>
      <c r="AF451" s="87" t="str">
        <f>IF(AND(OR(LEFT(TH!N451,2)="15",LEFT(TH!O451,2)="15"),'THE KHO'!$E$7=TH!F451),"x","")</f>
        <v/>
      </c>
      <c r="AG451" s="87" t="str">
        <f>IF(AND(N451="1521",MONTH(C451)='BK NL'!$M$11),"x","")</f>
        <v/>
      </c>
    </row>
    <row r="452" spans="1:33" ht="15.75" customHeight="1">
      <c r="A452" s="399" t="str">
        <f>IF(B452&lt;&gt;"",IF(AND(B452&gt;=_TM1,B452&lt;=_TM2,OR(TH!N452="1111",TH!O452="1111")),TH!D452,""),"")</f>
        <v/>
      </c>
      <c r="B452" s="63" t="str">
        <f t="shared" si="12"/>
        <v/>
      </c>
      <c r="C452" s="64"/>
      <c r="D452" s="363"/>
      <c r="E452" s="64"/>
      <c r="F452" s="67"/>
      <c r="G452" s="376"/>
      <c r="H452" s="75"/>
      <c r="I452" s="518"/>
      <c r="J452" s="518"/>
      <c r="K452" s="509"/>
      <c r="L452" s="518"/>
      <c r="M452" s="65"/>
      <c r="N452" s="66"/>
      <c r="O452" s="66"/>
      <c r="P452" s="87" t="str">
        <f>IF(AND('331-CT'!$E$7=TH!H452,OR(N452="331",O452="331")),"x","")</f>
        <v/>
      </c>
      <c r="Q452" s="87" t="str">
        <f>IF(AND(B452='111'!$L$11,OR($N452=$Q$7,$O452=$Q$7)),"x","")</f>
        <v/>
      </c>
      <c r="R452" s="87" t="str">
        <f>IF(AND($N452=$Q$7,$B452&lt;'111'!$L$11),"x","")</f>
        <v/>
      </c>
      <c r="S452" s="87" t="str">
        <f>IF(AND($O452=$Q$7,$B452&lt;'111'!$L$11),"x","")</f>
        <v/>
      </c>
      <c r="T452" s="87" t="str">
        <f>IF(ISERROR(FIND('112'!$M$9,G452,1)),"",IF((AND(FIND('112'!$M$9,G452,1)&gt;=1,B452='112'!$K$9,OR($N452='112'!$I$6,$O452='112'!$I$6))),"x",""))</f>
        <v/>
      </c>
      <c r="U452" s="87" t="str">
        <f>IF(ISERROR(FIND('112'!$M$9,G452,1)),"",IF((AND(FIND('112'!$M$9,G452,1)&gt;=1,B452&lt;'112'!$K$9,$N452='112'!$I$6)),"x",""))</f>
        <v/>
      </c>
      <c r="V452" s="87" t="str">
        <f>IF(ISERROR(FIND('112'!$M$9,G452,1)),"",IF((AND(FIND('112'!$M$9,G452,1)&gt;=1,B452&lt;'112'!$K$9,$O452='112'!$I$6)),"x",""))</f>
        <v/>
      </c>
      <c r="W452" s="87" t="str">
        <f>IF(AND($B452&gt;='1331'!$I$9,$B452&lt;='1331'!$J$9,OR($N452=$W$7,$O452=$W$7)),"x","")</f>
        <v/>
      </c>
      <c r="X452" s="87" t="str">
        <f>IF(AND($N452=$W$7,$B452&lt;'1331'!$I$9),"x","")</f>
        <v/>
      </c>
      <c r="Y452" s="87" t="str">
        <f>IF(AND($O452=$W$7,$B452&lt;'1331'!$I$9),"x","")</f>
        <v/>
      </c>
      <c r="Z452" s="87" t="str">
        <f>IF(AND('341-CT'!$H$9=H452,OR(LEFT(N452,3)=$Z$7,LEFT(O452,3)=$Z$7)),"x","")</f>
        <v/>
      </c>
      <c r="AA452" s="87" t="str">
        <f>IF(OR(TH!N452=TH!$AA$7,O452=TH!$AA$7),"x","")</f>
        <v/>
      </c>
      <c r="AB452" s="87" t="str">
        <f>IF(AND(OR(N452="131",O452="131"),H452='131-CT'!$H$9),"x","")</f>
        <v/>
      </c>
      <c r="AC452" s="87"/>
      <c r="AD452" s="87" t="str">
        <f>IF(AND(MONTH(E452)='IN-NX'!$J$5,'IN-NX'!$D$7=D452),"x","")</f>
        <v/>
      </c>
      <c r="AE452" s="87" t="str">
        <f>IF(AND(OR(LEFT(TH!N452,2)="15",LEFT(TH!O452,2)="15"),'152-CT'!$J$8=TH!F452),"x","")</f>
        <v/>
      </c>
      <c r="AF452" s="87" t="str">
        <f>IF(AND(OR(LEFT(TH!N452,2)="15",LEFT(TH!O452,2)="15"),'THE KHO'!$E$7=TH!F452),"x","")</f>
        <v/>
      </c>
      <c r="AG452" s="87" t="str">
        <f>IF(AND(N452="1521",MONTH(C452)='BK NL'!$M$11),"x","")</f>
        <v/>
      </c>
    </row>
    <row r="453" spans="1:33" ht="15.75" customHeight="1">
      <c r="A453" s="399" t="str">
        <f>IF(B453&lt;&gt;"",IF(AND(B453&gt;=_TM1,B453&lt;=_TM2,OR(TH!N453="1111",TH!O453="1111")),TH!D453,""),"")</f>
        <v/>
      </c>
      <c r="B453" s="63" t="str">
        <f t="shared" si="12"/>
        <v/>
      </c>
      <c r="C453" s="64"/>
      <c r="D453" s="363"/>
      <c r="E453" s="64"/>
      <c r="F453" s="67"/>
      <c r="G453" s="376"/>
      <c r="H453" s="75"/>
      <c r="I453" s="518"/>
      <c r="J453" s="518"/>
      <c r="K453" s="509"/>
      <c r="L453" s="518"/>
      <c r="M453" s="65"/>
      <c r="N453" s="66"/>
      <c r="O453" s="66"/>
      <c r="P453" s="87" t="str">
        <f>IF(AND('331-CT'!$E$7=TH!H453,OR(N453="331",O453="331")),"x","")</f>
        <v/>
      </c>
      <c r="Q453" s="87" t="str">
        <f>IF(AND(B453='111'!$L$11,OR($N453=$Q$7,$O453=$Q$7)),"x","")</f>
        <v/>
      </c>
      <c r="R453" s="87" t="str">
        <f>IF(AND($N453=$Q$7,$B453&lt;'111'!$L$11),"x","")</f>
        <v/>
      </c>
      <c r="S453" s="87" t="str">
        <f>IF(AND($O453=$Q$7,$B453&lt;'111'!$L$11),"x","")</f>
        <v/>
      </c>
      <c r="T453" s="87" t="str">
        <f>IF(ISERROR(FIND('112'!$M$9,G453,1)),"",IF((AND(FIND('112'!$M$9,G453,1)&gt;=1,B453='112'!$K$9,OR($N453='112'!$I$6,$O453='112'!$I$6))),"x",""))</f>
        <v/>
      </c>
      <c r="U453" s="87" t="str">
        <f>IF(ISERROR(FIND('112'!$M$9,G453,1)),"",IF((AND(FIND('112'!$M$9,G453,1)&gt;=1,B453&lt;'112'!$K$9,$N453='112'!$I$6)),"x",""))</f>
        <v/>
      </c>
      <c r="V453" s="87" t="str">
        <f>IF(ISERROR(FIND('112'!$M$9,G453,1)),"",IF((AND(FIND('112'!$M$9,G453,1)&gt;=1,B453&lt;'112'!$K$9,$O453='112'!$I$6)),"x",""))</f>
        <v/>
      </c>
      <c r="W453" s="87" t="str">
        <f>IF(AND($B453&gt;='1331'!$I$9,$B453&lt;='1331'!$J$9,OR($N453=$W$7,$O453=$W$7)),"x","")</f>
        <v/>
      </c>
      <c r="X453" s="87" t="str">
        <f>IF(AND($N453=$W$7,$B453&lt;'1331'!$I$9),"x","")</f>
        <v/>
      </c>
      <c r="Y453" s="87" t="str">
        <f>IF(AND($O453=$W$7,$B453&lt;'1331'!$I$9),"x","")</f>
        <v/>
      </c>
      <c r="Z453" s="87" t="str">
        <f>IF(AND('341-CT'!$H$9=H453,OR(LEFT(N453,3)=$Z$7,LEFT(O453,3)=$Z$7)),"x","")</f>
        <v/>
      </c>
      <c r="AA453" s="87" t="str">
        <f>IF(OR(TH!N453=TH!$AA$7,O453=TH!$AA$7),"x","")</f>
        <v/>
      </c>
      <c r="AB453" s="87" t="str">
        <f>IF(AND(OR(N453="131",O453="131"),H453='131-CT'!$H$9),"x","")</f>
        <v/>
      </c>
      <c r="AC453" s="87"/>
      <c r="AD453" s="87" t="str">
        <f>IF(AND(MONTH(E453)='IN-NX'!$J$5,'IN-NX'!$D$7=D453),"x","")</f>
        <v/>
      </c>
      <c r="AE453" s="87" t="str">
        <f>IF(AND(OR(LEFT(TH!N453,2)="15",LEFT(TH!O453,2)="15"),'152-CT'!$J$8=TH!F453),"x","")</f>
        <v/>
      </c>
      <c r="AF453" s="87" t="str">
        <f>IF(AND(OR(LEFT(TH!N453,2)="15",LEFT(TH!O453,2)="15"),'THE KHO'!$E$7=TH!F453),"x","")</f>
        <v/>
      </c>
      <c r="AG453" s="87" t="str">
        <f>IF(AND(N453="1521",MONTH(C453)='BK NL'!$M$11),"x","")</f>
        <v/>
      </c>
    </row>
    <row r="454" spans="1:33" ht="15.75" customHeight="1">
      <c r="A454" s="399" t="str">
        <f>IF(B454&lt;&gt;"",IF(AND(B454&gt;=_TM1,B454&lt;=_TM2,OR(TH!N454="1111",TH!O454="1111")),TH!D454,""),"")</f>
        <v/>
      </c>
      <c r="B454" s="63" t="str">
        <f t="shared" si="12"/>
        <v/>
      </c>
      <c r="C454" s="363"/>
      <c r="D454" s="363"/>
      <c r="E454" s="363"/>
      <c r="F454" s="364"/>
      <c r="G454" s="382"/>
      <c r="H454" s="365"/>
      <c r="I454" s="518"/>
      <c r="J454" s="518"/>
      <c r="K454" s="509"/>
      <c r="L454" s="518"/>
      <c r="M454" s="65"/>
      <c r="N454" s="366"/>
      <c r="O454" s="366"/>
      <c r="P454" s="87" t="str">
        <f>IF(AND('331-CT'!$E$7=TH!H454,OR(N454="331",O454="331")),"x","")</f>
        <v/>
      </c>
      <c r="Q454" s="87" t="str">
        <f>IF(AND(B454='111'!$L$11,OR($N454=$Q$7,$O454=$Q$7)),"x","")</f>
        <v/>
      </c>
      <c r="R454" s="87" t="str">
        <f>IF(AND($N454=$Q$7,$B454&lt;'111'!$L$11),"x","")</f>
        <v/>
      </c>
      <c r="S454" s="87" t="str">
        <f>IF(AND($O454=$Q$7,$B454&lt;'111'!$L$11),"x","")</f>
        <v/>
      </c>
      <c r="T454" s="87" t="str">
        <f>IF(ISERROR(FIND('112'!$M$9,G454,1)),"",IF((AND(FIND('112'!$M$9,G454,1)&gt;=1,B454='112'!$K$9,OR($N454='112'!$I$6,$O454='112'!$I$6))),"x",""))</f>
        <v/>
      </c>
      <c r="U454" s="87" t="str">
        <f>IF(ISERROR(FIND('112'!$M$9,G454,1)),"",IF((AND(FIND('112'!$M$9,G454,1)&gt;=1,B454&lt;'112'!$K$9,$N454='112'!$I$6)),"x",""))</f>
        <v/>
      </c>
      <c r="V454" s="87" t="str">
        <f>IF(ISERROR(FIND('112'!$M$9,G454,1)),"",IF((AND(FIND('112'!$M$9,G454,1)&gt;=1,B454&lt;'112'!$K$9,$O454='112'!$I$6)),"x",""))</f>
        <v/>
      </c>
      <c r="W454" s="87" t="str">
        <f>IF(AND($B454&gt;='1331'!$I$9,$B454&lt;='1331'!$J$9,OR($N454=$W$7,$O454=$W$7)),"x","")</f>
        <v/>
      </c>
      <c r="X454" s="87" t="str">
        <f>IF(AND($N454=$W$7,$B454&lt;'1331'!$I$9),"x","")</f>
        <v/>
      </c>
      <c r="Y454" s="87" t="str">
        <f>IF(AND($O454=$W$7,$B454&lt;'1331'!$I$9),"x","")</f>
        <v/>
      </c>
      <c r="Z454" s="87" t="str">
        <f>IF(AND('341-CT'!$H$9=H454,OR(LEFT(N454,3)=$Z$7,LEFT(O454,3)=$Z$7)),"x","")</f>
        <v/>
      </c>
      <c r="AA454" s="87" t="str">
        <f>IF(OR(TH!N454=TH!$AA$7,O454=TH!$AA$7),"x","")</f>
        <v/>
      </c>
      <c r="AB454" s="87" t="str">
        <f>IF(AND(OR(N454="131",O454="131"),H454='131-CT'!$H$9),"x","")</f>
        <v/>
      </c>
      <c r="AC454" s="87"/>
      <c r="AD454" s="87" t="str">
        <f>IF(AND(MONTH(E454)='IN-NX'!$J$5,'IN-NX'!$D$7=D454),"x","")</f>
        <v/>
      </c>
      <c r="AE454" s="87" t="str">
        <f>IF(AND(OR(LEFT(TH!N454,2)="15",LEFT(TH!O454,2)="15"),'152-CT'!$J$8=TH!F454),"x","")</f>
        <v/>
      </c>
      <c r="AF454" s="87" t="str">
        <f>IF(AND(OR(LEFT(TH!N454,2)="15",LEFT(TH!O454,2)="15"),'THE KHO'!$E$7=TH!F454),"x","")</f>
        <v/>
      </c>
      <c r="AG454" s="87" t="str">
        <f>IF(AND(N454="1521",MONTH(C454)='BK NL'!$M$11),"x","")</f>
        <v/>
      </c>
    </row>
    <row r="455" spans="1:33" ht="15.75" customHeight="1">
      <c r="A455" s="399" t="str">
        <f>IF(B455&lt;&gt;"",IF(AND(B455&gt;=_TM1,B455&lt;=_TM2,OR(TH!N455="1111",TH!O455="1111")),TH!D455,""),"")</f>
        <v/>
      </c>
      <c r="B455" s="63" t="str">
        <f t="shared" si="12"/>
        <v/>
      </c>
      <c r="C455" s="363"/>
      <c r="D455" s="363"/>
      <c r="E455" s="363"/>
      <c r="F455" s="364"/>
      <c r="G455" s="381"/>
      <c r="H455" s="365"/>
      <c r="I455" s="518"/>
      <c r="J455" s="518"/>
      <c r="K455" s="509"/>
      <c r="L455" s="518"/>
      <c r="M455" s="65"/>
      <c r="N455" s="366"/>
      <c r="O455" s="366"/>
      <c r="P455" s="87" t="str">
        <f>IF(AND('331-CT'!$E$7=TH!H455,OR(N455="331",O455="331")),"x","")</f>
        <v/>
      </c>
      <c r="Q455" s="87" t="str">
        <f>IF(AND(B455='111'!$L$11,OR($N455=$Q$7,$O455=$Q$7)),"x","")</f>
        <v/>
      </c>
      <c r="R455" s="87" t="str">
        <f>IF(AND($N455=$Q$7,$B455&lt;'111'!$L$11),"x","")</f>
        <v/>
      </c>
      <c r="S455" s="87" t="str">
        <f>IF(AND($O455=$Q$7,$B455&lt;'111'!$L$11),"x","")</f>
        <v/>
      </c>
      <c r="T455" s="87" t="str">
        <f>IF(ISERROR(FIND('112'!$M$9,G455,1)),"",IF((AND(FIND('112'!$M$9,G455,1)&gt;=1,B455='112'!$K$9,OR($N455='112'!$I$6,$O455='112'!$I$6))),"x",""))</f>
        <v/>
      </c>
      <c r="U455" s="87" t="str">
        <f>IF(ISERROR(FIND('112'!$M$9,G455,1)),"",IF((AND(FIND('112'!$M$9,G455,1)&gt;=1,B455&lt;'112'!$K$9,$N455='112'!$I$6)),"x",""))</f>
        <v/>
      </c>
      <c r="V455" s="87" t="str">
        <f>IF(ISERROR(FIND('112'!$M$9,G455,1)),"",IF((AND(FIND('112'!$M$9,G455,1)&gt;=1,B455&lt;'112'!$K$9,$O455='112'!$I$6)),"x",""))</f>
        <v/>
      </c>
      <c r="W455" s="87" t="str">
        <f>IF(AND($B455&gt;='1331'!$I$9,$B455&lt;='1331'!$J$9,OR($N455=$W$7,$O455=$W$7)),"x","")</f>
        <v/>
      </c>
      <c r="X455" s="87" t="str">
        <f>IF(AND($N455=$W$7,$B455&lt;'1331'!$I$9),"x","")</f>
        <v/>
      </c>
      <c r="Y455" s="87" t="str">
        <f>IF(AND($O455=$W$7,$B455&lt;'1331'!$I$9),"x","")</f>
        <v/>
      </c>
      <c r="Z455" s="87" t="str">
        <f>IF(AND('341-CT'!$H$9=H455,OR(LEFT(N455,3)=$Z$7,LEFT(O455,3)=$Z$7)),"x","")</f>
        <v/>
      </c>
      <c r="AA455" s="87" t="str">
        <f>IF(OR(TH!N455=TH!$AA$7,O455=TH!$AA$7),"x","")</f>
        <v/>
      </c>
      <c r="AB455" s="87" t="str">
        <f>IF(AND(OR(N455="131",O455="131"),H455='131-CT'!$H$9),"x","")</f>
        <v/>
      </c>
      <c r="AC455" s="87"/>
      <c r="AD455" s="87" t="str">
        <f>IF(AND(MONTH(E455)='IN-NX'!$J$5,'IN-NX'!$D$7=D455),"x","")</f>
        <v/>
      </c>
      <c r="AE455" s="87" t="str">
        <f>IF(AND(OR(LEFT(TH!N455,2)="15",LEFT(TH!O455,2)="15"),'152-CT'!$J$8=TH!F455),"x","")</f>
        <v/>
      </c>
      <c r="AF455" s="87" t="str">
        <f>IF(AND(OR(LEFT(TH!N455,2)="15",LEFT(TH!O455,2)="15"),'THE KHO'!$E$7=TH!F455),"x","")</f>
        <v/>
      </c>
      <c r="AG455" s="87" t="str">
        <f>IF(AND(N455="1521",MONTH(C455)='BK NL'!$M$11),"x","")</f>
        <v/>
      </c>
    </row>
    <row r="456" spans="1:33" ht="15.75" customHeight="1">
      <c r="A456" s="399" t="str">
        <f>IF(B456&lt;&gt;"",IF(AND(B456&gt;=_TM1,B456&lt;=_TM2,OR(TH!N456="1111",TH!O456="1111")),TH!D456,""),"")</f>
        <v/>
      </c>
      <c r="B456" s="63" t="str">
        <f t="shared" si="12"/>
        <v/>
      </c>
      <c r="C456" s="363"/>
      <c r="D456" s="363"/>
      <c r="E456" s="363"/>
      <c r="F456" s="364"/>
      <c r="G456" s="381"/>
      <c r="H456" s="365"/>
      <c r="I456" s="518"/>
      <c r="J456" s="518"/>
      <c r="K456" s="509"/>
      <c r="L456" s="518"/>
      <c r="M456" s="65"/>
      <c r="N456" s="366"/>
      <c r="O456" s="366"/>
      <c r="P456" s="87" t="str">
        <f>IF(AND('331-CT'!$E$7=TH!H456,OR(N456="331",O456="331")),"x","")</f>
        <v/>
      </c>
      <c r="Q456" s="87" t="str">
        <f>IF(AND(B456='111'!$L$11,OR($N456=$Q$7,$O456=$Q$7)),"x","")</f>
        <v/>
      </c>
      <c r="R456" s="87" t="str">
        <f>IF(AND($N456=$Q$7,$B456&lt;'111'!$L$11),"x","")</f>
        <v/>
      </c>
      <c r="S456" s="87" t="str">
        <f>IF(AND($O456=$Q$7,$B456&lt;'111'!$L$11),"x","")</f>
        <v/>
      </c>
      <c r="T456" s="87" t="str">
        <f>IF(ISERROR(FIND('112'!$M$9,G456,1)),"",IF((AND(FIND('112'!$M$9,G456,1)&gt;=1,B456='112'!$K$9,OR($N456='112'!$I$6,$O456='112'!$I$6))),"x",""))</f>
        <v/>
      </c>
      <c r="U456" s="87" t="str">
        <f>IF(ISERROR(FIND('112'!$M$9,G456,1)),"",IF((AND(FIND('112'!$M$9,G456,1)&gt;=1,B456&lt;'112'!$K$9,$N456='112'!$I$6)),"x",""))</f>
        <v/>
      </c>
      <c r="V456" s="87" t="str">
        <f>IF(ISERROR(FIND('112'!$M$9,G456,1)),"",IF((AND(FIND('112'!$M$9,G456,1)&gt;=1,B456&lt;'112'!$K$9,$O456='112'!$I$6)),"x",""))</f>
        <v/>
      </c>
      <c r="W456" s="87" t="str">
        <f>IF(AND($B456&gt;='1331'!$I$9,$B456&lt;='1331'!$J$9,OR($N456=$W$7,$O456=$W$7)),"x","")</f>
        <v/>
      </c>
      <c r="X456" s="87" t="str">
        <f>IF(AND($N456=$W$7,$B456&lt;'1331'!$I$9),"x","")</f>
        <v/>
      </c>
      <c r="Y456" s="87" t="str">
        <f>IF(AND($O456=$W$7,$B456&lt;'1331'!$I$9),"x","")</f>
        <v/>
      </c>
      <c r="Z456" s="87" t="str">
        <f>IF(AND('341-CT'!$H$9=H456,OR(LEFT(N456,3)=$Z$7,LEFT(O456,3)=$Z$7)),"x","")</f>
        <v/>
      </c>
      <c r="AA456" s="87" t="str">
        <f>IF(OR(TH!N456=TH!$AA$7,O456=TH!$AA$7),"x","")</f>
        <v/>
      </c>
      <c r="AB456" s="87" t="str">
        <f>IF(AND(OR(N456="131",O456="131"),H456='131-CT'!$H$9),"x","")</f>
        <v/>
      </c>
      <c r="AC456" s="87"/>
      <c r="AD456" s="87" t="str">
        <f>IF(AND(MONTH(E456)='IN-NX'!$J$5,'IN-NX'!$D$7=D456),"x","")</f>
        <v/>
      </c>
      <c r="AE456" s="87" t="str">
        <f>IF(AND(OR(LEFT(TH!N456,2)="15",LEFT(TH!O456,2)="15"),'152-CT'!$J$8=TH!F456),"x","")</f>
        <v/>
      </c>
      <c r="AF456" s="87" t="str">
        <f>IF(AND(OR(LEFT(TH!N456,2)="15",LEFT(TH!O456,2)="15"),'THE KHO'!$E$7=TH!F456),"x","")</f>
        <v/>
      </c>
      <c r="AG456" s="87" t="str">
        <f>IF(AND(N456="1521",MONTH(C456)='BK NL'!$M$11),"x","")</f>
        <v/>
      </c>
    </row>
    <row r="457" spans="1:33" ht="15.75" customHeight="1">
      <c r="A457" s="399" t="str">
        <f>IF(B457&lt;&gt;"",IF(AND(B457&gt;=_TM1,B457&lt;=_TM2,OR(TH!N457="1111",TH!O457="1111")),TH!D457,""),"")</f>
        <v/>
      </c>
      <c r="B457" s="63" t="str">
        <f t="shared" si="12"/>
        <v/>
      </c>
      <c r="C457" s="363"/>
      <c r="D457" s="363"/>
      <c r="E457" s="363"/>
      <c r="F457" s="364"/>
      <c r="G457" s="381"/>
      <c r="H457" s="365"/>
      <c r="I457" s="518"/>
      <c r="J457" s="518"/>
      <c r="K457" s="509"/>
      <c r="L457" s="518"/>
      <c r="M457" s="65"/>
      <c r="N457" s="366"/>
      <c r="O457" s="366"/>
      <c r="P457" s="87" t="str">
        <f>IF(AND('331-CT'!$E$7=TH!H457,OR(N457="331",O457="331")),"x","")</f>
        <v/>
      </c>
      <c r="Q457" s="87" t="str">
        <f>IF(AND(B457='111'!$L$11,OR($N457=$Q$7,$O457=$Q$7)),"x","")</f>
        <v/>
      </c>
      <c r="R457" s="87" t="str">
        <f>IF(AND($N457=$Q$7,$B457&lt;'111'!$L$11),"x","")</f>
        <v/>
      </c>
      <c r="S457" s="87" t="str">
        <f>IF(AND($O457=$Q$7,$B457&lt;'111'!$L$11),"x","")</f>
        <v/>
      </c>
      <c r="T457" s="87" t="str">
        <f>IF(ISERROR(FIND('112'!$M$9,G457,1)),"",IF((AND(FIND('112'!$M$9,G457,1)&gt;=1,B457='112'!$K$9,OR($N457='112'!$I$6,$O457='112'!$I$6))),"x",""))</f>
        <v/>
      </c>
      <c r="U457" s="87" t="str">
        <f>IF(ISERROR(FIND('112'!$M$9,G457,1)),"",IF((AND(FIND('112'!$M$9,G457,1)&gt;=1,B457&lt;'112'!$K$9,$N457='112'!$I$6)),"x",""))</f>
        <v/>
      </c>
      <c r="V457" s="87" t="str">
        <f>IF(ISERROR(FIND('112'!$M$9,G457,1)),"",IF((AND(FIND('112'!$M$9,G457,1)&gt;=1,B457&lt;'112'!$K$9,$O457='112'!$I$6)),"x",""))</f>
        <v/>
      </c>
      <c r="W457" s="87" t="str">
        <f>IF(AND($B457&gt;='1331'!$I$9,$B457&lt;='1331'!$J$9,OR($N457=$W$7,$O457=$W$7)),"x","")</f>
        <v/>
      </c>
      <c r="X457" s="87" t="str">
        <f>IF(AND($N457=$W$7,$B457&lt;'1331'!$I$9),"x","")</f>
        <v/>
      </c>
      <c r="Y457" s="87" t="str">
        <f>IF(AND($O457=$W$7,$B457&lt;'1331'!$I$9),"x","")</f>
        <v/>
      </c>
      <c r="Z457" s="87" t="str">
        <f>IF(AND('341-CT'!$H$9=H457,OR(LEFT(N457,3)=$Z$7,LEFT(O457,3)=$Z$7)),"x","")</f>
        <v/>
      </c>
      <c r="AA457" s="87" t="str">
        <f>IF(OR(TH!N457=TH!$AA$7,O457=TH!$AA$7),"x","")</f>
        <v/>
      </c>
      <c r="AB457" s="87" t="str">
        <f>IF(AND(OR(N457="131",O457="131"),H457='131-CT'!$H$9),"x","")</f>
        <v/>
      </c>
      <c r="AC457" s="87"/>
      <c r="AD457" s="87" t="str">
        <f>IF(AND(MONTH(E457)='IN-NX'!$J$5,'IN-NX'!$D$7=D457),"x","")</f>
        <v/>
      </c>
      <c r="AE457" s="87" t="str">
        <f>IF(AND(OR(LEFT(TH!N457,2)="15",LEFT(TH!O457,2)="15"),'152-CT'!$J$8=TH!F457),"x","")</f>
        <v/>
      </c>
      <c r="AF457" s="87" t="str">
        <f>IF(AND(OR(LEFT(TH!N457,2)="15",LEFT(TH!O457,2)="15"),'THE KHO'!$E$7=TH!F457),"x","")</f>
        <v/>
      </c>
      <c r="AG457" s="87" t="str">
        <f>IF(AND(N457="1521",MONTH(C457)='BK NL'!$M$11),"x","")</f>
        <v/>
      </c>
    </row>
    <row r="458" spans="1:33" ht="15.75" customHeight="1">
      <c r="A458" s="399" t="str">
        <f>IF(B458&lt;&gt;"",IF(AND(B458&gt;=_TM1,B458&lt;=_TM2,OR(TH!N458="1111",TH!O458="1111")),TH!D458,""),"")</f>
        <v/>
      </c>
      <c r="B458" s="63" t="str">
        <f t="shared" si="12"/>
        <v/>
      </c>
      <c r="C458" s="363"/>
      <c r="D458" s="363"/>
      <c r="E458" s="363"/>
      <c r="F458" s="364"/>
      <c r="G458" s="381"/>
      <c r="H458" s="365"/>
      <c r="I458" s="518"/>
      <c r="J458" s="518"/>
      <c r="K458" s="509"/>
      <c r="L458" s="518"/>
      <c r="M458" s="65"/>
      <c r="N458" s="366"/>
      <c r="O458" s="366"/>
      <c r="P458" s="87" t="str">
        <f>IF(AND('331-CT'!$E$7=TH!H458,OR(N458="331",O458="331")),"x","")</f>
        <v/>
      </c>
      <c r="Q458" s="87" t="str">
        <f>IF(AND(B458='111'!$L$11,OR($N458=$Q$7,$O458=$Q$7)),"x","")</f>
        <v/>
      </c>
      <c r="R458" s="87" t="str">
        <f>IF(AND($N458=$Q$7,$B458&lt;'111'!$L$11),"x","")</f>
        <v/>
      </c>
      <c r="S458" s="87" t="str">
        <f>IF(AND($O458=$Q$7,$B458&lt;'111'!$L$11),"x","")</f>
        <v/>
      </c>
      <c r="T458" s="87" t="str">
        <f>IF(ISERROR(FIND('112'!$M$9,G458,1)),"",IF((AND(FIND('112'!$M$9,G458,1)&gt;=1,B458='112'!$K$9,OR($N458='112'!$I$6,$O458='112'!$I$6))),"x",""))</f>
        <v/>
      </c>
      <c r="U458" s="87" t="str">
        <f>IF(ISERROR(FIND('112'!$M$9,G458,1)),"",IF((AND(FIND('112'!$M$9,G458,1)&gt;=1,B458&lt;'112'!$K$9,$N458='112'!$I$6)),"x",""))</f>
        <v/>
      </c>
      <c r="V458" s="87" t="str">
        <f>IF(ISERROR(FIND('112'!$M$9,G458,1)),"",IF((AND(FIND('112'!$M$9,G458,1)&gt;=1,B458&lt;'112'!$K$9,$O458='112'!$I$6)),"x",""))</f>
        <v/>
      </c>
      <c r="W458" s="87" t="str">
        <f>IF(AND($B458&gt;='1331'!$I$9,$B458&lt;='1331'!$J$9,OR($N458=$W$7,$O458=$W$7)),"x","")</f>
        <v/>
      </c>
      <c r="X458" s="87" t="str">
        <f>IF(AND($N458=$W$7,$B458&lt;'1331'!$I$9),"x","")</f>
        <v/>
      </c>
      <c r="Y458" s="87" t="str">
        <f>IF(AND($O458=$W$7,$B458&lt;'1331'!$I$9),"x","")</f>
        <v/>
      </c>
      <c r="Z458" s="87" t="str">
        <f>IF(AND('341-CT'!$H$9=H458,OR(LEFT(N458,3)=$Z$7,LEFT(O458,3)=$Z$7)),"x","")</f>
        <v/>
      </c>
      <c r="AA458" s="87" t="str">
        <f>IF(OR(TH!N458=TH!$AA$7,O458=TH!$AA$7),"x","")</f>
        <v/>
      </c>
      <c r="AB458" s="87" t="str">
        <f>IF(AND(OR(N458="131",O458="131"),H458='131-CT'!$H$9),"x","")</f>
        <v/>
      </c>
      <c r="AC458" s="87"/>
      <c r="AD458" s="87" t="str">
        <f>IF(AND(MONTH(E458)='IN-NX'!$J$5,'IN-NX'!$D$7=D458),"x","")</f>
        <v/>
      </c>
      <c r="AE458" s="87" t="str">
        <f>IF(AND(OR(LEFT(TH!N458,2)="15",LEFT(TH!O458,2)="15"),'152-CT'!$J$8=TH!F458),"x","")</f>
        <v/>
      </c>
      <c r="AF458" s="87" t="str">
        <f>IF(AND(OR(LEFT(TH!N458,2)="15",LEFT(TH!O458,2)="15"),'THE KHO'!$E$7=TH!F458),"x","")</f>
        <v/>
      </c>
      <c r="AG458" s="87" t="str">
        <f>IF(AND(N458="1521",MONTH(C458)='BK NL'!$M$11),"x","")</f>
        <v/>
      </c>
    </row>
    <row r="459" spans="1:33" ht="15.75" customHeight="1">
      <c r="A459" s="399" t="str">
        <f>IF(B459&lt;&gt;"",IF(AND(B459&gt;=_TM1,B459&lt;=_TM2,OR(TH!N459="1111",TH!O459="1111")),TH!D459,""),"")</f>
        <v/>
      </c>
      <c r="B459" s="63" t="str">
        <f t="shared" si="12"/>
        <v/>
      </c>
      <c r="C459" s="363"/>
      <c r="D459" s="363"/>
      <c r="E459" s="363"/>
      <c r="F459" s="364"/>
      <c r="G459" s="382"/>
      <c r="H459" s="409"/>
      <c r="I459" s="522"/>
      <c r="J459" s="522"/>
      <c r="K459" s="513"/>
      <c r="L459" s="522"/>
      <c r="M459" s="65"/>
      <c r="N459" s="366"/>
      <c r="O459" s="366"/>
      <c r="P459" s="87" t="str">
        <f>IF(AND('331-CT'!$E$7=TH!H459,OR(N459="331",O459="331")),"x","")</f>
        <v/>
      </c>
      <c r="Q459" s="87" t="str">
        <f>IF(AND(B459='111'!$L$11,OR($N459=$Q$7,$O459=$Q$7)),"x","")</f>
        <v/>
      </c>
      <c r="R459" s="87" t="str">
        <f>IF(AND($N459=$Q$7,$B459&lt;'111'!$L$11),"x","")</f>
        <v/>
      </c>
      <c r="S459" s="87" t="str">
        <f>IF(AND($O459=$Q$7,$B459&lt;'111'!$L$11),"x","")</f>
        <v/>
      </c>
      <c r="T459" s="87" t="str">
        <f>IF(ISERROR(FIND('112'!$M$9,G459,1)),"",IF((AND(FIND('112'!$M$9,G459,1)&gt;=1,B459='112'!$K$9,OR($N459='112'!$I$6,$O459='112'!$I$6))),"x",""))</f>
        <v/>
      </c>
      <c r="U459" s="87" t="str">
        <f>IF(ISERROR(FIND('112'!$M$9,G459,1)),"",IF((AND(FIND('112'!$M$9,G459,1)&gt;=1,B459&lt;'112'!$K$9,$N459='112'!$I$6)),"x",""))</f>
        <v/>
      </c>
      <c r="V459" s="87" t="str">
        <f>IF(ISERROR(FIND('112'!$M$9,G459,1)),"",IF((AND(FIND('112'!$M$9,G459,1)&gt;=1,B459&lt;'112'!$K$9,$O459='112'!$I$6)),"x",""))</f>
        <v/>
      </c>
      <c r="W459" s="87" t="str">
        <f>IF(AND($B459&gt;='1331'!$I$9,$B459&lt;='1331'!$J$9,OR($N459=$W$7,$O459=$W$7)),"x","")</f>
        <v/>
      </c>
      <c r="X459" s="87" t="str">
        <f>IF(AND($N459=$W$7,$B459&lt;'1331'!$I$9),"x","")</f>
        <v/>
      </c>
      <c r="Y459" s="87" t="str">
        <f>IF(AND($O459=$W$7,$B459&lt;'1331'!$I$9),"x","")</f>
        <v/>
      </c>
      <c r="Z459" s="87" t="str">
        <f>IF(AND('341-CT'!$H$9=H459,OR(LEFT(N459,3)=$Z$7,LEFT(O459,3)=$Z$7)),"x","")</f>
        <v/>
      </c>
      <c r="AA459" s="87" t="str">
        <f>IF(OR(TH!N459=TH!$AA$7,O459=TH!$AA$7),"x","")</f>
        <v/>
      </c>
      <c r="AB459" s="87" t="str">
        <f>IF(AND(OR(N459="131",O459="131"),H459='131-CT'!$H$9),"x","")</f>
        <v/>
      </c>
      <c r="AC459" s="87"/>
      <c r="AD459" s="87" t="str">
        <f>IF(AND(MONTH(E459)='IN-NX'!$J$5,'IN-NX'!$D$7=D459),"x","")</f>
        <v/>
      </c>
      <c r="AE459" s="87" t="str">
        <f>IF(AND(OR(LEFT(TH!N459,2)="15",LEFT(TH!O459,2)="15"),'152-CT'!$J$8=TH!F459),"x","")</f>
        <v/>
      </c>
      <c r="AF459" s="87" t="str">
        <f>IF(AND(OR(LEFT(TH!N459,2)="15",LEFT(TH!O459,2)="15"),'THE KHO'!$E$7=TH!F459),"x","")</f>
        <v/>
      </c>
      <c r="AG459" s="87" t="str">
        <f>IF(AND(N459="1521",MONTH(C459)='BK NL'!$M$11),"x","")</f>
        <v/>
      </c>
    </row>
    <row r="460" spans="1:33" ht="15.75" customHeight="1">
      <c r="A460" s="399" t="str">
        <f>IF(B460&lt;&gt;"",IF(AND(B460&gt;=_TM1,B460&lt;=_TM2,OR(TH!N460="1111",TH!O460="1111")),TH!D460,""),"")</f>
        <v/>
      </c>
      <c r="B460" s="63" t="str">
        <f t="shared" si="12"/>
        <v/>
      </c>
      <c r="C460" s="363"/>
      <c r="D460" s="363"/>
      <c r="E460" s="363"/>
      <c r="F460" s="364"/>
      <c r="G460" s="382"/>
      <c r="H460" s="365"/>
      <c r="I460" s="518"/>
      <c r="J460" s="518"/>
      <c r="K460" s="509"/>
      <c r="L460" s="518"/>
      <c r="M460" s="65"/>
      <c r="N460" s="366"/>
      <c r="O460" s="366"/>
      <c r="P460" s="87" t="str">
        <f>IF(AND('331-CT'!$E$7=TH!H460,OR(N460="331",O460="331")),"x","")</f>
        <v/>
      </c>
      <c r="Q460" s="87" t="str">
        <f>IF(AND(B460='111'!$L$11,OR($N460=$Q$7,$O460=$Q$7)),"x","")</f>
        <v/>
      </c>
      <c r="R460" s="87" t="str">
        <f>IF(AND($N460=$Q$7,$B460&lt;'111'!$L$11),"x","")</f>
        <v/>
      </c>
      <c r="S460" s="87" t="str">
        <f>IF(AND($O460=$Q$7,$B460&lt;'111'!$L$11),"x","")</f>
        <v/>
      </c>
      <c r="T460" s="87" t="str">
        <f>IF(ISERROR(FIND('112'!$M$9,G460,1)),"",IF((AND(FIND('112'!$M$9,G460,1)&gt;=1,B460='112'!$K$9,OR($N460='112'!$I$6,$O460='112'!$I$6))),"x",""))</f>
        <v/>
      </c>
      <c r="U460" s="87" t="str">
        <f>IF(ISERROR(FIND('112'!$M$9,G460,1)),"",IF((AND(FIND('112'!$M$9,G460,1)&gt;=1,B460&lt;'112'!$K$9,$N460='112'!$I$6)),"x",""))</f>
        <v/>
      </c>
      <c r="V460" s="87" t="str">
        <f>IF(ISERROR(FIND('112'!$M$9,G460,1)),"",IF((AND(FIND('112'!$M$9,G460,1)&gt;=1,B460&lt;'112'!$K$9,$O460='112'!$I$6)),"x",""))</f>
        <v/>
      </c>
      <c r="W460" s="87" t="str">
        <f>IF(AND($B460&gt;='1331'!$I$9,$B460&lt;='1331'!$J$9,OR($N460=$W$7,$O460=$W$7)),"x","")</f>
        <v/>
      </c>
      <c r="X460" s="87" t="str">
        <f>IF(AND($N460=$W$7,$B460&lt;'1331'!$I$9),"x","")</f>
        <v/>
      </c>
      <c r="Y460" s="87" t="str">
        <f>IF(AND($O460=$W$7,$B460&lt;'1331'!$I$9),"x","")</f>
        <v/>
      </c>
      <c r="Z460" s="87" t="str">
        <f>IF(AND('341-CT'!$H$9=H460,OR(LEFT(N460,3)=$Z$7,LEFT(O460,3)=$Z$7)),"x","")</f>
        <v/>
      </c>
      <c r="AA460" s="87" t="str">
        <f>IF(OR(TH!N460=TH!$AA$7,O460=TH!$AA$7),"x","")</f>
        <v/>
      </c>
      <c r="AB460" s="87" t="str">
        <f>IF(AND(OR(N460="131",O460="131"),H460='131-CT'!$H$9),"x","")</f>
        <v/>
      </c>
      <c r="AC460" s="87"/>
      <c r="AD460" s="87" t="str">
        <f>IF(AND(MONTH(E460)='IN-NX'!$J$5,'IN-NX'!$D$7=D460),"x","")</f>
        <v/>
      </c>
      <c r="AE460" s="87" t="str">
        <f>IF(AND(OR(LEFT(TH!N460,2)="15",LEFT(TH!O460,2)="15"),'152-CT'!$J$8=TH!F460),"x","")</f>
        <v/>
      </c>
      <c r="AF460" s="87" t="str">
        <f>IF(AND(OR(LEFT(TH!N460,2)="15",LEFT(TH!O460,2)="15"),'THE KHO'!$E$7=TH!F460),"x","")</f>
        <v/>
      </c>
      <c r="AG460" s="87" t="str">
        <f>IF(AND(N460="1521",MONTH(C460)='BK NL'!$M$11),"x","")</f>
        <v/>
      </c>
    </row>
    <row r="461" spans="1:33" ht="15.75" customHeight="1">
      <c r="A461" s="399" t="str">
        <f>IF(B461&lt;&gt;"",IF(AND(B461&gt;=_TM1,B461&lt;=_TM2,OR(TH!N461="1111",TH!O461="1111")),TH!D461,""),"")</f>
        <v/>
      </c>
      <c r="B461" s="63" t="str">
        <f t="shared" si="12"/>
        <v/>
      </c>
      <c r="C461" s="363"/>
      <c r="D461" s="363"/>
      <c r="E461" s="363"/>
      <c r="F461" s="364"/>
      <c r="G461" s="382"/>
      <c r="H461" s="365"/>
      <c r="I461" s="518"/>
      <c r="J461" s="518"/>
      <c r="K461" s="509"/>
      <c r="L461" s="518"/>
      <c r="M461" s="65"/>
      <c r="N461" s="366"/>
      <c r="O461" s="366"/>
      <c r="P461" s="87" t="str">
        <f>IF(AND('331-CT'!$E$7=TH!H461,OR(N461="331",O461="331")),"x","")</f>
        <v/>
      </c>
      <c r="Q461" s="87" t="str">
        <f>IF(AND(B461='111'!$L$11,OR($N461=$Q$7,$O461=$Q$7)),"x","")</f>
        <v/>
      </c>
      <c r="R461" s="87" t="str">
        <f>IF(AND($N461=$Q$7,$B461&lt;'111'!$L$11),"x","")</f>
        <v/>
      </c>
      <c r="S461" s="87" t="str">
        <f>IF(AND($O461=$Q$7,$B461&lt;'111'!$L$11),"x","")</f>
        <v/>
      </c>
      <c r="T461" s="87" t="str">
        <f>IF(ISERROR(FIND('112'!$M$9,G461,1)),"",IF((AND(FIND('112'!$M$9,G461,1)&gt;=1,B461='112'!$K$9,OR($N461='112'!$I$6,$O461='112'!$I$6))),"x",""))</f>
        <v/>
      </c>
      <c r="U461" s="87" t="str">
        <f>IF(ISERROR(FIND('112'!$M$9,G461,1)),"",IF((AND(FIND('112'!$M$9,G461,1)&gt;=1,B461&lt;'112'!$K$9,$N461='112'!$I$6)),"x",""))</f>
        <v/>
      </c>
      <c r="V461" s="87" t="str">
        <f>IF(ISERROR(FIND('112'!$M$9,G461,1)),"",IF((AND(FIND('112'!$M$9,G461,1)&gt;=1,B461&lt;'112'!$K$9,$O461='112'!$I$6)),"x",""))</f>
        <v/>
      </c>
      <c r="W461" s="87" t="str">
        <f>IF(AND($B461&gt;='1331'!$I$9,$B461&lt;='1331'!$J$9,OR($N461=$W$7,$O461=$W$7)),"x","")</f>
        <v/>
      </c>
      <c r="X461" s="87" t="str">
        <f>IF(AND($N461=$W$7,$B461&lt;'1331'!$I$9),"x","")</f>
        <v/>
      </c>
      <c r="Y461" s="87" t="str">
        <f>IF(AND($O461=$W$7,$B461&lt;'1331'!$I$9),"x","")</f>
        <v/>
      </c>
      <c r="Z461" s="87" t="str">
        <f>IF(AND('341-CT'!$H$9=H461,OR(LEFT(N461,3)=$Z$7,LEFT(O461,3)=$Z$7)),"x","")</f>
        <v/>
      </c>
      <c r="AA461" s="87" t="str">
        <f>IF(OR(TH!N461=TH!$AA$7,O461=TH!$AA$7),"x","")</f>
        <v/>
      </c>
      <c r="AB461" s="87" t="str">
        <f>IF(AND(OR(N461="131",O461="131"),H461='131-CT'!$H$9),"x","")</f>
        <v/>
      </c>
      <c r="AC461" s="87"/>
      <c r="AD461" s="87" t="str">
        <f>IF(AND(MONTH(E461)='IN-NX'!$J$5,'IN-NX'!$D$7=D461),"x","")</f>
        <v/>
      </c>
      <c r="AE461" s="87" t="str">
        <f>IF(AND(OR(LEFT(TH!N461,2)="15",LEFT(TH!O461,2)="15"),'152-CT'!$J$8=TH!F461),"x","")</f>
        <v/>
      </c>
      <c r="AF461" s="87" t="str">
        <f>IF(AND(OR(LEFT(TH!N461,2)="15",LEFT(TH!O461,2)="15"),'THE KHO'!$E$7=TH!F461),"x","")</f>
        <v/>
      </c>
      <c r="AG461" s="87" t="str">
        <f>IF(AND(N461="1521",MONTH(C461)='BK NL'!$M$11),"x","")</f>
        <v/>
      </c>
    </row>
    <row r="462" spans="1:33" ht="15.75" customHeight="1">
      <c r="A462" s="399" t="str">
        <f>IF(B462&lt;&gt;"",IF(AND(B462&gt;=_TM1,B462&lt;=_TM2,OR(TH!N462="1111",TH!O462="1111")),TH!D462,""),"")</f>
        <v/>
      </c>
      <c r="B462" s="63" t="str">
        <f t="shared" si="12"/>
        <v/>
      </c>
      <c r="C462" s="363"/>
      <c r="D462" s="363"/>
      <c r="E462" s="363"/>
      <c r="F462" s="364"/>
      <c r="G462" s="382"/>
      <c r="H462" s="409"/>
      <c r="I462" s="522"/>
      <c r="J462" s="522"/>
      <c r="K462" s="513"/>
      <c r="L462" s="522"/>
      <c r="M462" s="65"/>
      <c r="N462" s="366"/>
      <c r="O462" s="366"/>
      <c r="P462" s="87" t="str">
        <f>IF(AND('331-CT'!$E$7=TH!H462,OR(N462="331",O462="331")),"x","")</f>
        <v/>
      </c>
      <c r="Q462" s="87" t="str">
        <f>IF(AND(B462='111'!$L$11,OR($N462=$Q$7,$O462=$Q$7)),"x","")</f>
        <v/>
      </c>
      <c r="R462" s="87" t="str">
        <f>IF(AND($N462=$Q$7,$B462&lt;'111'!$L$11),"x","")</f>
        <v/>
      </c>
      <c r="S462" s="87" t="str">
        <f>IF(AND($O462=$Q$7,$B462&lt;'111'!$L$11),"x","")</f>
        <v/>
      </c>
      <c r="T462" s="87" t="str">
        <f>IF(ISERROR(FIND('112'!$M$9,G462,1)),"",IF((AND(FIND('112'!$M$9,G462,1)&gt;=1,B462='112'!$K$9,OR($N462='112'!$I$6,$O462='112'!$I$6))),"x",""))</f>
        <v/>
      </c>
      <c r="U462" s="87" t="str">
        <f>IF(ISERROR(FIND('112'!$M$9,G462,1)),"",IF((AND(FIND('112'!$M$9,G462,1)&gt;=1,B462&lt;'112'!$K$9,$N462='112'!$I$6)),"x",""))</f>
        <v/>
      </c>
      <c r="V462" s="87" t="str">
        <f>IF(ISERROR(FIND('112'!$M$9,G462,1)),"",IF((AND(FIND('112'!$M$9,G462,1)&gt;=1,B462&lt;'112'!$K$9,$O462='112'!$I$6)),"x",""))</f>
        <v/>
      </c>
      <c r="W462" s="87" t="str">
        <f>IF(AND($B462&gt;='1331'!$I$9,$B462&lt;='1331'!$J$9,OR($N462=$W$7,$O462=$W$7)),"x","")</f>
        <v/>
      </c>
      <c r="X462" s="87" t="str">
        <f>IF(AND($N462=$W$7,$B462&lt;'1331'!$I$9),"x","")</f>
        <v/>
      </c>
      <c r="Y462" s="87" t="str">
        <f>IF(AND($O462=$W$7,$B462&lt;'1331'!$I$9),"x","")</f>
        <v/>
      </c>
      <c r="Z462" s="87" t="str">
        <f>IF(AND('341-CT'!$H$9=H462,OR(LEFT(N462,3)=$Z$7,LEFT(O462,3)=$Z$7)),"x","")</f>
        <v/>
      </c>
      <c r="AA462" s="87" t="str">
        <f>IF(OR(TH!N462=TH!$AA$7,O462=TH!$AA$7),"x","")</f>
        <v/>
      </c>
      <c r="AB462" s="87" t="str">
        <f>IF(AND(OR(N462="131",O462="131"),H462='131-CT'!$H$9),"x","")</f>
        <v/>
      </c>
      <c r="AC462" s="87"/>
      <c r="AD462" s="87" t="str">
        <f>IF(AND(MONTH(E462)='IN-NX'!$J$5,'IN-NX'!$D$7=D462),"x","")</f>
        <v/>
      </c>
      <c r="AE462" s="87" t="str">
        <f>IF(AND(OR(LEFT(TH!N462,2)="15",LEFT(TH!O462,2)="15"),'152-CT'!$J$8=TH!F462),"x","")</f>
        <v/>
      </c>
      <c r="AF462" s="87" t="str">
        <f>IF(AND(OR(LEFT(TH!N462,2)="15",LEFT(TH!O462,2)="15"),'THE KHO'!$E$7=TH!F462),"x","")</f>
        <v/>
      </c>
      <c r="AG462" s="87" t="str">
        <f>IF(AND(N462="1521",MONTH(C462)='BK NL'!$M$11),"x","")</f>
        <v/>
      </c>
    </row>
    <row r="463" spans="1:33" ht="15.75" customHeight="1">
      <c r="A463" s="399" t="str">
        <f>IF(B463&lt;&gt;"",IF(AND(B463&gt;=_TM1,B463&lt;=_TM2,OR(TH!N463="1111",TH!O463="1111")),TH!D463,""),"")</f>
        <v/>
      </c>
      <c r="B463" s="63" t="str">
        <f t="shared" si="12"/>
        <v/>
      </c>
      <c r="C463" s="363"/>
      <c r="D463" s="363"/>
      <c r="E463" s="363"/>
      <c r="F463" s="364"/>
      <c r="G463" s="382"/>
      <c r="H463" s="365"/>
      <c r="I463" s="518"/>
      <c r="J463" s="518"/>
      <c r="K463" s="509"/>
      <c r="L463" s="518"/>
      <c r="M463" s="65"/>
      <c r="N463" s="366"/>
      <c r="O463" s="366"/>
      <c r="P463" s="87" t="str">
        <f>IF(AND('331-CT'!$E$7=TH!H463,OR(N463="331",O463="331")),"x","")</f>
        <v/>
      </c>
      <c r="Q463" s="87" t="str">
        <f>IF(AND(B463='111'!$L$11,OR($N463=$Q$7,$O463=$Q$7)),"x","")</f>
        <v/>
      </c>
      <c r="R463" s="87" t="str">
        <f>IF(AND($N463=$Q$7,$B463&lt;'111'!$L$11),"x","")</f>
        <v/>
      </c>
      <c r="S463" s="87" t="str">
        <f>IF(AND($O463=$Q$7,$B463&lt;'111'!$L$11),"x","")</f>
        <v/>
      </c>
      <c r="T463" s="87" t="str">
        <f>IF(ISERROR(FIND('112'!$M$9,G463,1)),"",IF((AND(FIND('112'!$M$9,G463,1)&gt;=1,B463='112'!$K$9,OR($N463='112'!$I$6,$O463='112'!$I$6))),"x",""))</f>
        <v/>
      </c>
      <c r="U463" s="87" t="str">
        <f>IF(ISERROR(FIND('112'!$M$9,G463,1)),"",IF((AND(FIND('112'!$M$9,G463,1)&gt;=1,B463&lt;'112'!$K$9,$N463='112'!$I$6)),"x",""))</f>
        <v/>
      </c>
      <c r="V463" s="87" t="str">
        <f>IF(ISERROR(FIND('112'!$M$9,G463,1)),"",IF((AND(FIND('112'!$M$9,G463,1)&gt;=1,B463&lt;'112'!$K$9,$O463='112'!$I$6)),"x",""))</f>
        <v/>
      </c>
      <c r="W463" s="87" t="str">
        <f>IF(AND($B463&gt;='1331'!$I$9,$B463&lt;='1331'!$J$9,OR($N463=$W$7,$O463=$W$7)),"x","")</f>
        <v/>
      </c>
      <c r="X463" s="87" t="str">
        <f>IF(AND($N463=$W$7,$B463&lt;'1331'!$I$9),"x","")</f>
        <v/>
      </c>
      <c r="Y463" s="87" t="str">
        <f>IF(AND($O463=$W$7,$B463&lt;'1331'!$I$9),"x","")</f>
        <v/>
      </c>
      <c r="Z463" s="87" t="str">
        <f>IF(AND('341-CT'!$H$9=H463,OR(LEFT(N463,3)=$Z$7,LEFT(O463,3)=$Z$7)),"x","")</f>
        <v/>
      </c>
      <c r="AA463" s="87" t="str">
        <f>IF(OR(TH!N463=TH!$AA$7,O463=TH!$AA$7),"x","")</f>
        <v/>
      </c>
      <c r="AB463" s="87" t="str">
        <f>IF(AND(OR(N463="131",O463="131"),H463='131-CT'!$H$9),"x","")</f>
        <v/>
      </c>
      <c r="AC463" s="87"/>
      <c r="AD463" s="87" t="str">
        <f>IF(AND(MONTH(E463)='IN-NX'!$J$5,'IN-NX'!$D$7=D463),"x","")</f>
        <v/>
      </c>
      <c r="AE463" s="87" t="str">
        <f>IF(AND(OR(LEFT(TH!N463,2)="15",LEFT(TH!O463,2)="15"),'152-CT'!$J$8=TH!F463),"x","")</f>
        <v/>
      </c>
      <c r="AF463" s="87" t="str">
        <f>IF(AND(OR(LEFT(TH!N463,2)="15",LEFT(TH!O463,2)="15"),'THE KHO'!$E$7=TH!F463),"x","")</f>
        <v/>
      </c>
      <c r="AG463" s="87" t="str">
        <f>IF(AND(N463="1521",MONTH(C463)='BK NL'!$M$11),"x","")</f>
        <v/>
      </c>
    </row>
    <row r="464" spans="1:33" ht="15.75" customHeight="1">
      <c r="A464" s="399" t="str">
        <f>IF(B464&lt;&gt;"",IF(AND(B464&gt;=_TM1,B464&lt;=_TM2,OR(TH!N464="1111",TH!O464="1111")),TH!D464,""),"")</f>
        <v/>
      </c>
      <c r="B464" s="63" t="str">
        <f t="shared" si="12"/>
        <v/>
      </c>
      <c r="C464" s="363"/>
      <c r="D464" s="363"/>
      <c r="E464" s="363"/>
      <c r="F464" s="364"/>
      <c r="G464" s="382"/>
      <c r="H464" s="365"/>
      <c r="I464" s="518"/>
      <c r="J464" s="518"/>
      <c r="K464" s="509"/>
      <c r="L464" s="518"/>
      <c r="M464" s="65"/>
      <c r="N464" s="366"/>
      <c r="O464" s="366"/>
      <c r="P464" s="87" t="str">
        <f>IF(AND('331-CT'!$E$7=TH!H464,OR(N464="331",O464="331")),"x","")</f>
        <v/>
      </c>
      <c r="Q464" s="87" t="str">
        <f>IF(AND(B464='111'!$L$11,OR($N464=$Q$7,$O464=$Q$7)),"x","")</f>
        <v/>
      </c>
      <c r="R464" s="87" t="str">
        <f>IF(AND($N464=$Q$7,$B464&lt;'111'!$L$11),"x","")</f>
        <v/>
      </c>
      <c r="S464" s="87" t="str">
        <f>IF(AND($O464=$Q$7,$B464&lt;'111'!$L$11),"x","")</f>
        <v/>
      </c>
      <c r="T464" s="87" t="str">
        <f>IF(ISERROR(FIND('112'!$M$9,G464,1)),"",IF((AND(FIND('112'!$M$9,G464,1)&gt;=1,B464='112'!$K$9,OR($N464='112'!$I$6,$O464='112'!$I$6))),"x",""))</f>
        <v/>
      </c>
      <c r="U464" s="87" t="str">
        <f>IF(ISERROR(FIND('112'!$M$9,G464,1)),"",IF((AND(FIND('112'!$M$9,G464,1)&gt;=1,B464&lt;'112'!$K$9,$N464='112'!$I$6)),"x",""))</f>
        <v/>
      </c>
      <c r="V464" s="87" t="str">
        <f>IF(ISERROR(FIND('112'!$M$9,G464,1)),"",IF((AND(FIND('112'!$M$9,G464,1)&gt;=1,B464&lt;'112'!$K$9,$O464='112'!$I$6)),"x",""))</f>
        <v/>
      </c>
      <c r="W464" s="87" t="str">
        <f>IF(AND($B464&gt;='1331'!$I$9,$B464&lt;='1331'!$J$9,OR($N464=$W$7,$O464=$W$7)),"x","")</f>
        <v/>
      </c>
      <c r="X464" s="87" t="str">
        <f>IF(AND($N464=$W$7,$B464&lt;'1331'!$I$9),"x","")</f>
        <v/>
      </c>
      <c r="Y464" s="87" t="str">
        <f>IF(AND($O464=$W$7,$B464&lt;'1331'!$I$9),"x","")</f>
        <v/>
      </c>
      <c r="Z464" s="87" t="str">
        <f>IF(AND('341-CT'!$H$9=H464,OR(LEFT(N464,3)=$Z$7,LEFT(O464,3)=$Z$7)),"x","")</f>
        <v/>
      </c>
      <c r="AA464" s="87" t="str">
        <f>IF(OR(TH!N464=TH!$AA$7,O464=TH!$AA$7),"x","")</f>
        <v/>
      </c>
      <c r="AB464" s="87" t="str">
        <f>IF(AND(OR(N464="131",O464="131"),H464='131-CT'!$H$9),"x","")</f>
        <v/>
      </c>
      <c r="AC464" s="87"/>
      <c r="AD464" s="87" t="str">
        <f>IF(AND(MONTH(E464)='IN-NX'!$J$5,'IN-NX'!$D$7=D464),"x","")</f>
        <v/>
      </c>
      <c r="AE464" s="87" t="str">
        <f>IF(AND(OR(LEFT(TH!N464,2)="15",LEFT(TH!O464,2)="15"),'152-CT'!$J$8=TH!F464),"x","")</f>
        <v/>
      </c>
      <c r="AF464" s="87" t="str">
        <f>IF(AND(OR(LEFT(TH!N464,2)="15",LEFT(TH!O464,2)="15"),'THE KHO'!$E$7=TH!F464),"x","")</f>
        <v/>
      </c>
      <c r="AG464" s="87" t="str">
        <f>IF(AND(N464="1521",MONTH(C464)='BK NL'!$M$11),"x","")</f>
        <v/>
      </c>
    </row>
    <row r="465" spans="1:33" ht="15.75" customHeight="1">
      <c r="A465" s="399" t="str">
        <f>IF(B465&lt;&gt;"",IF(AND(B465&gt;=_TM1,B465&lt;=_TM2,OR(TH!N465="1111",TH!O465="1111")),TH!D465,""),"")</f>
        <v/>
      </c>
      <c r="B465" s="63" t="str">
        <f t="shared" si="12"/>
        <v/>
      </c>
      <c r="C465" s="363"/>
      <c r="D465" s="363"/>
      <c r="E465" s="363"/>
      <c r="F465" s="364"/>
      <c r="G465" s="381"/>
      <c r="H465" s="365"/>
      <c r="I465" s="518"/>
      <c r="J465" s="518"/>
      <c r="K465" s="509"/>
      <c r="L465" s="518"/>
      <c r="M465" s="65"/>
      <c r="N465" s="366"/>
      <c r="O465" s="366"/>
      <c r="P465" s="87" t="str">
        <f>IF(AND('331-CT'!$E$7=TH!H465,OR(N465="331",O465="331")),"x","")</f>
        <v/>
      </c>
      <c r="Q465" s="87" t="str">
        <f>IF(AND(B465='111'!$L$11,OR($N465=$Q$7,$O465=$Q$7)),"x","")</f>
        <v/>
      </c>
      <c r="R465" s="87" t="str">
        <f>IF(AND($N465=$Q$7,$B465&lt;'111'!$L$11),"x","")</f>
        <v/>
      </c>
      <c r="S465" s="87" t="str">
        <f>IF(AND($O465=$Q$7,$B465&lt;'111'!$L$11),"x","")</f>
        <v/>
      </c>
      <c r="T465" s="87" t="str">
        <f>IF(ISERROR(FIND('112'!$M$9,G465,1)),"",IF((AND(FIND('112'!$M$9,G465,1)&gt;=1,B465='112'!$K$9,OR($N465='112'!$I$6,$O465='112'!$I$6))),"x",""))</f>
        <v/>
      </c>
      <c r="U465" s="87" t="str">
        <f>IF(ISERROR(FIND('112'!$M$9,G465,1)),"",IF((AND(FIND('112'!$M$9,G465,1)&gt;=1,B465&lt;'112'!$K$9,$N465='112'!$I$6)),"x",""))</f>
        <v/>
      </c>
      <c r="V465" s="87" t="str">
        <f>IF(ISERROR(FIND('112'!$M$9,G465,1)),"",IF((AND(FIND('112'!$M$9,G465,1)&gt;=1,B465&lt;'112'!$K$9,$O465='112'!$I$6)),"x",""))</f>
        <v/>
      </c>
      <c r="W465" s="87" t="str">
        <f>IF(AND($B465&gt;='1331'!$I$9,$B465&lt;='1331'!$J$9,OR($N465=$W$7,$O465=$W$7)),"x","")</f>
        <v/>
      </c>
      <c r="X465" s="87" t="str">
        <f>IF(AND($N465=$W$7,$B465&lt;'1331'!$I$9),"x","")</f>
        <v/>
      </c>
      <c r="Y465" s="87" t="str">
        <f>IF(AND($O465=$W$7,$B465&lt;'1331'!$I$9),"x","")</f>
        <v/>
      </c>
      <c r="Z465" s="87" t="str">
        <f>IF(AND('341-CT'!$H$9=H465,OR(LEFT(N465,3)=$Z$7,LEFT(O465,3)=$Z$7)),"x","")</f>
        <v/>
      </c>
      <c r="AA465" s="87" t="str">
        <f>IF(OR(TH!N465=TH!$AA$7,O465=TH!$AA$7),"x","")</f>
        <v/>
      </c>
      <c r="AB465" s="87" t="str">
        <f>IF(AND(OR(N465="131",O465="131"),H465='131-CT'!$H$9),"x","")</f>
        <v/>
      </c>
      <c r="AC465" s="87"/>
      <c r="AD465" s="87" t="str">
        <f>IF(AND(MONTH(E465)='IN-NX'!$J$5,'IN-NX'!$D$7=D465),"x","")</f>
        <v/>
      </c>
      <c r="AE465" s="87" t="str">
        <f>IF(AND(OR(LEFT(TH!N465,2)="15",LEFT(TH!O465,2)="15"),'152-CT'!$J$8=TH!F465),"x","")</f>
        <v/>
      </c>
      <c r="AF465" s="87" t="str">
        <f>IF(AND(OR(LEFT(TH!N465,2)="15",LEFT(TH!O465,2)="15"),'THE KHO'!$E$7=TH!F465),"x","")</f>
        <v/>
      </c>
      <c r="AG465" s="87" t="str">
        <f>IF(AND(N465="1521",MONTH(C465)='BK NL'!$M$11),"x","")</f>
        <v/>
      </c>
    </row>
    <row r="466" spans="1:33" ht="15.75" customHeight="1">
      <c r="A466" s="399" t="str">
        <f>IF(B466&lt;&gt;"",IF(AND(B466&gt;=_TM1,B466&lt;=_TM2,OR(TH!N466="1111",TH!O466="1111")),TH!D466,""),"")</f>
        <v/>
      </c>
      <c r="B466" s="63" t="str">
        <f t="shared" si="12"/>
        <v/>
      </c>
      <c r="C466" s="363"/>
      <c r="D466" s="363"/>
      <c r="E466" s="363"/>
      <c r="F466" s="364"/>
      <c r="G466" s="381"/>
      <c r="H466" s="365"/>
      <c r="I466" s="518"/>
      <c r="J466" s="518"/>
      <c r="K466" s="509"/>
      <c r="L466" s="518"/>
      <c r="M466" s="65"/>
      <c r="N466" s="366"/>
      <c r="O466" s="366"/>
      <c r="P466" s="87" t="str">
        <f>IF(AND('331-CT'!$E$7=TH!H466,OR(N466="331",O466="331")),"x","")</f>
        <v/>
      </c>
      <c r="Q466" s="87" t="str">
        <f>IF(AND(B466='111'!$L$11,OR($N466=$Q$7,$O466=$Q$7)),"x","")</f>
        <v/>
      </c>
      <c r="R466" s="87" t="str">
        <f>IF(AND($N466=$Q$7,$B466&lt;'111'!$L$11),"x","")</f>
        <v/>
      </c>
      <c r="S466" s="87" t="str">
        <f>IF(AND($O466=$Q$7,$B466&lt;'111'!$L$11),"x","")</f>
        <v/>
      </c>
      <c r="T466" s="87" t="str">
        <f>IF(ISERROR(FIND('112'!$M$9,G466,1)),"",IF((AND(FIND('112'!$M$9,G466,1)&gt;=1,B466='112'!$K$9,OR($N466='112'!$I$6,$O466='112'!$I$6))),"x",""))</f>
        <v/>
      </c>
      <c r="U466" s="87" t="str">
        <f>IF(ISERROR(FIND('112'!$M$9,G466,1)),"",IF((AND(FIND('112'!$M$9,G466,1)&gt;=1,B466&lt;'112'!$K$9,$N466='112'!$I$6)),"x",""))</f>
        <v/>
      </c>
      <c r="V466" s="87" t="str">
        <f>IF(ISERROR(FIND('112'!$M$9,G466,1)),"",IF((AND(FIND('112'!$M$9,G466,1)&gt;=1,B466&lt;'112'!$K$9,$O466='112'!$I$6)),"x",""))</f>
        <v/>
      </c>
      <c r="W466" s="87" t="str">
        <f>IF(AND($B466&gt;='1331'!$I$9,$B466&lt;='1331'!$J$9,OR($N466=$W$7,$O466=$W$7)),"x","")</f>
        <v/>
      </c>
      <c r="X466" s="87" t="str">
        <f>IF(AND($N466=$W$7,$B466&lt;'1331'!$I$9),"x","")</f>
        <v/>
      </c>
      <c r="Y466" s="87" t="str">
        <f>IF(AND($O466=$W$7,$B466&lt;'1331'!$I$9),"x","")</f>
        <v/>
      </c>
      <c r="Z466" s="87" t="str">
        <f>IF(AND('341-CT'!$H$9=H466,OR(LEFT(N466,3)=$Z$7,LEFT(O466,3)=$Z$7)),"x","")</f>
        <v/>
      </c>
      <c r="AA466" s="87" t="str">
        <f>IF(OR(TH!N466=TH!$AA$7,O466=TH!$AA$7),"x","")</f>
        <v/>
      </c>
      <c r="AB466" s="87" t="str">
        <f>IF(AND(OR(N466="131",O466="131"),H466='131-CT'!$H$9),"x","")</f>
        <v/>
      </c>
      <c r="AC466" s="87"/>
      <c r="AD466" s="87" t="str">
        <f>IF(AND(MONTH(E466)='IN-NX'!$J$5,'IN-NX'!$D$7=D466),"x","")</f>
        <v/>
      </c>
      <c r="AE466" s="87" t="str">
        <f>IF(AND(OR(LEFT(TH!N466,2)="15",LEFT(TH!O466,2)="15"),'152-CT'!$J$8=TH!F466),"x","")</f>
        <v/>
      </c>
      <c r="AF466" s="87" t="str">
        <f>IF(AND(OR(LEFT(TH!N466,2)="15",LEFT(TH!O466,2)="15"),'THE KHO'!$E$7=TH!F466),"x","")</f>
        <v/>
      </c>
      <c r="AG466" s="87" t="str">
        <f>IF(AND(N466="1521",MONTH(C466)='BK NL'!$M$11),"x","")</f>
        <v/>
      </c>
    </row>
    <row r="467" spans="1:33" ht="15.75" customHeight="1">
      <c r="A467" s="399" t="str">
        <f>IF(B467&lt;&gt;"",IF(AND(B467&gt;=_TM1,B467&lt;=_TM2,OR(TH!N467="1111",TH!O467="1111")),TH!D467,""),"")</f>
        <v/>
      </c>
      <c r="B467" s="63" t="str">
        <f t="shared" si="12"/>
        <v/>
      </c>
      <c r="C467" s="363"/>
      <c r="D467" s="363"/>
      <c r="E467" s="363"/>
      <c r="F467" s="364"/>
      <c r="G467" s="381"/>
      <c r="H467" s="365"/>
      <c r="I467" s="518"/>
      <c r="J467" s="518"/>
      <c r="K467" s="509"/>
      <c r="L467" s="518"/>
      <c r="M467" s="65"/>
      <c r="N467" s="366"/>
      <c r="O467" s="366"/>
      <c r="P467" s="87" t="str">
        <f>IF(AND('331-CT'!$E$7=TH!H467,OR(N467="331",O467="331")),"x","")</f>
        <v/>
      </c>
      <c r="Q467" s="87" t="str">
        <f>IF(AND(B467='111'!$L$11,OR($N467=$Q$7,$O467=$Q$7)),"x","")</f>
        <v/>
      </c>
      <c r="R467" s="87" t="str">
        <f>IF(AND($N467=$Q$7,$B467&lt;'111'!$L$11),"x","")</f>
        <v/>
      </c>
      <c r="S467" s="87" t="str">
        <f>IF(AND($O467=$Q$7,$B467&lt;'111'!$L$11),"x","")</f>
        <v/>
      </c>
      <c r="T467" s="87" t="str">
        <f>IF(ISERROR(FIND('112'!$M$9,G467,1)),"",IF((AND(FIND('112'!$M$9,G467,1)&gt;=1,B467='112'!$K$9,OR($N467='112'!$I$6,$O467='112'!$I$6))),"x",""))</f>
        <v/>
      </c>
      <c r="U467" s="87" t="str">
        <f>IF(ISERROR(FIND('112'!$M$9,G467,1)),"",IF((AND(FIND('112'!$M$9,G467,1)&gt;=1,B467&lt;'112'!$K$9,$N467='112'!$I$6)),"x",""))</f>
        <v/>
      </c>
      <c r="V467" s="87" t="str">
        <f>IF(ISERROR(FIND('112'!$M$9,G467,1)),"",IF((AND(FIND('112'!$M$9,G467,1)&gt;=1,B467&lt;'112'!$K$9,$O467='112'!$I$6)),"x",""))</f>
        <v/>
      </c>
      <c r="W467" s="87" t="str">
        <f>IF(AND($B467&gt;='1331'!$I$9,$B467&lt;='1331'!$J$9,OR($N467=$W$7,$O467=$W$7)),"x","")</f>
        <v/>
      </c>
      <c r="X467" s="87" t="str">
        <f>IF(AND($N467=$W$7,$B467&lt;'1331'!$I$9),"x","")</f>
        <v/>
      </c>
      <c r="Y467" s="87" t="str">
        <f>IF(AND($O467=$W$7,$B467&lt;'1331'!$I$9),"x","")</f>
        <v/>
      </c>
      <c r="Z467" s="87" t="str">
        <f>IF(AND('341-CT'!$H$9=H467,OR(LEFT(N467,3)=$Z$7,LEFT(O467,3)=$Z$7)),"x","")</f>
        <v/>
      </c>
      <c r="AA467" s="87" t="str">
        <f>IF(OR(TH!N467=TH!$AA$7,O467=TH!$AA$7),"x","")</f>
        <v/>
      </c>
      <c r="AB467" s="87" t="str">
        <f>IF(AND(OR(N467="131",O467="131"),H467='131-CT'!$H$9),"x","")</f>
        <v/>
      </c>
      <c r="AC467" s="87"/>
      <c r="AD467" s="87" t="str">
        <f>IF(AND(MONTH(E467)='IN-NX'!$J$5,'IN-NX'!$D$7=D467),"x","")</f>
        <v/>
      </c>
      <c r="AE467" s="87" t="str">
        <f>IF(AND(OR(LEFT(TH!N467,2)="15",LEFT(TH!O467,2)="15"),'152-CT'!$J$8=TH!F467),"x","")</f>
        <v/>
      </c>
      <c r="AF467" s="87" t="str">
        <f>IF(AND(OR(LEFT(TH!N467,2)="15",LEFT(TH!O467,2)="15"),'THE KHO'!$E$7=TH!F467),"x","")</f>
        <v/>
      </c>
      <c r="AG467" s="87" t="str">
        <f>IF(AND(N467="1521",MONTH(C467)='BK NL'!$M$11),"x","")</f>
        <v/>
      </c>
    </row>
    <row r="468" spans="1:33" ht="15.75" customHeight="1">
      <c r="A468" s="399" t="str">
        <f>IF(B468&lt;&gt;"",IF(AND(B468&gt;=_TM1,B468&lt;=_TM2,OR(TH!N468="1111",TH!O468="1111")),TH!D468,""),"")</f>
        <v/>
      </c>
      <c r="B468" s="63" t="str">
        <f t="shared" si="12"/>
        <v/>
      </c>
      <c r="C468" s="363"/>
      <c r="D468" s="363"/>
      <c r="E468" s="363"/>
      <c r="F468" s="364"/>
      <c r="G468" s="381"/>
      <c r="H468" s="365"/>
      <c r="I468" s="518"/>
      <c r="J468" s="518"/>
      <c r="K468" s="509"/>
      <c r="L468" s="518"/>
      <c r="M468" s="65"/>
      <c r="N468" s="366"/>
      <c r="O468" s="366"/>
      <c r="P468" s="87" t="str">
        <f>IF(AND('331-CT'!$E$7=TH!H468,OR(N468="331",O468="331")),"x","")</f>
        <v/>
      </c>
      <c r="Q468" s="87" t="str">
        <f>IF(AND(B468='111'!$L$11,OR($N468=$Q$7,$O468=$Q$7)),"x","")</f>
        <v/>
      </c>
      <c r="R468" s="87" t="str">
        <f>IF(AND($N468=$Q$7,$B468&lt;'111'!$L$11),"x","")</f>
        <v/>
      </c>
      <c r="S468" s="87" t="str">
        <f>IF(AND($O468=$Q$7,$B468&lt;'111'!$L$11),"x","")</f>
        <v/>
      </c>
      <c r="T468" s="87" t="str">
        <f>IF(ISERROR(FIND('112'!$M$9,G468,1)),"",IF((AND(FIND('112'!$M$9,G468,1)&gt;=1,B468='112'!$K$9,OR($N468='112'!$I$6,$O468='112'!$I$6))),"x",""))</f>
        <v/>
      </c>
      <c r="U468" s="87" t="str">
        <f>IF(ISERROR(FIND('112'!$M$9,G468,1)),"",IF((AND(FIND('112'!$M$9,G468,1)&gt;=1,B468&lt;'112'!$K$9,$N468='112'!$I$6)),"x",""))</f>
        <v/>
      </c>
      <c r="V468" s="87" t="str">
        <f>IF(ISERROR(FIND('112'!$M$9,G468,1)),"",IF((AND(FIND('112'!$M$9,G468,1)&gt;=1,B468&lt;'112'!$K$9,$O468='112'!$I$6)),"x",""))</f>
        <v/>
      </c>
      <c r="W468" s="87" t="str">
        <f>IF(AND($B468&gt;='1331'!$I$9,$B468&lt;='1331'!$J$9,OR($N468=$W$7,$O468=$W$7)),"x","")</f>
        <v/>
      </c>
      <c r="X468" s="87" t="str">
        <f>IF(AND($N468=$W$7,$B468&lt;'1331'!$I$9),"x","")</f>
        <v/>
      </c>
      <c r="Y468" s="87" t="str">
        <f>IF(AND($O468=$W$7,$B468&lt;'1331'!$I$9),"x","")</f>
        <v/>
      </c>
      <c r="Z468" s="87" t="str">
        <f>IF(AND('341-CT'!$H$9=H468,OR(LEFT(N468,3)=$Z$7,LEFT(O468,3)=$Z$7)),"x","")</f>
        <v/>
      </c>
      <c r="AA468" s="87" t="str">
        <f>IF(OR(TH!N468=TH!$AA$7,O468=TH!$AA$7),"x","")</f>
        <v/>
      </c>
      <c r="AB468" s="87" t="str">
        <f>IF(AND(OR(N468="131",O468="131"),H468='131-CT'!$H$9),"x","")</f>
        <v/>
      </c>
      <c r="AC468" s="87"/>
      <c r="AD468" s="87" t="str">
        <f>IF(AND(MONTH(E468)='IN-NX'!$J$5,'IN-NX'!$D$7=D468),"x","")</f>
        <v/>
      </c>
      <c r="AE468" s="87" t="str">
        <f>IF(AND(OR(LEFT(TH!N468,2)="15",LEFT(TH!O468,2)="15"),'152-CT'!$J$8=TH!F468),"x","")</f>
        <v/>
      </c>
      <c r="AF468" s="87" t="str">
        <f>IF(AND(OR(LEFT(TH!N468,2)="15",LEFT(TH!O468,2)="15"),'THE KHO'!$E$7=TH!F468),"x","")</f>
        <v/>
      </c>
      <c r="AG468" s="87" t="str">
        <f>IF(AND(N468="1521",MONTH(C468)='BK NL'!$M$11),"x","")</f>
        <v/>
      </c>
    </row>
    <row r="469" spans="1:33" ht="15.75" customHeight="1">
      <c r="A469" s="399" t="str">
        <f>IF(B469&lt;&gt;"",IF(AND(B469&gt;=_TM1,B469&lt;=_TM2,OR(TH!N469="1111",TH!O469="1111")),TH!D469,""),"")</f>
        <v/>
      </c>
      <c r="B469" s="63" t="str">
        <f t="shared" si="12"/>
        <v/>
      </c>
      <c r="C469" s="363"/>
      <c r="D469" s="363"/>
      <c r="E469" s="363"/>
      <c r="F469" s="364"/>
      <c r="G469" s="381"/>
      <c r="H469" s="365"/>
      <c r="I469" s="518"/>
      <c r="J469" s="518"/>
      <c r="K469" s="509"/>
      <c r="L469" s="518"/>
      <c r="M469" s="65"/>
      <c r="N469" s="366"/>
      <c r="O469" s="366"/>
      <c r="P469" s="87" t="str">
        <f>IF(AND('331-CT'!$E$7=TH!H469,OR(N469="331",O469="331")),"x","")</f>
        <v/>
      </c>
      <c r="Q469" s="87" t="str">
        <f>IF(AND(B469='111'!$L$11,OR($N469=$Q$7,$O469=$Q$7)),"x","")</f>
        <v/>
      </c>
      <c r="R469" s="87" t="str">
        <f>IF(AND($N469=$Q$7,$B469&lt;'111'!$L$11),"x","")</f>
        <v/>
      </c>
      <c r="S469" s="87" t="str">
        <f>IF(AND($O469=$Q$7,$B469&lt;'111'!$L$11),"x","")</f>
        <v/>
      </c>
      <c r="T469" s="87" t="str">
        <f>IF(ISERROR(FIND('112'!$M$9,G469,1)),"",IF((AND(FIND('112'!$M$9,G469,1)&gt;=1,B469='112'!$K$9,OR($N469='112'!$I$6,$O469='112'!$I$6))),"x",""))</f>
        <v/>
      </c>
      <c r="U469" s="87" t="str">
        <f>IF(ISERROR(FIND('112'!$M$9,G469,1)),"",IF((AND(FIND('112'!$M$9,G469,1)&gt;=1,B469&lt;'112'!$K$9,$N469='112'!$I$6)),"x",""))</f>
        <v/>
      </c>
      <c r="V469" s="87" t="str">
        <f>IF(ISERROR(FIND('112'!$M$9,G469,1)),"",IF((AND(FIND('112'!$M$9,G469,1)&gt;=1,B469&lt;'112'!$K$9,$O469='112'!$I$6)),"x",""))</f>
        <v/>
      </c>
      <c r="W469" s="87" t="str">
        <f>IF(AND($B469&gt;='1331'!$I$9,$B469&lt;='1331'!$J$9,OR($N469=$W$7,$O469=$W$7)),"x","")</f>
        <v/>
      </c>
      <c r="X469" s="87" t="str">
        <f>IF(AND($N469=$W$7,$B469&lt;'1331'!$I$9),"x","")</f>
        <v/>
      </c>
      <c r="Y469" s="87" t="str">
        <f>IF(AND($O469=$W$7,$B469&lt;'1331'!$I$9),"x","")</f>
        <v/>
      </c>
      <c r="Z469" s="87" t="str">
        <f>IF(AND('341-CT'!$H$9=H469,OR(LEFT(N469,3)=$Z$7,LEFT(O469,3)=$Z$7)),"x","")</f>
        <v/>
      </c>
      <c r="AA469" s="87" t="str">
        <f>IF(OR(TH!N469=TH!$AA$7,O469=TH!$AA$7),"x","")</f>
        <v/>
      </c>
      <c r="AB469" s="87" t="str">
        <f>IF(AND(OR(N469="131",O469="131"),H469='131-CT'!$H$9),"x","")</f>
        <v/>
      </c>
      <c r="AC469" s="87"/>
      <c r="AD469" s="87" t="str">
        <f>IF(AND(MONTH(E469)='IN-NX'!$J$5,'IN-NX'!$D$7=D469),"x","")</f>
        <v/>
      </c>
      <c r="AE469" s="87" t="str">
        <f>IF(AND(OR(LEFT(TH!N469,2)="15",LEFT(TH!O469,2)="15"),'152-CT'!$J$8=TH!F469),"x","")</f>
        <v/>
      </c>
      <c r="AF469" s="87" t="str">
        <f>IF(AND(OR(LEFT(TH!N469,2)="15",LEFT(TH!O469,2)="15"),'THE KHO'!$E$7=TH!F469),"x","")</f>
        <v/>
      </c>
      <c r="AG469" s="87" t="str">
        <f>IF(AND(N469="1521",MONTH(C469)='BK NL'!$M$11),"x","")</f>
        <v/>
      </c>
    </row>
    <row r="470" spans="1:33" ht="15.75" customHeight="1">
      <c r="A470" s="399" t="str">
        <f>IF(B470&lt;&gt;"",IF(AND(B470&gt;=_TM1,B470&lt;=_TM2,OR(TH!N470="1111",TH!O470="1111")),TH!D470,""),"")</f>
        <v/>
      </c>
      <c r="B470" s="63" t="str">
        <f t="shared" si="12"/>
        <v/>
      </c>
      <c r="C470" s="363"/>
      <c r="D470" s="363"/>
      <c r="E470" s="363"/>
      <c r="F470" s="364"/>
      <c r="G470" s="381"/>
      <c r="H470" s="365"/>
      <c r="I470" s="518"/>
      <c r="J470" s="518"/>
      <c r="K470" s="509"/>
      <c r="L470" s="518"/>
      <c r="M470" s="65"/>
      <c r="N470" s="366"/>
      <c r="O470" s="366"/>
      <c r="P470" s="87" t="str">
        <f>IF(AND('331-CT'!$E$7=TH!H470,OR(N470="331",O470="331")),"x","")</f>
        <v/>
      </c>
      <c r="Q470" s="87" t="str">
        <f>IF(AND(B470='111'!$L$11,OR($N470=$Q$7,$O470=$Q$7)),"x","")</f>
        <v/>
      </c>
      <c r="R470" s="87" t="str">
        <f>IF(AND($N470=$Q$7,$B470&lt;'111'!$L$11),"x","")</f>
        <v/>
      </c>
      <c r="S470" s="87" t="str">
        <f>IF(AND($O470=$Q$7,$B470&lt;'111'!$L$11),"x","")</f>
        <v/>
      </c>
      <c r="T470" s="87" t="str">
        <f>IF(ISERROR(FIND('112'!$M$9,G470,1)),"",IF((AND(FIND('112'!$M$9,G470,1)&gt;=1,B470='112'!$K$9,OR($N470='112'!$I$6,$O470='112'!$I$6))),"x",""))</f>
        <v/>
      </c>
      <c r="U470" s="87" t="str">
        <f>IF(ISERROR(FIND('112'!$M$9,G470,1)),"",IF((AND(FIND('112'!$M$9,G470,1)&gt;=1,B470&lt;'112'!$K$9,$N470='112'!$I$6)),"x",""))</f>
        <v/>
      </c>
      <c r="V470" s="87" t="str">
        <f>IF(ISERROR(FIND('112'!$M$9,G470,1)),"",IF((AND(FIND('112'!$M$9,G470,1)&gt;=1,B470&lt;'112'!$K$9,$O470='112'!$I$6)),"x",""))</f>
        <v/>
      </c>
      <c r="W470" s="87" t="str">
        <f>IF(AND($B470&gt;='1331'!$I$9,$B470&lt;='1331'!$J$9,OR($N470=$W$7,$O470=$W$7)),"x","")</f>
        <v/>
      </c>
      <c r="X470" s="87" t="str">
        <f>IF(AND($N470=$W$7,$B470&lt;'1331'!$I$9),"x","")</f>
        <v/>
      </c>
      <c r="Y470" s="87" t="str">
        <f>IF(AND($O470=$W$7,$B470&lt;'1331'!$I$9),"x","")</f>
        <v/>
      </c>
      <c r="Z470" s="87" t="str">
        <f>IF(AND('341-CT'!$H$9=H470,OR(LEFT(N470,3)=$Z$7,LEFT(O470,3)=$Z$7)),"x","")</f>
        <v/>
      </c>
      <c r="AA470" s="87" t="str">
        <f>IF(OR(TH!N470=TH!$AA$7,O470=TH!$AA$7),"x","")</f>
        <v/>
      </c>
      <c r="AB470" s="87" t="str">
        <f>IF(AND(OR(N470="131",O470="131"),H470='131-CT'!$H$9),"x","")</f>
        <v/>
      </c>
      <c r="AC470" s="87"/>
      <c r="AD470" s="87" t="str">
        <f>IF(AND(MONTH(E470)='IN-NX'!$J$5,'IN-NX'!$D$7=D470),"x","")</f>
        <v/>
      </c>
      <c r="AE470" s="87" t="str">
        <f>IF(AND(OR(LEFT(TH!N470,2)="15",LEFT(TH!O470,2)="15"),'152-CT'!$J$8=TH!F470),"x","")</f>
        <v/>
      </c>
      <c r="AF470" s="87" t="str">
        <f>IF(AND(OR(LEFT(TH!N470,2)="15",LEFT(TH!O470,2)="15"),'THE KHO'!$E$7=TH!F470),"x","")</f>
        <v/>
      </c>
      <c r="AG470" s="87" t="str">
        <f>IF(AND(N470="1521",MONTH(C470)='BK NL'!$M$11),"x","")</f>
        <v/>
      </c>
    </row>
    <row r="471" spans="1:33" ht="15.75" customHeight="1">
      <c r="A471" s="399" t="str">
        <f>IF(B471&lt;&gt;"",IF(AND(B471&gt;=_TM1,B471&lt;=_TM2,OR(TH!N471="1111",TH!O471="1111")),TH!D471,""),"")</f>
        <v/>
      </c>
      <c r="B471" s="63" t="str">
        <f t="shared" si="12"/>
        <v/>
      </c>
      <c r="C471" s="363"/>
      <c r="D471" s="363"/>
      <c r="E471" s="363"/>
      <c r="F471" s="364"/>
      <c r="G471" s="381"/>
      <c r="H471" s="365"/>
      <c r="I471" s="518"/>
      <c r="J471" s="518"/>
      <c r="K471" s="509"/>
      <c r="L471" s="518"/>
      <c r="M471" s="65"/>
      <c r="N471" s="366"/>
      <c r="O471" s="366"/>
      <c r="P471" s="87" t="str">
        <f>IF(AND('331-CT'!$E$7=TH!H471,OR(N471="331",O471="331")),"x","")</f>
        <v/>
      </c>
      <c r="Q471" s="87" t="str">
        <f>IF(AND(B471='111'!$L$11,OR($N471=$Q$7,$O471=$Q$7)),"x","")</f>
        <v/>
      </c>
      <c r="R471" s="87" t="str">
        <f>IF(AND($N471=$Q$7,$B471&lt;'111'!$L$11),"x","")</f>
        <v/>
      </c>
      <c r="S471" s="87" t="str">
        <f>IF(AND($O471=$Q$7,$B471&lt;'111'!$L$11),"x","")</f>
        <v/>
      </c>
      <c r="T471" s="87" t="str">
        <f>IF(ISERROR(FIND('112'!$M$9,G471,1)),"",IF((AND(FIND('112'!$M$9,G471,1)&gt;=1,B471='112'!$K$9,OR($N471='112'!$I$6,$O471='112'!$I$6))),"x",""))</f>
        <v/>
      </c>
      <c r="U471" s="87" t="str">
        <f>IF(ISERROR(FIND('112'!$M$9,G471,1)),"",IF((AND(FIND('112'!$M$9,G471,1)&gt;=1,B471&lt;'112'!$K$9,$N471='112'!$I$6)),"x",""))</f>
        <v/>
      </c>
      <c r="V471" s="87" t="str">
        <f>IF(ISERROR(FIND('112'!$M$9,G471,1)),"",IF((AND(FIND('112'!$M$9,G471,1)&gt;=1,B471&lt;'112'!$K$9,$O471='112'!$I$6)),"x",""))</f>
        <v/>
      </c>
      <c r="W471" s="87" t="str">
        <f>IF(AND($B471&gt;='1331'!$I$9,$B471&lt;='1331'!$J$9,OR($N471=$W$7,$O471=$W$7)),"x","")</f>
        <v/>
      </c>
      <c r="X471" s="87" t="str">
        <f>IF(AND($N471=$W$7,$B471&lt;'1331'!$I$9),"x","")</f>
        <v/>
      </c>
      <c r="Y471" s="87" t="str">
        <f>IF(AND($O471=$W$7,$B471&lt;'1331'!$I$9),"x","")</f>
        <v/>
      </c>
      <c r="Z471" s="87" t="str">
        <f>IF(AND('341-CT'!$H$9=H471,OR(LEFT(N471,3)=$Z$7,LEFT(O471,3)=$Z$7)),"x","")</f>
        <v/>
      </c>
      <c r="AA471" s="87" t="str">
        <f>IF(OR(TH!N471=TH!$AA$7,O471=TH!$AA$7),"x","")</f>
        <v/>
      </c>
      <c r="AB471" s="87" t="str">
        <f>IF(AND(OR(N471="131",O471="131"),H471='131-CT'!$H$9),"x","")</f>
        <v/>
      </c>
      <c r="AC471" s="87"/>
      <c r="AD471" s="87" t="str">
        <f>IF(AND(MONTH(E471)='IN-NX'!$J$5,'IN-NX'!$D$7=D471),"x","")</f>
        <v/>
      </c>
      <c r="AE471" s="87" t="str">
        <f>IF(AND(OR(LEFT(TH!N471,2)="15",LEFT(TH!O471,2)="15"),'152-CT'!$J$8=TH!F471),"x","")</f>
        <v/>
      </c>
      <c r="AF471" s="87" t="str">
        <f>IF(AND(OR(LEFT(TH!N471,2)="15",LEFT(TH!O471,2)="15"),'THE KHO'!$E$7=TH!F471),"x","")</f>
        <v/>
      </c>
      <c r="AG471" s="87" t="str">
        <f>IF(AND(N471="1521",MONTH(C471)='BK NL'!$M$11),"x","")</f>
        <v/>
      </c>
    </row>
    <row r="472" spans="1:33" ht="15.75" customHeight="1">
      <c r="A472" s="399" t="str">
        <f>IF(B472&lt;&gt;"",IF(AND(B472&gt;=_TM1,B472&lt;=_TM2,OR(TH!N472="1111",TH!O472="1111")),TH!D472,""),"")</f>
        <v/>
      </c>
      <c r="B472" s="63" t="str">
        <f t="shared" si="12"/>
        <v/>
      </c>
      <c r="C472" s="363"/>
      <c r="D472" s="363"/>
      <c r="E472" s="363"/>
      <c r="F472" s="364"/>
      <c r="G472" s="381"/>
      <c r="H472" s="365"/>
      <c r="I472" s="518"/>
      <c r="J472" s="518"/>
      <c r="K472" s="509"/>
      <c r="L472" s="518"/>
      <c r="M472" s="65"/>
      <c r="N472" s="366"/>
      <c r="O472" s="366"/>
      <c r="P472" s="87" t="str">
        <f>IF(AND('331-CT'!$E$7=TH!H472,OR(N472="331",O472="331")),"x","")</f>
        <v/>
      </c>
      <c r="Q472" s="87" t="str">
        <f>IF(AND(B472='111'!$L$11,OR($N472=$Q$7,$O472=$Q$7)),"x","")</f>
        <v/>
      </c>
      <c r="R472" s="87" t="str">
        <f>IF(AND($N472=$Q$7,$B472&lt;'111'!$L$11),"x","")</f>
        <v/>
      </c>
      <c r="S472" s="87" t="str">
        <f>IF(AND($O472=$Q$7,$B472&lt;'111'!$L$11),"x","")</f>
        <v/>
      </c>
      <c r="T472" s="87" t="str">
        <f>IF(ISERROR(FIND('112'!$M$9,G472,1)),"",IF((AND(FIND('112'!$M$9,G472,1)&gt;=1,B472='112'!$K$9,OR($N472='112'!$I$6,$O472='112'!$I$6))),"x",""))</f>
        <v/>
      </c>
      <c r="U472" s="87" t="str">
        <f>IF(ISERROR(FIND('112'!$M$9,G472,1)),"",IF((AND(FIND('112'!$M$9,G472,1)&gt;=1,B472&lt;'112'!$K$9,$N472='112'!$I$6)),"x",""))</f>
        <v/>
      </c>
      <c r="V472" s="87" t="str">
        <f>IF(ISERROR(FIND('112'!$M$9,G472,1)),"",IF((AND(FIND('112'!$M$9,G472,1)&gt;=1,B472&lt;'112'!$K$9,$O472='112'!$I$6)),"x",""))</f>
        <v/>
      </c>
      <c r="W472" s="87" t="str">
        <f>IF(AND($B472&gt;='1331'!$I$9,$B472&lt;='1331'!$J$9,OR($N472=$W$7,$O472=$W$7)),"x","")</f>
        <v/>
      </c>
      <c r="X472" s="87" t="str">
        <f>IF(AND($N472=$W$7,$B472&lt;'1331'!$I$9),"x","")</f>
        <v/>
      </c>
      <c r="Y472" s="87" t="str">
        <f>IF(AND($O472=$W$7,$B472&lt;'1331'!$I$9),"x","")</f>
        <v/>
      </c>
      <c r="Z472" s="87" t="str">
        <f>IF(AND('341-CT'!$H$9=H472,OR(LEFT(N472,3)=$Z$7,LEFT(O472,3)=$Z$7)),"x","")</f>
        <v/>
      </c>
      <c r="AA472" s="87" t="str">
        <f>IF(OR(TH!N472=TH!$AA$7,O472=TH!$AA$7),"x","")</f>
        <v/>
      </c>
      <c r="AB472" s="87" t="str">
        <f>IF(AND(OR(N472="131",O472="131"),H472='131-CT'!$H$9),"x","")</f>
        <v/>
      </c>
      <c r="AC472" s="87"/>
      <c r="AD472" s="87" t="str">
        <f>IF(AND(MONTH(E472)='IN-NX'!$J$5,'IN-NX'!$D$7=D472),"x","")</f>
        <v/>
      </c>
      <c r="AE472" s="87" t="str">
        <f>IF(AND(OR(LEFT(TH!N472,2)="15",LEFT(TH!O472,2)="15"),'152-CT'!$J$8=TH!F472),"x","")</f>
        <v/>
      </c>
      <c r="AF472" s="87" t="str">
        <f>IF(AND(OR(LEFT(TH!N472,2)="15",LEFT(TH!O472,2)="15"),'THE KHO'!$E$7=TH!F472),"x","")</f>
        <v/>
      </c>
      <c r="AG472" s="87" t="str">
        <f>IF(AND(N472="1521",MONTH(C472)='BK NL'!$M$11),"x","")</f>
        <v/>
      </c>
    </row>
    <row r="473" spans="1:33" ht="15.75" customHeight="1">
      <c r="A473" s="399" t="str">
        <f>IF(B473&lt;&gt;"",IF(AND(B473&gt;=_TM1,B473&lt;=_TM2,OR(TH!N473="1111",TH!O473="1111")),TH!D473,""),"")</f>
        <v/>
      </c>
      <c r="B473" s="63" t="str">
        <f t="shared" si="12"/>
        <v/>
      </c>
      <c r="C473" s="363"/>
      <c r="D473" s="363"/>
      <c r="E473" s="363"/>
      <c r="F473" s="364"/>
      <c r="G473" s="381"/>
      <c r="H473" s="365"/>
      <c r="I473" s="518"/>
      <c r="J473" s="518"/>
      <c r="K473" s="509"/>
      <c r="L473" s="518"/>
      <c r="M473" s="65"/>
      <c r="N473" s="366"/>
      <c r="O473" s="366"/>
      <c r="P473" s="87" t="str">
        <f>IF(AND('331-CT'!$E$7=TH!H473,OR(N473="331",O473="331")),"x","")</f>
        <v/>
      </c>
      <c r="Q473" s="87" t="str">
        <f>IF(AND(B473='111'!$L$11,OR($N473=$Q$7,$O473=$Q$7)),"x","")</f>
        <v/>
      </c>
      <c r="R473" s="87" t="str">
        <f>IF(AND($N473=$Q$7,$B473&lt;'111'!$L$11),"x","")</f>
        <v/>
      </c>
      <c r="S473" s="87" t="str">
        <f>IF(AND($O473=$Q$7,$B473&lt;'111'!$L$11),"x","")</f>
        <v/>
      </c>
      <c r="T473" s="87" t="str">
        <f>IF(ISERROR(FIND('112'!$M$9,G473,1)),"",IF((AND(FIND('112'!$M$9,G473,1)&gt;=1,B473='112'!$K$9,OR($N473='112'!$I$6,$O473='112'!$I$6))),"x",""))</f>
        <v/>
      </c>
      <c r="U473" s="87" t="str">
        <f>IF(ISERROR(FIND('112'!$M$9,G473,1)),"",IF((AND(FIND('112'!$M$9,G473,1)&gt;=1,B473&lt;'112'!$K$9,$N473='112'!$I$6)),"x",""))</f>
        <v/>
      </c>
      <c r="V473" s="87" t="str">
        <f>IF(ISERROR(FIND('112'!$M$9,G473,1)),"",IF((AND(FIND('112'!$M$9,G473,1)&gt;=1,B473&lt;'112'!$K$9,$O473='112'!$I$6)),"x",""))</f>
        <v/>
      </c>
      <c r="W473" s="87" t="str">
        <f>IF(AND($B473&gt;='1331'!$I$9,$B473&lt;='1331'!$J$9,OR($N473=$W$7,$O473=$W$7)),"x","")</f>
        <v/>
      </c>
      <c r="X473" s="87" t="str">
        <f>IF(AND($N473=$W$7,$B473&lt;'1331'!$I$9),"x","")</f>
        <v/>
      </c>
      <c r="Y473" s="87" t="str">
        <f>IF(AND($O473=$W$7,$B473&lt;'1331'!$I$9),"x","")</f>
        <v/>
      </c>
      <c r="Z473" s="87" t="str">
        <f>IF(AND('341-CT'!$H$9=H473,OR(LEFT(N473,3)=$Z$7,LEFT(O473,3)=$Z$7)),"x","")</f>
        <v/>
      </c>
      <c r="AA473" s="87" t="str">
        <f>IF(OR(TH!N473=TH!$AA$7,O473=TH!$AA$7),"x","")</f>
        <v/>
      </c>
      <c r="AB473" s="87" t="str">
        <f>IF(AND(OR(N473="131",O473="131"),H473='131-CT'!$H$9),"x","")</f>
        <v/>
      </c>
      <c r="AC473" s="87"/>
      <c r="AD473" s="87" t="str">
        <f>IF(AND(MONTH(E473)='IN-NX'!$J$5,'IN-NX'!$D$7=D473),"x","")</f>
        <v/>
      </c>
      <c r="AE473" s="87" t="str">
        <f>IF(AND(OR(LEFT(TH!N473,2)="15",LEFT(TH!O473,2)="15"),'152-CT'!$J$8=TH!F473),"x","")</f>
        <v/>
      </c>
      <c r="AF473" s="87" t="str">
        <f>IF(AND(OR(LEFT(TH!N473,2)="15",LEFT(TH!O473,2)="15"),'THE KHO'!$E$7=TH!F473),"x","")</f>
        <v/>
      </c>
      <c r="AG473" s="87" t="str">
        <f>IF(AND(N473="1521",MONTH(C473)='BK NL'!$M$11),"x","")</f>
        <v/>
      </c>
    </row>
    <row r="474" spans="1:33" ht="15.75" customHeight="1">
      <c r="A474" s="399" t="str">
        <f>IF(B474&lt;&gt;"",IF(AND(B474&gt;=_TM1,B474&lt;=_TM2,OR(TH!N474="1111",TH!O474="1111")),TH!D474,""),"")</f>
        <v/>
      </c>
      <c r="B474" s="63" t="str">
        <f t="shared" si="12"/>
        <v/>
      </c>
      <c r="C474" s="363"/>
      <c r="D474" s="363"/>
      <c r="E474" s="363"/>
      <c r="F474" s="364"/>
      <c r="G474" s="381"/>
      <c r="H474" s="365"/>
      <c r="I474" s="518"/>
      <c r="J474" s="518"/>
      <c r="K474" s="509"/>
      <c r="L474" s="518"/>
      <c r="M474" s="65"/>
      <c r="N474" s="366"/>
      <c r="O474" s="366"/>
      <c r="P474" s="87" t="str">
        <f>IF(AND('331-CT'!$E$7=TH!H474,OR(N474="331",O474="331")),"x","")</f>
        <v/>
      </c>
      <c r="Q474" s="87" t="str">
        <f>IF(AND(B474='111'!$L$11,OR($N474=$Q$7,$O474=$Q$7)),"x","")</f>
        <v/>
      </c>
      <c r="R474" s="87" t="str">
        <f>IF(AND($N474=$Q$7,$B474&lt;'111'!$L$11),"x","")</f>
        <v/>
      </c>
      <c r="S474" s="87" t="str">
        <f>IF(AND($O474=$Q$7,$B474&lt;'111'!$L$11),"x","")</f>
        <v/>
      </c>
      <c r="T474" s="87" t="str">
        <f>IF(ISERROR(FIND('112'!$M$9,G474,1)),"",IF((AND(FIND('112'!$M$9,G474,1)&gt;=1,B474='112'!$K$9,OR($N474='112'!$I$6,$O474='112'!$I$6))),"x",""))</f>
        <v/>
      </c>
      <c r="U474" s="87" t="str">
        <f>IF(ISERROR(FIND('112'!$M$9,G474,1)),"",IF((AND(FIND('112'!$M$9,G474,1)&gt;=1,B474&lt;'112'!$K$9,$N474='112'!$I$6)),"x",""))</f>
        <v/>
      </c>
      <c r="V474" s="87" t="str">
        <f>IF(ISERROR(FIND('112'!$M$9,G474,1)),"",IF((AND(FIND('112'!$M$9,G474,1)&gt;=1,B474&lt;'112'!$K$9,$O474='112'!$I$6)),"x",""))</f>
        <v/>
      </c>
      <c r="W474" s="87" t="str">
        <f>IF(AND($B474&gt;='1331'!$I$9,$B474&lt;='1331'!$J$9,OR($N474=$W$7,$O474=$W$7)),"x","")</f>
        <v/>
      </c>
      <c r="X474" s="87" t="str">
        <f>IF(AND($N474=$W$7,$B474&lt;'1331'!$I$9),"x","")</f>
        <v/>
      </c>
      <c r="Y474" s="87" t="str">
        <f>IF(AND($O474=$W$7,$B474&lt;'1331'!$I$9),"x","")</f>
        <v/>
      </c>
      <c r="Z474" s="87" t="str">
        <f>IF(AND('341-CT'!$H$9=H474,OR(LEFT(N474,3)=$Z$7,LEFT(O474,3)=$Z$7)),"x","")</f>
        <v/>
      </c>
      <c r="AA474" s="87" t="str">
        <f>IF(OR(TH!N474=TH!$AA$7,O474=TH!$AA$7),"x","")</f>
        <v/>
      </c>
      <c r="AB474" s="87" t="str">
        <f>IF(AND(OR(N474="131",O474="131"),H474='131-CT'!$H$9),"x","")</f>
        <v/>
      </c>
      <c r="AC474" s="87"/>
      <c r="AD474" s="87" t="str">
        <f>IF(AND(MONTH(E474)='IN-NX'!$J$5,'IN-NX'!$D$7=D474),"x","")</f>
        <v/>
      </c>
      <c r="AE474" s="87" t="str">
        <f>IF(AND(OR(LEFT(TH!N474,2)="15",LEFT(TH!O474,2)="15"),'152-CT'!$J$8=TH!F474),"x","")</f>
        <v/>
      </c>
      <c r="AF474" s="87" t="str">
        <f>IF(AND(OR(LEFT(TH!N474,2)="15",LEFT(TH!O474,2)="15"),'THE KHO'!$E$7=TH!F474),"x","")</f>
        <v/>
      </c>
      <c r="AG474" s="87" t="str">
        <f>IF(AND(N474="1521",MONTH(C474)='BK NL'!$M$11),"x","")</f>
        <v/>
      </c>
    </row>
    <row r="475" spans="1:33" ht="15.75" customHeight="1">
      <c r="A475" s="399" t="str">
        <f>IF(B475&lt;&gt;"",IF(AND(B475&gt;=_TM1,B475&lt;=_TM2,OR(TH!N475="1111",TH!O475="1111")),TH!D475,""),"")</f>
        <v/>
      </c>
      <c r="B475" s="63" t="str">
        <f t="shared" si="12"/>
        <v/>
      </c>
      <c r="C475" s="363"/>
      <c r="D475" s="363"/>
      <c r="E475" s="363"/>
      <c r="F475" s="364"/>
      <c r="G475" s="381"/>
      <c r="H475" s="365"/>
      <c r="I475" s="518"/>
      <c r="J475" s="518"/>
      <c r="K475" s="509"/>
      <c r="L475" s="518"/>
      <c r="M475" s="65"/>
      <c r="N475" s="366"/>
      <c r="O475" s="366"/>
      <c r="P475" s="87" t="str">
        <f>IF(AND('331-CT'!$E$7=TH!H475,OR(N475="331",O475="331")),"x","")</f>
        <v/>
      </c>
      <c r="Q475" s="87" t="str">
        <f>IF(AND(B475='111'!$L$11,OR($N475=$Q$7,$O475=$Q$7)),"x","")</f>
        <v/>
      </c>
      <c r="R475" s="87" t="str">
        <f>IF(AND($N475=$Q$7,$B475&lt;'111'!$L$11),"x","")</f>
        <v/>
      </c>
      <c r="S475" s="87" t="str">
        <f>IF(AND($O475=$Q$7,$B475&lt;'111'!$L$11),"x","")</f>
        <v/>
      </c>
      <c r="T475" s="87" t="str">
        <f>IF(ISERROR(FIND('112'!$M$9,G475,1)),"",IF((AND(FIND('112'!$M$9,G475,1)&gt;=1,B475='112'!$K$9,OR($N475='112'!$I$6,$O475='112'!$I$6))),"x",""))</f>
        <v/>
      </c>
      <c r="U475" s="87" t="str">
        <f>IF(ISERROR(FIND('112'!$M$9,G475,1)),"",IF((AND(FIND('112'!$M$9,G475,1)&gt;=1,B475&lt;'112'!$K$9,$N475='112'!$I$6)),"x",""))</f>
        <v/>
      </c>
      <c r="V475" s="87" t="str">
        <f>IF(ISERROR(FIND('112'!$M$9,G475,1)),"",IF((AND(FIND('112'!$M$9,G475,1)&gt;=1,B475&lt;'112'!$K$9,$O475='112'!$I$6)),"x",""))</f>
        <v/>
      </c>
      <c r="W475" s="87" t="str">
        <f>IF(AND($B475&gt;='1331'!$I$9,$B475&lt;='1331'!$J$9,OR($N475=$W$7,$O475=$W$7)),"x","")</f>
        <v/>
      </c>
      <c r="X475" s="87" t="str">
        <f>IF(AND($N475=$W$7,$B475&lt;'1331'!$I$9),"x","")</f>
        <v/>
      </c>
      <c r="Y475" s="87" t="str">
        <f>IF(AND($O475=$W$7,$B475&lt;'1331'!$I$9),"x","")</f>
        <v/>
      </c>
      <c r="Z475" s="87" t="str">
        <f>IF(AND('341-CT'!$H$9=H475,OR(LEFT(N475,3)=$Z$7,LEFT(O475,3)=$Z$7)),"x","")</f>
        <v/>
      </c>
      <c r="AA475" s="87" t="str">
        <f>IF(OR(TH!N475=TH!$AA$7,O475=TH!$AA$7),"x","")</f>
        <v/>
      </c>
      <c r="AB475" s="87" t="str">
        <f>IF(AND(OR(N475="131",O475="131"),H475='131-CT'!$H$9),"x","")</f>
        <v/>
      </c>
      <c r="AC475" s="87"/>
      <c r="AD475" s="87" t="str">
        <f>IF(AND(MONTH(E475)='IN-NX'!$J$5,'IN-NX'!$D$7=D475),"x","")</f>
        <v/>
      </c>
      <c r="AE475" s="87" t="str">
        <f>IF(AND(OR(LEFT(TH!N475,2)="15",LEFT(TH!O475,2)="15"),'152-CT'!$J$8=TH!F475),"x","")</f>
        <v/>
      </c>
      <c r="AF475" s="87" t="str">
        <f>IF(AND(OR(LEFT(TH!N475,2)="15",LEFT(TH!O475,2)="15"),'THE KHO'!$E$7=TH!F475),"x","")</f>
        <v/>
      </c>
      <c r="AG475" s="87" t="str">
        <f>IF(AND(N475="1521",MONTH(C475)='BK NL'!$M$11),"x","")</f>
        <v/>
      </c>
    </row>
    <row r="476" spans="1:33" ht="15.75" customHeight="1">
      <c r="A476" s="399" t="str">
        <f>IF(B476&lt;&gt;"",IF(AND(B476&gt;=_TM1,B476&lt;=_TM2,OR(TH!N476="1111",TH!O476="1111")),TH!D476,""),"")</f>
        <v/>
      </c>
      <c r="B476" s="63" t="str">
        <f t="shared" si="12"/>
        <v/>
      </c>
      <c r="C476" s="363"/>
      <c r="D476" s="363"/>
      <c r="E476" s="363"/>
      <c r="F476" s="364"/>
      <c r="G476" s="381"/>
      <c r="H476" s="365"/>
      <c r="I476" s="518"/>
      <c r="J476" s="518"/>
      <c r="K476" s="509"/>
      <c r="L476" s="518"/>
      <c r="M476" s="65"/>
      <c r="N476" s="366"/>
      <c r="O476" s="366"/>
      <c r="P476" s="87" t="str">
        <f>IF(AND('331-CT'!$E$7=TH!H476,OR(N476="331",O476="331")),"x","")</f>
        <v/>
      </c>
      <c r="Q476" s="87" t="str">
        <f>IF(AND(B476='111'!$L$11,OR($N476=$Q$7,$O476=$Q$7)),"x","")</f>
        <v/>
      </c>
      <c r="R476" s="87" t="str">
        <f>IF(AND($N476=$Q$7,$B476&lt;'111'!$L$11),"x","")</f>
        <v/>
      </c>
      <c r="S476" s="87" t="str">
        <f>IF(AND($O476=$Q$7,$B476&lt;'111'!$L$11),"x","")</f>
        <v/>
      </c>
      <c r="T476" s="87" t="str">
        <f>IF(ISERROR(FIND('112'!$M$9,G476,1)),"",IF((AND(FIND('112'!$M$9,G476,1)&gt;=1,B476='112'!$K$9,OR($N476='112'!$I$6,$O476='112'!$I$6))),"x",""))</f>
        <v/>
      </c>
      <c r="U476" s="87" t="str">
        <f>IF(ISERROR(FIND('112'!$M$9,G476,1)),"",IF((AND(FIND('112'!$M$9,G476,1)&gt;=1,B476&lt;'112'!$K$9,$N476='112'!$I$6)),"x",""))</f>
        <v/>
      </c>
      <c r="V476" s="87" t="str">
        <f>IF(ISERROR(FIND('112'!$M$9,G476,1)),"",IF((AND(FIND('112'!$M$9,G476,1)&gt;=1,B476&lt;'112'!$K$9,$O476='112'!$I$6)),"x",""))</f>
        <v/>
      </c>
      <c r="W476" s="87" t="str">
        <f>IF(AND($B476&gt;='1331'!$I$9,$B476&lt;='1331'!$J$9,OR($N476=$W$7,$O476=$W$7)),"x","")</f>
        <v/>
      </c>
      <c r="X476" s="87" t="str">
        <f>IF(AND($N476=$W$7,$B476&lt;'1331'!$I$9),"x","")</f>
        <v/>
      </c>
      <c r="Y476" s="87" t="str">
        <f>IF(AND($O476=$W$7,$B476&lt;'1331'!$I$9),"x","")</f>
        <v/>
      </c>
      <c r="Z476" s="87" t="str">
        <f>IF(AND('341-CT'!$H$9=H476,OR(LEFT(N476,3)=$Z$7,LEFT(O476,3)=$Z$7)),"x","")</f>
        <v/>
      </c>
      <c r="AA476" s="87" t="str">
        <f>IF(OR(TH!N476=TH!$AA$7,O476=TH!$AA$7),"x","")</f>
        <v/>
      </c>
      <c r="AB476" s="87" t="str">
        <f>IF(AND(OR(N476="131",O476="131"),H476='131-CT'!$H$9),"x","")</f>
        <v/>
      </c>
      <c r="AC476" s="87"/>
      <c r="AD476" s="87" t="str">
        <f>IF(AND(MONTH(E476)='IN-NX'!$J$5,'IN-NX'!$D$7=D476),"x","")</f>
        <v/>
      </c>
      <c r="AE476" s="87" t="str">
        <f>IF(AND(OR(LEFT(TH!N476,2)="15",LEFT(TH!O476,2)="15"),'152-CT'!$J$8=TH!F476),"x","")</f>
        <v/>
      </c>
      <c r="AF476" s="87" t="str">
        <f>IF(AND(OR(LEFT(TH!N476,2)="15",LEFT(TH!O476,2)="15"),'THE KHO'!$E$7=TH!F476),"x","")</f>
        <v/>
      </c>
      <c r="AG476" s="87" t="str">
        <f>IF(AND(N476="1521",MONTH(C476)='BK NL'!$M$11),"x","")</f>
        <v/>
      </c>
    </row>
    <row r="477" spans="1:33" ht="15.75" customHeight="1">
      <c r="A477" s="399" t="str">
        <f>IF(B477&lt;&gt;"",IF(AND(B477&gt;=_TM1,B477&lt;=_TM2,OR(TH!N477="1111",TH!O477="1111")),TH!D477,""),"")</f>
        <v/>
      </c>
      <c r="B477" s="63" t="str">
        <f t="shared" si="12"/>
        <v/>
      </c>
      <c r="C477" s="363"/>
      <c r="D477" s="363"/>
      <c r="E477" s="363"/>
      <c r="F477" s="364"/>
      <c r="G477" s="381"/>
      <c r="H477" s="365"/>
      <c r="I477" s="518"/>
      <c r="J477" s="518"/>
      <c r="K477" s="509"/>
      <c r="L477" s="518"/>
      <c r="M477" s="65"/>
      <c r="N477" s="366"/>
      <c r="O477" s="366"/>
      <c r="P477" s="87" t="str">
        <f>IF(AND('331-CT'!$E$7=TH!H477,OR(N477="331",O477="331")),"x","")</f>
        <v/>
      </c>
      <c r="Q477" s="87" t="str">
        <f>IF(AND(B477='111'!$L$11,OR($N477=$Q$7,$O477=$Q$7)),"x","")</f>
        <v/>
      </c>
      <c r="R477" s="87" t="str">
        <f>IF(AND($N477=$Q$7,$B477&lt;'111'!$L$11),"x","")</f>
        <v/>
      </c>
      <c r="S477" s="87" t="str">
        <f>IF(AND($O477=$Q$7,$B477&lt;'111'!$L$11),"x","")</f>
        <v/>
      </c>
      <c r="T477" s="87" t="str">
        <f>IF(ISERROR(FIND('112'!$M$9,G477,1)),"",IF((AND(FIND('112'!$M$9,G477,1)&gt;=1,B477='112'!$K$9,OR($N477='112'!$I$6,$O477='112'!$I$6))),"x",""))</f>
        <v/>
      </c>
      <c r="U477" s="87" t="str">
        <f>IF(ISERROR(FIND('112'!$M$9,G477,1)),"",IF((AND(FIND('112'!$M$9,G477,1)&gt;=1,B477&lt;'112'!$K$9,$N477='112'!$I$6)),"x",""))</f>
        <v/>
      </c>
      <c r="V477" s="87" t="str">
        <f>IF(ISERROR(FIND('112'!$M$9,G477,1)),"",IF((AND(FIND('112'!$M$9,G477,1)&gt;=1,B477&lt;'112'!$K$9,$O477='112'!$I$6)),"x",""))</f>
        <v/>
      </c>
      <c r="W477" s="87" t="str">
        <f>IF(AND($B477&gt;='1331'!$I$9,$B477&lt;='1331'!$J$9,OR($N477=$W$7,$O477=$W$7)),"x","")</f>
        <v/>
      </c>
      <c r="X477" s="87" t="str">
        <f>IF(AND($N477=$W$7,$B477&lt;'1331'!$I$9),"x","")</f>
        <v/>
      </c>
      <c r="Y477" s="87" t="str">
        <f>IF(AND($O477=$W$7,$B477&lt;'1331'!$I$9),"x","")</f>
        <v/>
      </c>
      <c r="Z477" s="87" t="str">
        <f>IF(AND('341-CT'!$H$9=H477,OR(LEFT(N477,3)=$Z$7,LEFT(O477,3)=$Z$7)),"x","")</f>
        <v/>
      </c>
      <c r="AA477" s="87" t="str">
        <f>IF(OR(TH!N477=TH!$AA$7,O477=TH!$AA$7),"x","")</f>
        <v/>
      </c>
      <c r="AB477" s="87" t="str">
        <f>IF(AND(OR(N477="131",O477="131"),H477='131-CT'!$H$9),"x","")</f>
        <v/>
      </c>
      <c r="AC477" s="87"/>
      <c r="AD477" s="87" t="str">
        <f>IF(AND(MONTH(E477)='IN-NX'!$J$5,'IN-NX'!$D$7=D477),"x","")</f>
        <v/>
      </c>
      <c r="AE477" s="87" t="str">
        <f>IF(AND(OR(LEFT(TH!N477,2)="15",LEFT(TH!O477,2)="15"),'152-CT'!$J$8=TH!F477),"x","")</f>
        <v/>
      </c>
      <c r="AF477" s="87" t="str">
        <f>IF(AND(OR(LEFT(TH!N477,2)="15",LEFT(TH!O477,2)="15"),'THE KHO'!$E$7=TH!F477),"x","")</f>
        <v/>
      </c>
      <c r="AG477" s="87" t="str">
        <f>IF(AND(N477="1521",MONTH(C477)='BK NL'!$M$11),"x","")</f>
        <v/>
      </c>
    </row>
    <row r="478" spans="1:33" ht="15.75" customHeight="1">
      <c r="A478" s="399" t="str">
        <f>IF(B478&lt;&gt;"",IF(AND(B478&gt;=_TM1,B478&lt;=_TM2,OR(TH!N478="1111",TH!O478="1111")),TH!D478,""),"")</f>
        <v/>
      </c>
      <c r="B478" s="63" t="str">
        <f t="shared" si="12"/>
        <v/>
      </c>
      <c r="C478" s="64"/>
      <c r="D478" s="363"/>
      <c r="E478" s="64"/>
      <c r="F478" s="67"/>
      <c r="G478" s="376"/>
      <c r="H478" s="75"/>
      <c r="I478" s="518"/>
      <c r="J478" s="518"/>
      <c r="K478" s="509"/>
      <c r="L478" s="518"/>
      <c r="M478" s="65"/>
      <c r="N478" s="66"/>
      <c r="O478" s="66"/>
      <c r="P478" s="87" t="str">
        <f>IF(AND('331-CT'!$E$7=TH!H478,OR(N478="331",O478="331")),"x","")</f>
        <v/>
      </c>
      <c r="Q478" s="87" t="str">
        <f>IF(AND(B478='111'!$L$11,OR($N478=$Q$7,$O478=$Q$7)),"x","")</f>
        <v/>
      </c>
      <c r="R478" s="87" t="str">
        <f>IF(AND($N478=$Q$7,$B478&lt;'111'!$L$11),"x","")</f>
        <v/>
      </c>
      <c r="S478" s="87" t="str">
        <f>IF(AND($O478=$Q$7,$B478&lt;'111'!$L$11),"x","")</f>
        <v/>
      </c>
      <c r="T478" s="87" t="str">
        <f>IF(ISERROR(FIND('112'!$M$9,G478,1)),"",IF((AND(FIND('112'!$M$9,G478,1)&gt;=1,B478='112'!$K$9,OR($N478='112'!$I$6,$O478='112'!$I$6))),"x",""))</f>
        <v/>
      </c>
      <c r="U478" s="87" t="str">
        <f>IF(ISERROR(FIND('112'!$M$9,G478,1)),"",IF((AND(FIND('112'!$M$9,G478,1)&gt;=1,B478&lt;'112'!$K$9,$N478='112'!$I$6)),"x",""))</f>
        <v/>
      </c>
      <c r="V478" s="87" t="str">
        <f>IF(ISERROR(FIND('112'!$M$9,G478,1)),"",IF((AND(FIND('112'!$M$9,G478,1)&gt;=1,B478&lt;'112'!$K$9,$O478='112'!$I$6)),"x",""))</f>
        <v/>
      </c>
      <c r="W478" s="87" t="str">
        <f>IF(AND($B478&gt;='1331'!$I$9,$B478&lt;='1331'!$J$9,OR($N478=$W$7,$O478=$W$7)),"x","")</f>
        <v/>
      </c>
      <c r="X478" s="87" t="str">
        <f>IF(AND($N478=$W$7,$B478&lt;'1331'!$I$9),"x","")</f>
        <v/>
      </c>
      <c r="Y478" s="87" t="str">
        <f>IF(AND($O478=$W$7,$B478&lt;'1331'!$I$9),"x","")</f>
        <v/>
      </c>
      <c r="Z478" s="87" t="str">
        <f>IF(AND('341-CT'!$H$9=H478,OR(LEFT(N478,3)=$Z$7,LEFT(O478,3)=$Z$7)),"x","")</f>
        <v/>
      </c>
      <c r="AA478" s="87" t="str">
        <f>IF(OR(TH!N478=TH!$AA$7,O478=TH!$AA$7),"x","")</f>
        <v/>
      </c>
      <c r="AB478" s="87" t="str">
        <f>IF(AND(OR(N478="131",O478="131"),H478='131-CT'!$H$9),"x","")</f>
        <v/>
      </c>
      <c r="AC478" s="87"/>
      <c r="AD478" s="87" t="str">
        <f>IF(AND(MONTH(E478)='IN-NX'!$J$5,'IN-NX'!$D$7=D478),"x","")</f>
        <v/>
      </c>
      <c r="AE478" s="87" t="str">
        <f>IF(AND(OR(LEFT(TH!N478,2)="15",LEFT(TH!O478,2)="15"),'152-CT'!$J$8=TH!F478),"x","")</f>
        <v/>
      </c>
      <c r="AF478" s="87" t="str">
        <f>IF(AND(OR(LEFT(TH!N478,2)="15",LEFT(TH!O478,2)="15"),'THE KHO'!$E$7=TH!F478),"x","")</f>
        <v/>
      </c>
      <c r="AG478" s="87" t="str">
        <f>IF(AND(N478="1521",MONTH(C478)='BK NL'!$M$11),"x","")</f>
        <v/>
      </c>
    </row>
    <row r="479" spans="1:33" ht="15.75" customHeight="1">
      <c r="A479" s="399" t="str">
        <f>IF(B479&lt;&gt;"",IF(AND(B479&gt;=_TM1,B479&lt;=_TM2,OR(TH!N479="1111",TH!O479="1111")),TH!D479,""),"")</f>
        <v/>
      </c>
      <c r="B479" s="63" t="str">
        <f t="shared" si="12"/>
        <v/>
      </c>
      <c r="C479" s="64"/>
      <c r="D479" s="363"/>
      <c r="E479" s="64"/>
      <c r="F479" s="67"/>
      <c r="G479" s="376"/>
      <c r="H479" s="75"/>
      <c r="I479" s="518"/>
      <c r="J479" s="518"/>
      <c r="K479" s="509"/>
      <c r="L479" s="518"/>
      <c r="M479" s="65"/>
      <c r="N479" s="66"/>
      <c r="O479" s="66"/>
      <c r="P479" s="87" t="str">
        <f>IF(AND('331-CT'!$E$7=TH!H479,OR(N479="331",O479="331")),"x","")</f>
        <v/>
      </c>
      <c r="Q479" s="87" t="str">
        <f>IF(AND(B479='111'!$L$11,OR($N479=$Q$7,$O479=$Q$7)),"x","")</f>
        <v/>
      </c>
      <c r="R479" s="87" t="str">
        <f>IF(AND($N479=$Q$7,$B479&lt;'111'!$L$11),"x","")</f>
        <v/>
      </c>
      <c r="S479" s="87" t="str">
        <f>IF(AND($O479=$Q$7,$B479&lt;'111'!$L$11),"x","")</f>
        <v/>
      </c>
      <c r="T479" s="87" t="str">
        <f>IF(ISERROR(FIND('112'!$M$9,G479,1)),"",IF((AND(FIND('112'!$M$9,G479,1)&gt;=1,B479='112'!$K$9,OR($N479='112'!$I$6,$O479='112'!$I$6))),"x",""))</f>
        <v/>
      </c>
      <c r="U479" s="87" t="str">
        <f>IF(ISERROR(FIND('112'!$M$9,G479,1)),"",IF((AND(FIND('112'!$M$9,G479,1)&gt;=1,B479&lt;'112'!$K$9,$N479='112'!$I$6)),"x",""))</f>
        <v/>
      </c>
      <c r="V479" s="87" t="str">
        <f>IF(ISERROR(FIND('112'!$M$9,G479,1)),"",IF((AND(FIND('112'!$M$9,G479,1)&gt;=1,B479&lt;'112'!$K$9,$O479='112'!$I$6)),"x",""))</f>
        <v/>
      </c>
      <c r="W479" s="87" t="str">
        <f>IF(AND($B479&gt;='1331'!$I$9,$B479&lt;='1331'!$J$9,OR($N479=$W$7,$O479=$W$7)),"x","")</f>
        <v/>
      </c>
      <c r="X479" s="87" t="str">
        <f>IF(AND($N479=$W$7,$B479&lt;'1331'!$I$9),"x","")</f>
        <v/>
      </c>
      <c r="Y479" s="87" t="str">
        <f>IF(AND($O479=$W$7,$B479&lt;'1331'!$I$9),"x","")</f>
        <v/>
      </c>
      <c r="Z479" s="87" t="str">
        <f>IF(AND('341-CT'!$H$9=H479,OR(LEFT(N479,3)=$Z$7,LEFT(O479,3)=$Z$7)),"x","")</f>
        <v/>
      </c>
      <c r="AA479" s="87" t="str">
        <f>IF(OR(TH!N479=TH!$AA$7,O479=TH!$AA$7),"x","")</f>
        <v/>
      </c>
      <c r="AB479" s="87" t="str">
        <f>IF(AND(OR(N479="131",O479="131"),H479='131-CT'!$H$9),"x","")</f>
        <v/>
      </c>
      <c r="AC479" s="87"/>
      <c r="AD479" s="87" t="str">
        <f>IF(AND(MONTH(E479)='IN-NX'!$J$5,'IN-NX'!$D$7=D479),"x","")</f>
        <v/>
      </c>
      <c r="AE479" s="87" t="str">
        <f>IF(AND(OR(LEFT(TH!N479,2)="15",LEFT(TH!O479,2)="15"),'152-CT'!$J$8=TH!F479),"x","")</f>
        <v/>
      </c>
      <c r="AF479" s="87" t="str">
        <f>IF(AND(OR(LEFT(TH!N479,2)="15",LEFT(TH!O479,2)="15"),'THE KHO'!$E$7=TH!F479),"x","")</f>
        <v/>
      </c>
      <c r="AG479" s="87" t="str">
        <f>IF(AND(N479="1521",MONTH(C479)='BK NL'!$M$11),"x","")</f>
        <v/>
      </c>
    </row>
    <row r="480" spans="1:33" ht="15.75" customHeight="1">
      <c r="A480" s="399" t="str">
        <f>IF(B480&lt;&gt;"",IF(AND(B480&gt;=_TM1,B480&lt;=_TM2,OR(TH!N480="1111",TH!O480="1111")),TH!D480,""),"")</f>
        <v/>
      </c>
      <c r="B480" s="63" t="str">
        <f t="shared" si="12"/>
        <v/>
      </c>
      <c r="C480" s="363"/>
      <c r="D480" s="363"/>
      <c r="E480" s="363"/>
      <c r="F480" s="364"/>
      <c r="G480" s="381"/>
      <c r="H480" s="365"/>
      <c r="I480" s="518"/>
      <c r="J480" s="518"/>
      <c r="K480" s="509"/>
      <c r="L480" s="518"/>
      <c r="M480" s="65"/>
      <c r="N480" s="366"/>
      <c r="O480" s="366"/>
      <c r="P480" s="87" t="str">
        <f>IF(AND('331-CT'!$E$7=TH!H480,OR(N480="331",O480="331")),"x","")</f>
        <v/>
      </c>
      <c r="Q480" s="87" t="str">
        <f>IF(AND(B480='111'!$L$11,OR($N480=$Q$7,$O480=$Q$7)),"x","")</f>
        <v/>
      </c>
      <c r="R480" s="87" t="str">
        <f>IF(AND($N480=$Q$7,$B480&lt;'111'!$L$11),"x","")</f>
        <v/>
      </c>
      <c r="S480" s="87" t="str">
        <f>IF(AND($O480=$Q$7,$B480&lt;'111'!$L$11),"x","")</f>
        <v/>
      </c>
      <c r="T480" s="87" t="str">
        <f>IF(ISERROR(FIND('112'!$M$9,G480,1)),"",IF((AND(FIND('112'!$M$9,G480,1)&gt;=1,B480='112'!$K$9,OR($N480='112'!$I$6,$O480='112'!$I$6))),"x",""))</f>
        <v/>
      </c>
      <c r="U480" s="87" t="str">
        <f>IF(ISERROR(FIND('112'!$M$9,G480,1)),"",IF((AND(FIND('112'!$M$9,G480,1)&gt;=1,B480&lt;'112'!$K$9,$N480='112'!$I$6)),"x",""))</f>
        <v/>
      </c>
      <c r="V480" s="87" t="str">
        <f>IF(ISERROR(FIND('112'!$M$9,G480,1)),"",IF((AND(FIND('112'!$M$9,G480,1)&gt;=1,B480&lt;'112'!$K$9,$O480='112'!$I$6)),"x",""))</f>
        <v/>
      </c>
      <c r="W480" s="87" t="str">
        <f>IF(AND($B480&gt;='1331'!$I$9,$B480&lt;='1331'!$J$9,OR($N480=$W$7,$O480=$W$7)),"x","")</f>
        <v/>
      </c>
      <c r="X480" s="87" t="str">
        <f>IF(AND($N480=$W$7,$B480&lt;'1331'!$I$9),"x","")</f>
        <v/>
      </c>
      <c r="Y480" s="87" t="str">
        <f>IF(AND($O480=$W$7,$B480&lt;'1331'!$I$9),"x","")</f>
        <v/>
      </c>
      <c r="Z480" s="87" t="str">
        <f>IF(AND('341-CT'!$H$9=H480,OR(LEFT(N480,3)=$Z$7,LEFT(O480,3)=$Z$7)),"x","")</f>
        <v/>
      </c>
      <c r="AA480" s="87" t="str">
        <f>IF(OR(TH!N480=TH!$AA$7,O480=TH!$AA$7),"x","")</f>
        <v/>
      </c>
      <c r="AB480" s="87" t="str">
        <f>IF(AND(OR(N480="131",O480="131"),H480='131-CT'!$H$9),"x","")</f>
        <v/>
      </c>
      <c r="AC480" s="87"/>
      <c r="AD480" s="87" t="str">
        <f>IF(AND(MONTH(E480)='IN-NX'!$J$5,'IN-NX'!$D$7=D480),"x","")</f>
        <v/>
      </c>
      <c r="AE480" s="87" t="str">
        <f>IF(AND(OR(LEFT(TH!N480,2)="15",LEFT(TH!O480,2)="15"),'152-CT'!$J$8=TH!F480),"x","")</f>
        <v/>
      </c>
      <c r="AF480" s="87" t="str">
        <f>IF(AND(OR(LEFT(TH!N480,2)="15",LEFT(TH!O480,2)="15"),'THE KHO'!$E$7=TH!F480),"x","")</f>
        <v/>
      </c>
      <c r="AG480" s="87" t="str">
        <f>IF(AND(N480="1521",MONTH(C480)='BK NL'!$M$11),"x","")</f>
        <v/>
      </c>
    </row>
    <row r="481" spans="1:33" ht="15.75" customHeight="1">
      <c r="A481" s="399" t="str">
        <f>IF(B481&lt;&gt;"",IF(AND(B481&gt;=_TM1,B481&lt;=_TM2,OR(TH!N481="1111",TH!O481="1111")),TH!D481,""),"")</f>
        <v/>
      </c>
      <c r="B481" s="63" t="str">
        <f t="shared" si="12"/>
        <v/>
      </c>
      <c r="C481" s="363"/>
      <c r="D481" s="363"/>
      <c r="E481" s="363"/>
      <c r="F481" s="364"/>
      <c r="G481" s="381"/>
      <c r="H481" s="365"/>
      <c r="I481" s="518"/>
      <c r="J481" s="518"/>
      <c r="K481" s="509"/>
      <c r="L481" s="518"/>
      <c r="M481" s="65"/>
      <c r="N481" s="366"/>
      <c r="O481" s="366"/>
      <c r="P481" s="87" t="str">
        <f>IF(AND('331-CT'!$E$7=TH!H481,OR(N481="331",O481="331")),"x","")</f>
        <v/>
      </c>
      <c r="Q481" s="87" t="str">
        <f>IF(AND(B481='111'!$L$11,OR($N481=$Q$7,$O481=$Q$7)),"x","")</f>
        <v/>
      </c>
      <c r="R481" s="87" t="str">
        <f>IF(AND($N481=$Q$7,$B481&lt;'111'!$L$11),"x","")</f>
        <v/>
      </c>
      <c r="S481" s="87" t="str">
        <f>IF(AND($O481=$Q$7,$B481&lt;'111'!$L$11),"x","")</f>
        <v/>
      </c>
      <c r="T481" s="87" t="str">
        <f>IF(ISERROR(FIND('112'!$M$9,G481,1)),"",IF((AND(FIND('112'!$M$9,G481,1)&gt;=1,B481='112'!$K$9,OR($N481='112'!$I$6,$O481='112'!$I$6))),"x",""))</f>
        <v/>
      </c>
      <c r="U481" s="87" t="str">
        <f>IF(ISERROR(FIND('112'!$M$9,G481,1)),"",IF((AND(FIND('112'!$M$9,G481,1)&gt;=1,B481&lt;'112'!$K$9,$N481='112'!$I$6)),"x",""))</f>
        <v/>
      </c>
      <c r="V481" s="87" t="str">
        <f>IF(ISERROR(FIND('112'!$M$9,G481,1)),"",IF((AND(FIND('112'!$M$9,G481,1)&gt;=1,B481&lt;'112'!$K$9,$O481='112'!$I$6)),"x",""))</f>
        <v/>
      </c>
      <c r="W481" s="87" t="str">
        <f>IF(AND($B481&gt;='1331'!$I$9,$B481&lt;='1331'!$J$9,OR($N481=$W$7,$O481=$W$7)),"x","")</f>
        <v/>
      </c>
      <c r="X481" s="87" t="str">
        <f>IF(AND($N481=$W$7,$B481&lt;'1331'!$I$9),"x","")</f>
        <v/>
      </c>
      <c r="Y481" s="87" t="str">
        <f>IF(AND($O481=$W$7,$B481&lt;'1331'!$I$9),"x","")</f>
        <v/>
      </c>
      <c r="Z481" s="87" t="str">
        <f>IF(AND('341-CT'!$H$9=H481,OR(LEFT(N481,3)=$Z$7,LEFT(O481,3)=$Z$7)),"x","")</f>
        <v/>
      </c>
      <c r="AA481" s="87" t="str">
        <f>IF(OR(TH!N481=TH!$AA$7,O481=TH!$AA$7),"x","")</f>
        <v/>
      </c>
      <c r="AB481" s="87" t="str">
        <f>IF(AND(OR(N481="131",O481="131"),H481='131-CT'!$H$9),"x","")</f>
        <v/>
      </c>
      <c r="AC481" s="87"/>
      <c r="AD481" s="87" t="str">
        <f>IF(AND(MONTH(E481)='IN-NX'!$J$5,'IN-NX'!$D$7=D481),"x","")</f>
        <v/>
      </c>
      <c r="AE481" s="87" t="str">
        <f>IF(AND(OR(LEFT(TH!N481,2)="15",LEFT(TH!O481,2)="15"),'152-CT'!$J$8=TH!F481),"x","")</f>
        <v/>
      </c>
      <c r="AF481" s="87" t="str">
        <f>IF(AND(OR(LEFT(TH!N481,2)="15",LEFT(TH!O481,2)="15"),'THE KHO'!$E$7=TH!F481),"x","")</f>
        <v/>
      </c>
      <c r="AG481" s="87" t="str">
        <f>IF(AND(N481="1521",MONTH(C481)='BK NL'!$M$11),"x","")</f>
        <v/>
      </c>
    </row>
    <row r="482" spans="1:33" ht="15.75" customHeight="1">
      <c r="A482" s="399" t="str">
        <f>IF(B482&lt;&gt;"",IF(AND(B482&gt;=_TM1,B482&lt;=_TM2,OR(TH!N482="1111",TH!O482="1111")),TH!D482,""),"")</f>
        <v/>
      </c>
      <c r="B482" s="63" t="str">
        <f t="shared" si="12"/>
        <v/>
      </c>
      <c r="C482" s="363"/>
      <c r="D482" s="363"/>
      <c r="E482" s="363"/>
      <c r="F482" s="364"/>
      <c r="G482" s="381"/>
      <c r="H482" s="365"/>
      <c r="I482" s="518"/>
      <c r="J482" s="518"/>
      <c r="K482" s="509"/>
      <c r="L482" s="518"/>
      <c r="M482" s="65"/>
      <c r="N482" s="366"/>
      <c r="O482" s="366"/>
      <c r="P482" s="87" t="str">
        <f>IF(AND('331-CT'!$E$7=TH!H482,OR(N482="331",O482="331")),"x","")</f>
        <v/>
      </c>
      <c r="Q482" s="87" t="str">
        <f>IF(AND(B482='111'!$L$11,OR($N482=$Q$7,$O482=$Q$7)),"x","")</f>
        <v/>
      </c>
      <c r="R482" s="87" t="str">
        <f>IF(AND($N482=$Q$7,$B482&lt;'111'!$L$11),"x","")</f>
        <v/>
      </c>
      <c r="S482" s="87" t="str">
        <f>IF(AND($O482=$Q$7,$B482&lt;'111'!$L$11),"x","")</f>
        <v/>
      </c>
      <c r="T482" s="87" t="str">
        <f>IF(ISERROR(FIND('112'!$M$9,G482,1)),"",IF((AND(FIND('112'!$M$9,G482,1)&gt;=1,B482='112'!$K$9,OR($N482='112'!$I$6,$O482='112'!$I$6))),"x",""))</f>
        <v/>
      </c>
      <c r="U482" s="87" t="str">
        <f>IF(ISERROR(FIND('112'!$M$9,G482,1)),"",IF((AND(FIND('112'!$M$9,G482,1)&gt;=1,B482&lt;'112'!$K$9,$N482='112'!$I$6)),"x",""))</f>
        <v/>
      </c>
      <c r="V482" s="87" t="str">
        <f>IF(ISERROR(FIND('112'!$M$9,G482,1)),"",IF((AND(FIND('112'!$M$9,G482,1)&gt;=1,B482&lt;'112'!$K$9,$O482='112'!$I$6)),"x",""))</f>
        <v/>
      </c>
      <c r="W482" s="87" t="str">
        <f>IF(AND($B482&gt;='1331'!$I$9,$B482&lt;='1331'!$J$9,OR($N482=$W$7,$O482=$W$7)),"x","")</f>
        <v/>
      </c>
      <c r="X482" s="87" t="str">
        <f>IF(AND($N482=$W$7,$B482&lt;'1331'!$I$9),"x","")</f>
        <v/>
      </c>
      <c r="Y482" s="87" t="str">
        <f>IF(AND($O482=$W$7,$B482&lt;'1331'!$I$9),"x","")</f>
        <v/>
      </c>
      <c r="Z482" s="87" t="str">
        <f>IF(AND('341-CT'!$H$9=H482,OR(LEFT(N482,3)=$Z$7,LEFT(O482,3)=$Z$7)),"x","")</f>
        <v/>
      </c>
      <c r="AA482" s="87" t="str">
        <f>IF(OR(TH!N482=TH!$AA$7,O482=TH!$AA$7),"x","")</f>
        <v/>
      </c>
      <c r="AB482" s="87" t="str">
        <f>IF(AND(OR(N482="131",O482="131"),H482='131-CT'!$H$9),"x","")</f>
        <v/>
      </c>
      <c r="AC482" s="87"/>
      <c r="AD482" s="87" t="str">
        <f>IF(AND(MONTH(E482)='IN-NX'!$J$5,'IN-NX'!$D$7=D482),"x","")</f>
        <v/>
      </c>
      <c r="AE482" s="87" t="str">
        <f>IF(AND(OR(LEFT(TH!N482,2)="15",LEFT(TH!O482,2)="15"),'152-CT'!$J$8=TH!F482),"x","")</f>
        <v/>
      </c>
      <c r="AF482" s="87" t="str">
        <f>IF(AND(OR(LEFT(TH!N482,2)="15",LEFT(TH!O482,2)="15"),'THE KHO'!$E$7=TH!F482),"x","")</f>
        <v/>
      </c>
      <c r="AG482" s="87" t="str">
        <f>IF(AND(N482="1521",MONTH(C482)='BK NL'!$M$11),"x","")</f>
        <v/>
      </c>
    </row>
    <row r="483" spans="1:33" ht="15.75" customHeight="1">
      <c r="A483" s="399" t="str">
        <f>IF(B483&lt;&gt;"",IF(AND(B483&gt;=_TM1,B483&lt;=_TM2,OR(TH!N483="1111",TH!O483="1111")),TH!D483,""),"")</f>
        <v/>
      </c>
      <c r="B483" s="63" t="str">
        <f t="shared" si="12"/>
        <v/>
      </c>
      <c r="C483" s="363"/>
      <c r="D483" s="363"/>
      <c r="E483" s="363"/>
      <c r="F483" s="364"/>
      <c r="G483" s="381"/>
      <c r="H483" s="365"/>
      <c r="I483" s="518"/>
      <c r="J483" s="518"/>
      <c r="K483" s="509"/>
      <c r="L483" s="518"/>
      <c r="M483" s="65"/>
      <c r="N483" s="366"/>
      <c r="O483" s="366"/>
      <c r="P483" s="87" t="str">
        <f>IF(AND('331-CT'!$E$7=TH!H483,OR(N483="331",O483="331")),"x","")</f>
        <v/>
      </c>
      <c r="Q483" s="87" t="str">
        <f>IF(AND(B483='111'!$L$11,OR($N483=$Q$7,$O483=$Q$7)),"x","")</f>
        <v/>
      </c>
      <c r="R483" s="87" t="str">
        <f>IF(AND($N483=$Q$7,$B483&lt;'111'!$L$11),"x","")</f>
        <v/>
      </c>
      <c r="S483" s="87" t="str">
        <f>IF(AND($O483=$Q$7,$B483&lt;'111'!$L$11),"x","")</f>
        <v/>
      </c>
      <c r="T483" s="87" t="str">
        <f>IF(ISERROR(FIND('112'!$M$9,G483,1)),"",IF((AND(FIND('112'!$M$9,G483,1)&gt;=1,B483='112'!$K$9,OR($N483='112'!$I$6,$O483='112'!$I$6))),"x",""))</f>
        <v/>
      </c>
      <c r="U483" s="87" t="str">
        <f>IF(ISERROR(FIND('112'!$M$9,G483,1)),"",IF((AND(FIND('112'!$M$9,G483,1)&gt;=1,B483&lt;'112'!$K$9,$N483='112'!$I$6)),"x",""))</f>
        <v/>
      </c>
      <c r="V483" s="87" t="str">
        <f>IF(ISERROR(FIND('112'!$M$9,G483,1)),"",IF((AND(FIND('112'!$M$9,G483,1)&gt;=1,B483&lt;'112'!$K$9,$O483='112'!$I$6)),"x",""))</f>
        <v/>
      </c>
      <c r="W483" s="87" t="str">
        <f>IF(AND($B483&gt;='1331'!$I$9,$B483&lt;='1331'!$J$9,OR($N483=$W$7,$O483=$W$7)),"x","")</f>
        <v/>
      </c>
      <c r="X483" s="87" t="str">
        <f>IF(AND($N483=$W$7,$B483&lt;'1331'!$I$9),"x","")</f>
        <v/>
      </c>
      <c r="Y483" s="87" t="str">
        <f>IF(AND($O483=$W$7,$B483&lt;'1331'!$I$9),"x","")</f>
        <v/>
      </c>
      <c r="Z483" s="87" t="str">
        <f>IF(AND('341-CT'!$H$9=H483,OR(LEFT(N483,3)=$Z$7,LEFT(O483,3)=$Z$7)),"x","")</f>
        <v/>
      </c>
      <c r="AA483" s="87" t="str">
        <f>IF(OR(TH!N483=TH!$AA$7,O483=TH!$AA$7),"x","")</f>
        <v/>
      </c>
      <c r="AB483" s="87" t="str">
        <f>IF(AND(OR(N483="131",O483="131"),H483='131-CT'!$H$9),"x","")</f>
        <v/>
      </c>
      <c r="AC483" s="87"/>
      <c r="AD483" s="87" t="str">
        <f>IF(AND(MONTH(E483)='IN-NX'!$J$5,'IN-NX'!$D$7=D483),"x","")</f>
        <v/>
      </c>
      <c r="AE483" s="87" t="str">
        <f>IF(AND(OR(LEFT(TH!N483,2)="15",LEFT(TH!O483,2)="15"),'152-CT'!$J$8=TH!F483),"x","")</f>
        <v/>
      </c>
      <c r="AF483" s="87" t="str">
        <f>IF(AND(OR(LEFT(TH!N483,2)="15",LEFT(TH!O483,2)="15"),'THE KHO'!$E$7=TH!F483),"x","")</f>
        <v/>
      </c>
      <c r="AG483" s="87" t="str">
        <f>IF(AND(N483="1521",MONTH(C483)='BK NL'!$M$11),"x","")</f>
        <v/>
      </c>
    </row>
    <row r="484" spans="1:33" ht="15.75" customHeight="1">
      <c r="A484" s="399" t="str">
        <f>IF(B484&lt;&gt;"",IF(AND(B484&gt;=_TM1,B484&lt;=_TM2,OR(TH!N484="1111",TH!O484="1111")),TH!D484,""),"")</f>
        <v/>
      </c>
      <c r="B484" s="63" t="str">
        <f t="shared" si="12"/>
        <v/>
      </c>
      <c r="C484" s="363"/>
      <c r="D484" s="363"/>
      <c r="E484" s="363"/>
      <c r="F484" s="364"/>
      <c r="G484" s="381"/>
      <c r="H484" s="365"/>
      <c r="I484" s="518"/>
      <c r="J484" s="518"/>
      <c r="K484" s="509"/>
      <c r="L484" s="518"/>
      <c r="M484" s="65"/>
      <c r="N484" s="366"/>
      <c r="O484" s="366"/>
      <c r="P484" s="87" t="str">
        <f>IF(AND('331-CT'!$E$7=TH!H484,OR(N484="331",O484="331")),"x","")</f>
        <v/>
      </c>
      <c r="Q484" s="87" t="str">
        <f>IF(AND(B484='111'!$L$11,OR($N484=$Q$7,$O484=$Q$7)),"x","")</f>
        <v/>
      </c>
      <c r="R484" s="87" t="str">
        <f>IF(AND($N484=$Q$7,$B484&lt;'111'!$L$11),"x","")</f>
        <v/>
      </c>
      <c r="S484" s="87" t="str">
        <f>IF(AND($O484=$Q$7,$B484&lt;'111'!$L$11),"x","")</f>
        <v/>
      </c>
      <c r="T484" s="87" t="str">
        <f>IF(ISERROR(FIND('112'!$M$9,G484,1)),"",IF((AND(FIND('112'!$M$9,G484,1)&gt;=1,B484='112'!$K$9,OR($N484='112'!$I$6,$O484='112'!$I$6))),"x",""))</f>
        <v/>
      </c>
      <c r="U484" s="87" t="str">
        <f>IF(ISERROR(FIND('112'!$M$9,G484,1)),"",IF((AND(FIND('112'!$M$9,G484,1)&gt;=1,B484&lt;'112'!$K$9,$N484='112'!$I$6)),"x",""))</f>
        <v/>
      </c>
      <c r="V484" s="87" t="str">
        <f>IF(ISERROR(FIND('112'!$M$9,G484,1)),"",IF((AND(FIND('112'!$M$9,G484,1)&gt;=1,B484&lt;'112'!$K$9,$O484='112'!$I$6)),"x",""))</f>
        <v/>
      </c>
      <c r="W484" s="87" t="str">
        <f>IF(AND($B484&gt;='1331'!$I$9,$B484&lt;='1331'!$J$9,OR($N484=$W$7,$O484=$W$7)),"x","")</f>
        <v/>
      </c>
      <c r="X484" s="87" t="str">
        <f>IF(AND($N484=$W$7,$B484&lt;'1331'!$I$9),"x","")</f>
        <v/>
      </c>
      <c r="Y484" s="87" t="str">
        <f>IF(AND($O484=$W$7,$B484&lt;'1331'!$I$9),"x","")</f>
        <v/>
      </c>
      <c r="Z484" s="87" t="str">
        <f>IF(AND('341-CT'!$H$9=H484,OR(LEFT(N484,3)=$Z$7,LEFT(O484,3)=$Z$7)),"x","")</f>
        <v/>
      </c>
      <c r="AA484" s="87" t="str">
        <f>IF(OR(TH!N484=TH!$AA$7,O484=TH!$AA$7),"x","")</f>
        <v/>
      </c>
      <c r="AB484" s="87" t="str">
        <f>IF(AND(OR(N484="131",O484="131"),H484='131-CT'!$H$9),"x","")</f>
        <v/>
      </c>
      <c r="AC484" s="87"/>
      <c r="AD484" s="87" t="str">
        <f>IF(AND(MONTH(E484)='IN-NX'!$J$5,'IN-NX'!$D$7=D484),"x","")</f>
        <v/>
      </c>
      <c r="AE484" s="87" t="str">
        <f>IF(AND(OR(LEFT(TH!N484,2)="15",LEFT(TH!O484,2)="15"),'152-CT'!$J$8=TH!F484),"x","")</f>
        <v/>
      </c>
      <c r="AF484" s="87" t="str">
        <f>IF(AND(OR(LEFT(TH!N484,2)="15",LEFT(TH!O484,2)="15"),'THE KHO'!$E$7=TH!F484),"x","")</f>
        <v/>
      </c>
      <c r="AG484" s="87" t="str">
        <f>IF(AND(N484="1521",MONTH(C484)='BK NL'!$M$11),"x","")</f>
        <v/>
      </c>
    </row>
    <row r="485" spans="1:33" ht="15.75" customHeight="1">
      <c r="A485" s="399" t="str">
        <f>IF(B485&lt;&gt;"",IF(AND(B485&gt;=_TM1,B485&lt;=_TM2,OR(TH!N485="1111",TH!O485="1111")),TH!D485,""),"")</f>
        <v/>
      </c>
      <c r="B485" s="63" t="str">
        <f t="shared" si="12"/>
        <v/>
      </c>
      <c r="C485" s="363"/>
      <c r="D485" s="363"/>
      <c r="E485" s="363"/>
      <c r="F485" s="364"/>
      <c r="G485" s="381"/>
      <c r="H485" s="365"/>
      <c r="I485" s="518"/>
      <c r="J485" s="518"/>
      <c r="K485" s="509"/>
      <c r="L485" s="518"/>
      <c r="M485" s="65"/>
      <c r="N485" s="366"/>
      <c r="O485" s="366"/>
      <c r="P485" s="87" t="str">
        <f>IF(AND('331-CT'!$E$7=TH!H485,OR(N485="331",O485="331")),"x","")</f>
        <v/>
      </c>
      <c r="Q485" s="87" t="str">
        <f>IF(AND(B485='111'!$L$11,OR($N485=$Q$7,$O485=$Q$7)),"x","")</f>
        <v/>
      </c>
      <c r="R485" s="87" t="str">
        <f>IF(AND($N485=$Q$7,$B485&lt;'111'!$L$11),"x","")</f>
        <v/>
      </c>
      <c r="S485" s="87" t="str">
        <f>IF(AND($O485=$Q$7,$B485&lt;'111'!$L$11),"x","")</f>
        <v/>
      </c>
      <c r="T485" s="87" t="str">
        <f>IF(ISERROR(FIND('112'!$M$9,G485,1)),"",IF((AND(FIND('112'!$M$9,G485,1)&gt;=1,B485='112'!$K$9,OR($N485='112'!$I$6,$O485='112'!$I$6))),"x",""))</f>
        <v/>
      </c>
      <c r="U485" s="87" t="str">
        <f>IF(ISERROR(FIND('112'!$M$9,G485,1)),"",IF((AND(FIND('112'!$M$9,G485,1)&gt;=1,B485&lt;'112'!$K$9,$N485='112'!$I$6)),"x",""))</f>
        <v/>
      </c>
      <c r="V485" s="87" t="str">
        <f>IF(ISERROR(FIND('112'!$M$9,G485,1)),"",IF((AND(FIND('112'!$M$9,G485,1)&gt;=1,B485&lt;'112'!$K$9,$O485='112'!$I$6)),"x",""))</f>
        <v/>
      </c>
      <c r="W485" s="87" t="str">
        <f>IF(AND($B485&gt;='1331'!$I$9,$B485&lt;='1331'!$J$9,OR($N485=$W$7,$O485=$W$7)),"x","")</f>
        <v/>
      </c>
      <c r="X485" s="87" t="str">
        <f>IF(AND($N485=$W$7,$B485&lt;'1331'!$I$9),"x","")</f>
        <v/>
      </c>
      <c r="Y485" s="87" t="str">
        <f>IF(AND($O485=$W$7,$B485&lt;'1331'!$I$9),"x","")</f>
        <v/>
      </c>
      <c r="Z485" s="87" t="str">
        <f>IF(AND('341-CT'!$H$9=H485,OR(LEFT(N485,3)=$Z$7,LEFT(O485,3)=$Z$7)),"x","")</f>
        <v/>
      </c>
      <c r="AA485" s="87" t="str">
        <f>IF(OR(TH!N485=TH!$AA$7,O485=TH!$AA$7),"x","")</f>
        <v/>
      </c>
      <c r="AB485" s="87" t="str">
        <f>IF(AND(OR(N485="131",O485="131"),H485='131-CT'!$H$9),"x","")</f>
        <v/>
      </c>
      <c r="AC485" s="87"/>
      <c r="AD485" s="87" t="str">
        <f>IF(AND(MONTH(E485)='IN-NX'!$J$5,'IN-NX'!$D$7=D485),"x","")</f>
        <v/>
      </c>
      <c r="AE485" s="87" t="str">
        <f>IF(AND(OR(LEFT(TH!N485,2)="15",LEFT(TH!O485,2)="15"),'152-CT'!$J$8=TH!F485),"x","")</f>
        <v/>
      </c>
      <c r="AF485" s="87" t="str">
        <f>IF(AND(OR(LEFT(TH!N485,2)="15",LEFT(TH!O485,2)="15"),'THE KHO'!$E$7=TH!F485),"x","")</f>
        <v/>
      </c>
      <c r="AG485" s="87" t="str">
        <f>IF(AND(N485="1521",MONTH(C485)='BK NL'!$M$11),"x","")</f>
        <v/>
      </c>
    </row>
    <row r="486" spans="1:33" ht="15.75" customHeight="1">
      <c r="A486" s="399" t="str">
        <f>IF(B486&lt;&gt;"",IF(AND(B486&gt;=_TM1,B486&lt;=_TM2,OR(TH!N486="1111",TH!O486="1111")),TH!D486,""),"")</f>
        <v/>
      </c>
      <c r="B486" s="63" t="str">
        <f t="shared" si="12"/>
        <v/>
      </c>
      <c r="C486" s="363"/>
      <c r="D486" s="363"/>
      <c r="E486" s="363"/>
      <c r="F486" s="364"/>
      <c r="G486" s="381"/>
      <c r="H486" s="365"/>
      <c r="I486" s="518"/>
      <c r="J486" s="518"/>
      <c r="K486" s="509"/>
      <c r="L486" s="518"/>
      <c r="M486" s="65"/>
      <c r="N486" s="366"/>
      <c r="O486" s="366"/>
      <c r="P486" s="87" t="str">
        <f>IF(AND('331-CT'!$E$7=TH!H486,OR(N486="331",O486="331")),"x","")</f>
        <v/>
      </c>
      <c r="Q486" s="87" t="str">
        <f>IF(AND(B486='111'!$L$11,OR($N486=$Q$7,$O486=$Q$7)),"x","")</f>
        <v/>
      </c>
      <c r="R486" s="87" t="str">
        <f>IF(AND($N486=$Q$7,$B486&lt;'111'!$L$11),"x","")</f>
        <v/>
      </c>
      <c r="S486" s="87" t="str">
        <f>IF(AND($O486=$Q$7,$B486&lt;'111'!$L$11),"x","")</f>
        <v/>
      </c>
      <c r="T486" s="87" t="str">
        <f>IF(ISERROR(FIND('112'!$M$9,G486,1)),"",IF((AND(FIND('112'!$M$9,G486,1)&gt;=1,B486='112'!$K$9,OR($N486='112'!$I$6,$O486='112'!$I$6))),"x",""))</f>
        <v/>
      </c>
      <c r="U486" s="87" t="str">
        <f>IF(ISERROR(FIND('112'!$M$9,G486,1)),"",IF((AND(FIND('112'!$M$9,G486,1)&gt;=1,B486&lt;'112'!$K$9,$N486='112'!$I$6)),"x",""))</f>
        <v/>
      </c>
      <c r="V486" s="87" t="str">
        <f>IF(ISERROR(FIND('112'!$M$9,G486,1)),"",IF((AND(FIND('112'!$M$9,G486,1)&gt;=1,B486&lt;'112'!$K$9,$O486='112'!$I$6)),"x",""))</f>
        <v/>
      </c>
      <c r="W486" s="87" t="str">
        <f>IF(AND($B486&gt;='1331'!$I$9,$B486&lt;='1331'!$J$9,OR($N486=$W$7,$O486=$W$7)),"x","")</f>
        <v/>
      </c>
      <c r="X486" s="87" t="str">
        <f>IF(AND($N486=$W$7,$B486&lt;'1331'!$I$9),"x","")</f>
        <v/>
      </c>
      <c r="Y486" s="87" t="str">
        <f>IF(AND($O486=$W$7,$B486&lt;'1331'!$I$9),"x","")</f>
        <v/>
      </c>
      <c r="Z486" s="87" t="str">
        <f>IF(AND('341-CT'!$H$9=H486,OR(LEFT(N486,3)=$Z$7,LEFT(O486,3)=$Z$7)),"x","")</f>
        <v/>
      </c>
      <c r="AA486" s="87" t="str">
        <f>IF(OR(TH!N486=TH!$AA$7,O486=TH!$AA$7),"x","")</f>
        <v/>
      </c>
      <c r="AB486" s="87" t="str">
        <f>IF(AND(OR(N486="131",O486="131"),H486='131-CT'!$H$9),"x","")</f>
        <v/>
      </c>
      <c r="AC486" s="87"/>
      <c r="AD486" s="87" t="str">
        <f>IF(AND(MONTH(E486)='IN-NX'!$J$5,'IN-NX'!$D$7=D486),"x","")</f>
        <v/>
      </c>
      <c r="AE486" s="87" t="str">
        <f>IF(AND(OR(LEFT(TH!N486,2)="15",LEFT(TH!O486,2)="15"),'152-CT'!$J$8=TH!F486),"x","")</f>
        <v/>
      </c>
      <c r="AF486" s="87" t="str">
        <f>IF(AND(OR(LEFT(TH!N486,2)="15",LEFT(TH!O486,2)="15"),'THE KHO'!$E$7=TH!F486),"x","")</f>
        <v/>
      </c>
      <c r="AG486" s="87" t="str">
        <f>IF(AND(N486="1521",MONTH(C486)='BK NL'!$M$11),"x","")</f>
        <v/>
      </c>
    </row>
    <row r="487" spans="1:33" ht="15.75" customHeight="1">
      <c r="A487" s="399" t="str">
        <f>IF(B487&lt;&gt;"",IF(AND(B487&gt;=_TM1,B487&lt;=_TM2,OR(TH!N487="1111",TH!O487="1111")),TH!D487,""),"")</f>
        <v/>
      </c>
      <c r="B487" s="63" t="str">
        <f t="shared" si="12"/>
        <v/>
      </c>
      <c r="C487" s="363"/>
      <c r="D487" s="363"/>
      <c r="E487" s="363"/>
      <c r="F487" s="364"/>
      <c r="G487" s="381"/>
      <c r="H487" s="365"/>
      <c r="I487" s="518"/>
      <c r="J487" s="518"/>
      <c r="K487" s="509"/>
      <c r="L487" s="518"/>
      <c r="M487" s="65"/>
      <c r="N487" s="366"/>
      <c r="O487" s="366"/>
      <c r="P487" s="87" t="str">
        <f>IF(AND('331-CT'!$E$7=TH!H487,OR(N487="331",O487="331")),"x","")</f>
        <v/>
      </c>
      <c r="Q487" s="87" t="str">
        <f>IF(AND(B487='111'!$L$11,OR($N487=$Q$7,$O487=$Q$7)),"x","")</f>
        <v/>
      </c>
      <c r="R487" s="87" t="str">
        <f>IF(AND($N487=$Q$7,$B487&lt;'111'!$L$11),"x","")</f>
        <v/>
      </c>
      <c r="S487" s="87" t="str">
        <f>IF(AND($O487=$Q$7,$B487&lt;'111'!$L$11),"x","")</f>
        <v/>
      </c>
      <c r="T487" s="87" t="str">
        <f>IF(ISERROR(FIND('112'!$M$9,G487,1)),"",IF((AND(FIND('112'!$M$9,G487,1)&gt;=1,B487='112'!$K$9,OR($N487='112'!$I$6,$O487='112'!$I$6))),"x",""))</f>
        <v/>
      </c>
      <c r="U487" s="87" t="str">
        <f>IF(ISERROR(FIND('112'!$M$9,G487,1)),"",IF((AND(FIND('112'!$M$9,G487,1)&gt;=1,B487&lt;'112'!$K$9,$N487='112'!$I$6)),"x",""))</f>
        <v/>
      </c>
      <c r="V487" s="87" t="str">
        <f>IF(ISERROR(FIND('112'!$M$9,G487,1)),"",IF((AND(FIND('112'!$M$9,G487,1)&gt;=1,B487&lt;'112'!$K$9,$O487='112'!$I$6)),"x",""))</f>
        <v/>
      </c>
      <c r="W487" s="87" t="str">
        <f>IF(AND($B487&gt;='1331'!$I$9,$B487&lt;='1331'!$J$9,OR($N487=$W$7,$O487=$W$7)),"x","")</f>
        <v/>
      </c>
      <c r="X487" s="87" t="str">
        <f>IF(AND($N487=$W$7,$B487&lt;'1331'!$I$9),"x","")</f>
        <v/>
      </c>
      <c r="Y487" s="87" t="str">
        <f>IF(AND($O487=$W$7,$B487&lt;'1331'!$I$9),"x","")</f>
        <v/>
      </c>
      <c r="Z487" s="87" t="str">
        <f>IF(AND('341-CT'!$H$9=H487,OR(LEFT(N487,3)=$Z$7,LEFT(O487,3)=$Z$7)),"x","")</f>
        <v/>
      </c>
      <c r="AA487" s="87" t="str">
        <f>IF(OR(TH!N487=TH!$AA$7,O487=TH!$AA$7),"x","")</f>
        <v/>
      </c>
      <c r="AB487" s="87" t="str">
        <f>IF(AND(OR(N487="131",O487="131"),H487='131-CT'!$H$9),"x","")</f>
        <v/>
      </c>
      <c r="AC487" s="87"/>
      <c r="AD487" s="87" t="str">
        <f>IF(AND(MONTH(E487)='IN-NX'!$J$5,'IN-NX'!$D$7=D487),"x","")</f>
        <v/>
      </c>
      <c r="AE487" s="87" t="str">
        <f>IF(AND(OR(LEFT(TH!N487,2)="15",LEFT(TH!O487,2)="15"),'152-CT'!$J$8=TH!F487),"x","")</f>
        <v/>
      </c>
      <c r="AF487" s="87" t="str">
        <f>IF(AND(OR(LEFT(TH!N487,2)="15",LEFT(TH!O487,2)="15"),'THE KHO'!$E$7=TH!F487),"x","")</f>
        <v/>
      </c>
      <c r="AG487" s="87" t="str">
        <f>IF(AND(N487="1521",MONTH(C487)='BK NL'!$M$11),"x","")</f>
        <v/>
      </c>
    </row>
    <row r="488" spans="1:33" ht="15.75" customHeight="1">
      <c r="A488" s="399" t="str">
        <f>IF(B488&lt;&gt;"",IF(AND(B488&gt;=_TM1,B488&lt;=_TM2,OR(TH!N488="1111",TH!O488="1111")),TH!D488,""),"")</f>
        <v/>
      </c>
      <c r="B488" s="63" t="str">
        <f t="shared" si="12"/>
        <v/>
      </c>
      <c r="C488" s="363"/>
      <c r="D488" s="363"/>
      <c r="E488" s="363"/>
      <c r="F488" s="364"/>
      <c r="G488" s="381"/>
      <c r="H488" s="365"/>
      <c r="I488" s="518"/>
      <c r="J488" s="518"/>
      <c r="K488" s="509"/>
      <c r="L488" s="518"/>
      <c r="M488" s="65"/>
      <c r="N488" s="366"/>
      <c r="O488" s="366"/>
      <c r="P488" s="87" t="str">
        <f>IF(AND('331-CT'!$E$7=TH!H488,OR(N488="331",O488="331")),"x","")</f>
        <v/>
      </c>
      <c r="Q488" s="87" t="str">
        <f>IF(AND(B488='111'!$L$11,OR($N488=$Q$7,$O488=$Q$7)),"x","")</f>
        <v/>
      </c>
      <c r="R488" s="87" t="str">
        <f>IF(AND($N488=$Q$7,$B488&lt;'111'!$L$11),"x","")</f>
        <v/>
      </c>
      <c r="S488" s="87" t="str">
        <f>IF(AND($O488=$Q$7,$B488&lt;'111'!$L$11),"x","")</f>
        <v/>
      </c>
      <c r="T488" s="87" t="str">
        <f>IF(ISERROR(FIND('112'!$M$9,G488,1)),"",IF((AND(FIND('112'!$M$9,G488,1)&gt;=1,B488='112'!$K$9,OR($N488='112'!$I$6,$O488='112'!$I$6))),"x",""))</f>
        <v/>
      </c>
      <c r="U488" s="87" t="str">
        <f>IF(ISERROR(FIND('112'!$M$9,G488,1)),"",IF((AND(FIND('112'!$M$9,G488,1)&gt;=1,B488&lt;'112'!$K$9,$N488='112'!$I$6)),"x",""))</f>
        <v/>
      </c>
      <c r="V488" s="87" t="str">
        <f>IF(ISERROR(FIND('112'!$M$9,G488,1)),"",IF((AND(FIND('112'!$M$9,G488,1)&gt;=1,B488&lt;'112'!$K$9,$O488='112'!$I$6)),"x",""))</f>
        <v/>
      </c>
      <c r="W488" s="87" t="str">
        <f>IF(AND($B488&gt;='1331'!$I$9,$B488&lt;='1331'!$J$9,OR($N488=$W$7,$O488=$W$7)),"x","")</f>
        <v/>
      </c>
      <c r="X488" s="87" t="str">
        <f>IF(AND($N488=$W$7,$B488&lt;'1331'!$I$9),"x","")</f>
        <v/>
      </c>
      <c r="Y488" s="87" t="str">
        <f>IF(AND($O488=$W$7,$B488&lt;'1331'!$I$9),"x","")</f>
        <v/>
      </c>
      <c r="Z488" s="87" t="str">
        <f>IF(AND('341-CT'!$H$9=H488,OR(LEFT(N488,3)=$Z$7,LEFT(O488,3)=$Z$7)),"x","")</f>
        <v/>
      </c>
      <c r="AA488" s="87" t="str">
        <f>IF(OR(TH!N488=TH!$AA$7,O488=TH!$AA$7),"x","")</f>
        <v/>
      </c>
      <c r="AB488" s="87" t="str">
        <f>IF(AND(OR(N488="131",O488="131"),H488='131-CT'!$H$9),"x","")</f>
        <v/>
      </c>
      <c r="AC488" s="87"/>
      <c r="AD488" s="87" t="str">
        <f>IF(AND(MONTH(E488)='IN-NX'!$J$5,'IN-NX'!$D$7=D488),"x","")</f>
        <v/>
      </c>
      <c r="AE488" s="87" t="str">
        <f>IF(AND(OR(LEFT(TH!N488,2)="15",LEFT(TH!O488,2)="15"),'152-CT'!$J$8=TH!F488),"x","")</f>
        <v/>
      </c>
      <c r="AF488" s="87" t="str">
        <f>IF(AND(OR(LEFT(TH!N488,2)="15",LEFT(TH!O488,2)="15"),'THE KHO'!$E$7=TH!F488),"x","")</f>
        <v/>
      </c>
      <c r="AG488" s="87" t="str">
        <f>IF(AND(N488="1521",MONTH(C488)='BK NL'!$M$11),"x","")</f>
        <v/>
      </c>
    </row>
    <row r="489" spans="1:33" ht="15.75" customHeight="1">
      <c r="A489" s="399" t="str">
        <f>IF(B489&lt;&gt;"",IF(AND(B489&gt;=_TM1,B489&lt;=_TM2,OR(TH!N489="1111",TH!O489="1111")),TH!D489,""),"")</f>
        <v/>
      </c>
      <c r="B489" s="63" t="str">
        <f t="shared" si="12"/>
        <v/>
      </c>
      <c r="C489" s="64"/>
      <c r="D489" s="363"/>
      <c r="E489" s="64"/>
      <c r="F489" s="67"/>
      <c r="G489" s="376"/>
      <c r="H489" s="75"/>
      <c r="I489" s="518"/>
      <c r="J489" s="518"/>
      <c r="K489" s="509"/>
      <c r="L489" s="518"/>
      <c r="M489" s="65"/>
      <c r="N489" s="66"/>
      <c r="O489" s="66"/>
      <c r="P489" s="87" t="str">
        <f>IF(AND('331-CT'!$E$7=TH!H489,OR(N489="331",O489="331")),"x","")</f>
        <v/>
      </c>
      <c r="Q489" s="87" t="str">
        <f>IF(AND(B489='111'!$L$11,OR($N489=$Q$7,$O489=$Q$7)),"x","")</f>
        <v/>
      </c>
      <c r="R489" s="87" t="str">
        <f>IF(AND($N489=$Q$7,$B489&lt;'111'!$L$11),"x","")</f>
        <v/>
      </c>
      <c r="S489" s="87" t="str">
        <f>IF(AND($O489=$Q$7,$B489&lt;'111'!$L$11),"x","")</f>
        <v/>
      </c>
      <c r="T489" s="87" t="str">
        <f>IF(ISERROR(FIND('112'!$M$9,G489,1)),"",IF((AND(FIND('112'!$M$9,G489,1)&gt;=1,B489='112'!$K$9,OR($N489='112'!$I$6,$O489='112'!$I$6))),"x",""))</f>
        <v/>
      </c>
      <c r="U489" s="87" t="str">
        <f>IF(ISERROR(FIND('112'!$M$9,G489,1)),"",IF((AND(FIND('112'!$M$9,G489,1)&gt;=1,B489&lt;'112'!$K$9,$N489='112'!$I$6)),"x",""))</f>
        <v/>
      </c>
      <c r="V489" s="87" t="str">
        <f>IF(ISERROR(FIND('112'!$M$9,G489,1)),"",IF((AND(FIND('112'!$M$9,G489,1)&gt;=1,B489&lt;'112'!$K$9,$O489='112'!$I$6)),"x",""))</f>
        <v/>
      </c>
      <c r="W489" s="87" t="str">
        <f>IF(AND($B489&gt;='1331'!$I$9,$B489&lt;='1331'!$J$9,OR($N489=$W$7,$O489=$W$7)),"x","")</f>
        <v/>
      </c>
      <c r="X489" s="87" t="str">
        <f>IF(AND($N489=$W$7,$B489&lt;'1331'!$I$9),"x","")</f>
        <v/>
      </c>
      <c r="Y489" s="87" t="str">
        <f>IF(AND($O489=$W$7,$B489&lt;'1331'!$I$9),"x","")</f>
        <v/>
      </c>
      <c r="Z489" s="87" t="str">
        <f>IF(AND('341-CT'!$H$9=H489,OR(LEFT(N489,3)=$Z$7,LEFT(O489,3)=$Z$7)),"x","")</f>
        <v/>
      </c>
      <c r="AA489" s="87" t="str">
        <f>IF(OR(TH!N489=TH!$AA$7,O489=TH!$AA$7),"x","")</f>
        <v/>
      </c>
      <c r="AB489" s="87" t="str">
        <f>IF(AND(OR(N489="131",O489="131"),H489='131-CT'!$H$9),"x","")</f>
        <v/>
      </c>
      <c r="AC489" s="87"/>
      <c r="AD489" s="87" t="str">
        <f>IF(AND(MONTH(E489)='IN-NX'!$J$5,'IN-NX'!$D$7=D489),"x","")</f>
        <v/>
      </c>
      <c r="AE489" s="87" t="str">
        <f>IF(AND(OR(LEFT(TH!N489,2)="15",LEFT(TH!O489,2)="15"),'152-CT'!$J$8=TH!F489),"x","")</f>
        <v/>
      </c>
      <c r="AF489" s="87" t="str">
        <f>IF(AND(OR(LEFT(TH!N489,2)="15",LEFT(TH!O489,2)="15"),'THE KHO'!$E$7=TH!F489),"x","")</f>
        <v/>
      </c>
      <c r="AG489" s="87" t="str">
        <f>IF(AND(N489="1521",MONTH(C489)='BK NL'!$M$11),"x","")</f>
        <v/>
      </c>
    </row>
    <row r="490" spans="1:33" ht="15.75" customHeight="1">
      <c r="A490" s="399" t="str">
        <f>IF(B490&lt;&gt;"",IF(AND(B490&gt;=_TM1,B490&lt;=_TM2,OR(TH!N490="1111",TH!O490="1111")),TH!D490,""),"")</f>
        <v/>
      </c>
      <c r="B490" s="63" t="str">
        <f t="shared" si="12"/>
        <v/>
      </c>
      <c r="C490" s="64"/>
      <c r="D490" s="363"/>
      <c r="E490" s="64"/>
      <c r="F490" s="67"/>
      <c r="G490" s="376"/>
      <c r="H490" s="75"/>
      <c r="I490" s="518"/>
      <c r="J490" s="518"/>
      <c r="K490" s="509"/>
      <c r="L490" s="518"/>
      <c r="M490" s="65"/>
      <c r="N490" s="66"/>
      <c r="O490" s="66"/>
      <c r="P490" s="87" t="str">
        <f>IF(AND('331-CT'!$E$7=TH!H490,OR(N490="331",O490="331")),"x","")</f>
        <v/>
      </c>
      <c r="Q490" s="87" t="str">
        <f>IF(AND(B490='111'!$L$11,OR($N490=$Q$7,$O490=$Q$7)),"x","")</f>
        <v/>
      </c>
      <c r="R490" s="87" t="str">
        <f>IF(AND($N490=$Q$7,$B490&lt;'111'!$L$11),"x","")</f>
        <v/>
      </c>
      <c r="S490" s="87" t="str">
        <f>IF(AND($O490=$Q$7,$B490&lt;'111'!$L$11),"x","")</f>
        <v/>
      </c>
      <c r="T490" s="87" t="str">
        <f>IF(ISERROR(FIND('112'!$M$9,G490,1)),"",IF((AND(FIND('112'!$M$9,G490,1)&gt;=1,B490='112'!$K$9,OR($N490='112'!$I$6,$O490='112'!$I$6))),"x",""))</f>
        <v/>
      </c>
      <c r="U490" s="87" t="str">
        <f>IF(ISERROR(FIND('112'!$M$9,G490,1)),"",IF((AND(FIND('112'!$M$9,G490,1)&gt;=1,B490&lt;'112'!$K$9,$N490='112'!$I$6)),"x",""))</f>
        <v/>
      </c>
      <c r="V490" s="87" t="str">
        <f>IF(ISERROR(FIND('112'!$M$9,G490,1)),"",IF((AND(FIND('112'!$M$9,G490,1)&gt;=1,B490&lt;'112'!$K$9,$O490='112'!$I$6)),"x",""))</f>
        <v/>
      </c>
      <c r="W490" s="87" t="str">
        <f>IF(AND($B490&gt;='1331'!$I$9,$B490&lt;='1331'!$J$9,OR($N490=$W$7,$O490=$W$7)),"x","")</f>
        <v/>
      </c>
      <c r="X490" s="87" t="str">
        <f>IF(AND($N490=$W$7,$B490&lt;'1331'!$I$9),"x","")</f>
        <v/>
      </c>
      <c r="Y490" s="87" t="str">
        <f>IF(AND($O490=$W$7,$B490&lt;'1331'!$I$9),"x","")</f>
        <v/>
      </c>
      <c r="Z490" s="87" t="str">
        <f>IF(AND('341-CT'!$H$9=H490,OR(LEFT(N490,3)=$Z$7,LEFT(O490,3)=$Z$7)),"x","")</f>
        <v/>
      </c>
      <c r="AA490" s="87" t="str">
        <f>IF(OR(TH!N490=TH!$AA$7,O490=TH!$AA$7),"x","")</f>
        <v/>
      </c>
      <c r="AB490" s="87" t="str">
        <f>IF(AND(OR(N490="131",O490="131"),H490='131-CT'!$H$9),"x","")</f>
        <v/>
      </c>
      <c r="AC490" s="87"/>
      <c r="AD490" s="87" t="str">
        <f>IF(AND(MONTH(E490)='IN-NX'!$J$5,'IN-NX'!$D$7=D490),"x","")</f>
        <v/>
      </c>
      <c r="AE490" s="87" t="str">
        <f>IF(AND(OR(LEFT(TH!N490,2)="15",LEFT(TH!O490,2)="15"),'152-CT'!$J$8=TH!F490),"x","")</f>
        <v/>
      </c>
      <c r="AF490" s="87" t="str">
        <f>IF(AND(OR(LEFT(TH!N490,2)="15",LEFT(TH!O490,2)="15"),'THE KHO'!$E$7=TH!F490),"x","")</f>
        <v/>
      </c>
      <c r="AG490" s="87" t="str">
        <f>IF(AND(N490="1521",MONTH(C490)='BK NL'!$M$11),"x","")</f>
        <v/>
      </c>
    </row>
    <row r="491" spans="1:33" ht="15.75" customHeight="1">
      <c r="A491" s="399" t="str">
        <f>IF(B491&lt;&gt;"",IF(AND(B491&gt;=_TM1,B491&lt;=_TM2,OR(TH!N491="1111",TH!O491="1111")),TH!D491,""),"")</f>
        <v/>
      </c>
      <c r="B491" s="63" t="str">
        <f t="shared" si="12"/>
        <v/>
      </c>
      <c r="C491" s="363"/>
      <c r="D491" s="363"/>
      <c r="E491" s="363"/>
      <c r="F491" s="364"/>
      <c r="G491" s="381"/>
      <c r="H491" s="365"/>
      <c r="I491" s="518"/>
      <c r="J491" s="518"/>
      <c r="K491" s="509"/>
      <c r="L491" s="518"/>
      <c r="M491" s="65"/>
      <c r="N491" s="366"/>
      <c r="O491" s="366"/>
      <c r="P491" s="87" t="str">
        <f>IF(AND('331-CT'!$E$7=TH!H491,OR(N491="331",O491="331")),"x","")</f>
        <v/>
      </c>
      <c r="Q491" s="87" t="str">
        <f>IF(AND(B491='111'!$L$11,OR($N491=$Q$7,$O491=$Q$7)),"x","")</f>
        <v/>
      </c>
      <c r="R491" s="87" t="str">
        <f>IF(AND($N491=$Q$7,$B491&lt;'111'!$L$11),"x","")</f>
        <v/>
      </c>
      <c r="S491" s="87" t="str">
        <f>IF(AND($O491=$Q$7,$B491&lt;'111'!$L$11),"x","")</f>
        <v/>
      </c>
      <c r="T491" s="87" t="str">
        <f>IF(ISERROR(FIND('112'!$M$9,G491,1)),"",IF((AND(FIND('112'!$M$9,G491,1)&gt;=1,B491='112'!$K$9,OR($N491='112'!$I$6,$O491='112'!$I$6))),"x",""))</f>
        <v/>
      </c>
      <c r="U491" s="87" t="str">
        <f>IF(ISERROR(FIND('112'!$M$9,G491,1)),"",IF((AND(FIND('112'!$M$9,G491,1)&gt;=1,B491&lt;'112'!$K$9,$N491='112'!$I$6)),"x",""))</f>
        <v/>
      </c>
      <c r="V491" s="87" t="str">
        <f>IF(ISERROR(FIND('112'!$M$9,G491,1)),"",IF((AND(FIND('112'!$M$9,G491,1)&gt;=1,B491&lt;'112'!$K$9,$O491='112'!$I$6)),"x",""))</f>
        <v/>
      </c>
      <c r="W491" s="87" t="str">
        <f>IF(AND($B491&gt;='1331'!$I$9,$B491&lt;='1331'!$J$9,OR($N491=$W$7,$O491=$W$7)),"x","")</f>
        <v/>
      </c>
      <c r="X491" s="87" t="str">
        <f>IF(AND($N491=$W$7,$B491&lt;'1331'!$I$9),"x","")</f>
        <v/>
      </c>
      <c r="Y491" s="87" t="str">
        <f>IF(AND($O491=$W$7,$B491&lt;'1331'!$I$9),"x","")</f>
        <v/>
      </c>
      <c r="Z491" s="87" t="str">
        <f>IF(AND('341-CT'!$H$9=H491,OR(LEFT(N491,3)=$Z$7,LEFT(O491,3)=$Z$7)),"x","")</f>
        <v/>
      </c>
      <c r="AA491" s="87" t="str">
        <f>IF(OR(TH!N491=TH!$AA$7,O491=TH!$AA$7),"x","")</f>
        <v/>
      </c>
      <c r="AB491" s="87" t="str">
        <f>IF(AND(OR(N491="131",O491="131"),H491='131-CT'!$H$9),"x","")</f>
        <v/>
      </c>
      <c r="AC491" s="87"/>
      <c r="AD491" s="87" t="str">
        <f>IF(AND(MONTH(E491)='IN-NX'!$J$5,'IN-NX'!$D$7=D491),"x","")</f>
        <v/>
      </c>
      <c r="AE491" s="87" t="str">
        <f>IF(AND(OR(LEFT(TH!N491,2)="15",LEFT(TH!O491,2)="15"),'152-CT'!$J$8=TH!F491),"x","")</f>
        <v/>
      </c>
      <c r="AF491" s="87" t="str">
        <f>IF(AND(OR(LEFT(TH!N491,2)="15",LEFT(TH!O491,2)="15"),'THE KHO'!$E$7=TH!F491),"x","")</f>
        <v/>
      </c>
      <c r="AG491" s="87" t="str">
        <f>IF(AND(N491="1521",MONTH(C491)='BK NL'!$M$11),"x","")</f>
        <v/>
      </c>
    </row>
    <row r="492" spans="1:33" ht="15.75" customHeight="1">
      <c r="A492" s="399" t="str">
        <f>IF(B492&lt;&gt;"",IF(AND(B492&gt;=_TM1,B492&lt;=_TM2,OR(TH!N492="1111",TH!O492="1111")),TH!D492,""),"")</f>
        <v/>
      </c>
      <c r="B492" s="63" t="str">
        <f t="shared" si="12"/>
        <v/>
      </c>
      <c r="C492" s="64"/>
      <c r="D492" s="363"/>
      <c r="E492" s="64"/>
      <c r="F492" s="67"/>
      <c r="G492" s="376"/>
      <c r="H492" s="75"/>
      <c r="I492" s="518"/>
      <c r="J492" s="518"/>
      <c r="K492" s="509"/>
      <c r="L492" s="518"/>
      <c r="M492" s="65"/>
      <c r="N492" s="66"/>
      <c r="O492" s="66"/>
      <c r="P492" s="87" t="str">
        <f>IF(AND('331-CT'!$E$7=TH!H492,OR(N492="331",O492="331")),"x","")</f>
        <v/>
      </c>
      <c r="Q492" s="87" t="str">
        <f>IF(AND(B492='111'!$L$11,OR($N492=$Q$7,$O492=$Q$7)),"x","")</f>
        <v/>
      </c>
      <c r="R492" s="87" t="str">
        <f>IF(AND($N492=$Q$7,$B492&lt;'111'!$L$11),"x","")</f>
        <v/>
      </c>
      <c r="S492" s="87" t="str">
        <f>IF(AND($O492=$Q$7,$B492&lt;'111'!$L$11),"x","")</f>
        <v/>
      </c>
      <c r="T492" s="87" t="str">
        <f>IF(ISERROR(FIND('112'!$M$9,G492,1)),"",IF((AND(FIND('112'!$M$9,G492,1)&gt;=1,B492='112'!$K$9,OR($N492='112'!$I$6,$O492='112'!$I$6))),"x",""))</f>
        <v/>
      </c>
      <c r="U492" s="87" t="str">
        <f>IF(ISERROR(FIND('112'!$M$9,G492,1)),"",IF((AND(FIND('112'!$M$9,G492,1)&gt;=1,B492&lt;'112'!$K$9,$N492='112'!$I$6)),"x",""))</f>
        <v/>
      </c>
      <c r="V492" s="87" t="str">
        <f>IF(ISERROR(FIND('112'!$M$9,G492,1)),"",IF((AND(FIND('112'!$M$9,G492,1)&gt;=1,B492&lt;'112'!$K$9,$O492='112'!$I$6)),"x",""))</f>
        <v/>
      </c>
      <c r="W492" s="87" t="str">
        <f>IF(AND($B492&gt;='1331'!$I$9,$B492&lt;='1331'!$J$9,OR($N492=$W$7,$O492=$W$7)),"x","")</f>
        <v/>
      </c>
      <c r="X492" s="87" t="str">
        <f>IF(AND($N492=$W$7,$B492&lt;'1331'!$I$9),"x","")</f>
        <v/>
      </c>
      <c r="Y492" s="87" t="str">
        <f>IF(AND($O492=$W$7,$B492&lt;'1331'!$I$9),"x","")</f>
        <v/>
      </c>
      <c r="Z492" s="87" t="str">
        <f>IF(AND('341-CT'!$H$9=H492,OR(LEFT(N492,3)=$Z$7,LEFT(O492,3)=$Z$7)),"x","")</f>
        <v/>
      </c>
      <c r="AA492" s="87" t="str">
        <f>IF(OR(TH!N492=TH!$AA$7,O492=TH!$AA$7),"x","")</f>
        <v/>
      </c>
      <c r="AB492" s="87" t="str">
        <f>IF(AND(OR(N492="131",O492="131"),H492='131-CT'!$H$9),"x","")</f>
        <v/>
      </c>
      <c r="AC492" s="87"/>
      <c r="AD492" s="87" t="str">
        <f>IF(AND(MONTH(E492)='IN-NX'!$J$5,'IN-NX'!$D$7=D492),"x","")</f>
        <v/>
      </c>
      <c r="AE492" s="87" t="str">
        <f>IF(AND(OR(LEFT(TH!N492,2)="15",LEFT(TH!O492,2)="15"),'152-CT'!$J$8=TH!F492),"x","")</f>
        <v/>
      </c>
      <c r="AF492" s="87" t="str">
        <f>IF(AND(OR(LEFT(TH!N492,2)="15",LEFT(TH!O492,2)="15"),'THE KHO'!$E$7=TH!F492),"x","")</f>
        <v/>
      </c>
      <c r="AG492" s="87" t="str">
        <f>IF(AND(N492="1521",MONTH(C492)='BK NL'!$M$11),"x","")</f>
        <v/>
      </c>
    </row>
    <row r="493" spans="1:33" ht="15.75" customHeight="1">
      <c r="A493" s="399" t="str">
        <f>IF(B493&lt;&gt;"",IF(AND(B493&gt;=_TM1,B493&lt;=_TM2,OR(TH!N493="1111",TH!O493="1111")),TH!D493,""),"")</f>
        <v/>
      </c>
      <c r="B493" s="63" t="str">
        <f t="shared" si="12"/>
        <v/>
      </c>
      <c r="C493" s="64"/>
      <c r="D493" s="363"/>
      <c r="E493" s="64"/>
      <c r="F493" s="67"/>
      <c r="G493" s="376"/>
      <c r="H493" s="75"/>
      <c r="I493" s="518"/>
      <c r="J493" s="518"/>
      <c r="K493" s="509"/>
      <c r="L493" s="518"/>
      <c r="M493" s="65"/>
      <c r="N493" s="66"/>
      <c r="O493" s="66"/>
      <c r="P493" s="87" t="str">
        <f>IF(AND('331-CT'!$E$7=TH!H493,OR(N493="331",O493="331")),"x","")</f>
        <v/>
      </c>
      <c r="Q493" s="87" t="str">
        <f>IF(AND(B493='111'!$L$11,OR($N493=$Q$7,$O493=$Q$7)),"x","")</f>
        <v/>
      </c>
      <c r="R493" s="87" t="str">
        <f>IF(AND($N493=$Q$7,$B493&lt;'111'!$L$11),"x","")</f>
        <v/>
      </c>
      <c r="S493" s="87" t="str">
        <f>IF(AND($O493=$Q$7,$B493&lt;'111'!$L$11),"x","")</f>
        <v/>
      </c>
      <c r="T493" s="87" t="str">
        <f>IF(ISERROR(FIND('112'!$M$9,G493,1)),"",IF((AND(FIND('112'!$M$9,G493,1)&gt;=1,B493='112'!$K$9,OR($N493='112'!$I$6,$O493='112'!$I$6))),"x",""))</f>
        <v/>
      </c>
      <c r="U493" s="87" t="str">
        <f>IF(ISERROR(FIND('112'!$M$9,G493,1)),"",IF((AND(FIND('112'!$M$9,G493,1)&gt;=1,B493&lt;'112'!$K$9,$N493='112'!$I$6)),"x",""))</f>
        <v/>
      </c>
      <c r="V493" s="87" t="str">
        <f>IF(ISERROR(FIND('112'!$M$9,G493,1)),"",IF((AND(FIND('112'!$M$9,G493,1)&gt;=1,B493&lt;'112'!$K$9,$O493='112'!$I$6)),"x",""))</f>
        <v/>
      </c>
      <c r="W493" s="87" t="str">
        <f>IF(AND($B493&gt;='1331'!$I$9,$B493&lt;='1331'!$J$9,OR($N493=$W$7,$O493=$W$7)),"x","")</f>
        <v/>
      </c>
      <c r="X493" s="87" t="str">
        <f>IF(AND($N493=$W$7,$B493&lt;'1331'!$I$9),"x","")</f>
        <v/>
      </c>
      <c r="Y493" s="87" t="str">
        <f>IF(AND($O493=$W$7,$B493&lt;'1331'!$I$9),"x","")</f>
        <v/>
      </c>
      <c r="Z493" s="87" t="str">
        <f>IF(AND('341-CT'!$H$9=H493,OR(LEFT(N493,3)=$Z$7,LEFT(O493,3)=$Z$7)),"x","")</f>
        <v/>
      </c>
      <c r="AA493" s="87" t="str">
        <f>IF(OR(TH!N493=TH!$AA$7,O493=TH!$AA$7),"x","")</f>
        <v/>
      </c>
      <c r="AB493" s="87" t="str">
        <f>IF(AND(OR(N493="131",O493="131"),H493='131-CT'!$H$9),"x","")</f>
        <v/>
      </c>
      <c r="AC493" s="87"/>
      <c r="AD493" s="87" t="str">
        <f>IF(AND(MONTH(E493)='IN-NX'!$J$5,'IN-NX'!$D$7=D493),"x","")</f>
        <v/>
      </c>
      <c r="AE493" s="87" t="str">
        <f>IF(AND(OR(LEFT(TH!N493,2)="15",LEFT(TH!O493,2)="15"),'152-CT'!$J$8=TH!F493),"x","")</f>
        <v/>
      </c>
      <c r="AF493" s="87" t="str">
        <f>IF(AND(OR(LEFT(TH!N493,2)="15",LEFT(TH!O493,2)="15"),'THE KHO'!$E$7=TH!F493),"x","")</f>
        <v/>
      </c>
      <c r="AG493" s="87" t="str">
        <f>IF(AND(N493="1521",MONTH(C493)='BK NL'!$M$11),"x","")</f>
        <v/>
      </c>
    </row>
    <row r="494" spans="1:33" ht="15.75" customHeight="1">
      <c r="A494" s="399" t="str">
        <f>IF(B494&lt;&gt;"",IF(AND(B494&gt;=_TM1,B494&lt;=_TM2,OR(TH!N494="1111",TH!O494="1111")),TH!D494,""),"")</f>
        <v/>
      </c>
      <c r="B494" s="63" t="str">
        <f t="shared" ref="B494:B557" si="13">IF(C494&lt;&gt;"",MONTH(C494),"")</f>
        <v/>
      </c>
      <c r="C494" s="363"/>
      <c r="D494" s="363"/>
      <c r="E494" s="363"/>
      <c r="F494" s="364"/>
      <c r="G494" s="381"/>
      <c r="H494" s="365"/>
      <c r="I494" s="518"/>
      <c r="J494" s="518"/>
      <c r="K494" s="509"/>
      <c r="L494" s="518"/>
      <c r="M494" s="65"/>
      <c r="N494" s="366"/>
      <c r="O494" s="366"/>
      <c r="P494" s="87" t="str">
        <f>IF(AND('331-CT'!$E$7=TH!H494,OR(N494="331",O494="331")),"x","")</f>
        <v/>
      </c>
      <c r="Q494" s="87" t="str">
        <f>IF(AND(B494='111'!$L$11,OR($N494=$Q$7,$O494=$Q$7)),"x","")</f>
        <v/>
      </c>
      <c r="R494" s="87" t="str">
        <f>IF(AND($N494=$Q$7,$B494&lt;'111'!$L$11),"x","")</f>
        <v/>
      </c>
      <c r="S494" s="87" t="str">
        <f>IF(AND($O494=$Q$7,$B494&lt;'111'!$L$11),"x","")</f>
        <v/>
      </c>
      <c r="T494" s="87" t="str">
        <f>IF(ISERROR(FIND('112'!$M$9,G494,1)),"",IF((AND(FIND('112'!$M$9,G494,1)&gt;=1,B494='112'!$K$9,OR($N494='112'!$I$6,$O494='112'!$I$6))),"x",""))</f>
        <v/>
      </c>
      <c r="U494" s="87" t="str">
        <f>IF(ISERROR(FIND('112'!$M$9,G494,1)),"",IF((AND(FIND('112'!$M$9,G494,1)&gt;=1,B494&lt;'112'!$K$9,$N494='112'!$I$6)),"x",""))</f>
        <v/>
      </c>
      <c r="V494" s="87" t="str">
        <f>IF(ISERROR(FIND('112'!$M$9,G494,1)),"",IF((AND(FIND('112'!$M$9,G494,1)&gt;=1,B494&lt;'112'!$K$9,$O494='112'!$I$6)),"x",""))</f>
        <v/>
      </c>
      <c r="W494" s="87" t="str">
        <f>IF(AND($B494&gt;='1331'!$I$9,$B494&lt;='1331'!$J$9,OR($N494=$W$7,$O494=$W$7)),"x","")</f>
        <v/>
      </c>
      <c r="X494" s="87" t="str">
        <f>IF(AND($N494=$W$7,$B494&lt;'1331'!$I$9),"x","")</f>
        <v/>
      </c>
      <c r="Y494" s="87" t="str">
        <f>IF(AND($O494=$W$7,$B494&lt;'1331'!$I$9),"x","")</f>
        <v/>
      </c>
      <c r="Z494" s="87" t="str">
        <f>IF(AND('341-CT'!$H$9=H494,OR(LEFT(N494,3)=$Z$7,LEFT(O494,3)=$Z$7)),"x","")</f>
        <v/>
      </c>
      <c r="AA494" s="87" t="str">
        <f>IF(OR(TH!N494=TH!$AA$7,O494=TH!$AA$7),"x","")</f>
        <v/>
      </c>
      <c r="AB494" s="87" t="str">
        <f>IF(AND(OR(N494="131",O494="131"),H494='131-CT'!$H$9),"x","")</f>
        <v/>
      </c>
      <c r="AC494" s="87"/>
      <c r="AD494" s="87" t="str">
        <f>IF(AND(MONTH(E494)='IN-NX'!$J$5,'IN-NX'!$D$7=D494),"x","")</f>
        <v/>
      </c>
      <c r="AE494" s="87" t="str">
        <f>IF(AND(OR(LEFT(TH!N494,2)="15",LEFT(TH!O494,2)="15"),'152-CT'!$J$8=TH!F494),"x","")</f>
        <v/>
      </c>
      <c r="AF494" s="87" t="str">
        <f>IF(AND(OR(LEFT(TH!N494,2)="15",LEFT(TH!O494,2)="15"),'THE KHO'!$E$7=TH!F494),"x","")</f>
        <v/>
      </c>
      <c r="AG494" s="87" t="str">
        <f>IF(AND(N494="1521",MONTH(C494)='BK NL'!$M$11),"x","")</f>
        <v/>
      </c>
    </row>
    <row r="495" spans="1:33" s="410" customFormat="1" ht="15.75" customHeight="1">
      <c r="A495" s="399" t="str">
        <f>IF(B495&lt;&gt;"",IF(AND(B495&gt;=_TM1,B495&lt;=_TM2,OR(TH!N495="1111",TH!O495="1111")),TH!D495,""),"")</f>
        <v/>
      </c>
      <c r="B495" s="63" t="str">
        <f t="shared" si="13"/>
        <v/>
      </c>
      <c r="C495" s="363"/>
      <c r="D495" s="363"/>
      <c r="E495" s="363"/>
      <c r="F495" s="364"/>
      <c r="G495" s="381"/>
      <c r="H495" s="365"/>
      <c r="I495" s="518"/>
      <c r="J495" s="518"/>
      <c r="K495" s="509"/>
      <c r="L495" s="518"/>
      <c r="M495" s="65"/>
      <c r="N495" s="366"/>
      <c r="O495" s="366"/>
      <c r="P495" s="87" t="str">
        <f>IF(AND('331-CT'!$E$7=TH!H495,OR(N495="331",O495="331")),"x","")</f>
        <v/>
      </c>
      <c r="Q495" s="87" t="str">
        <f>IF(AND(B495='111'!$L$11,OR($N495=$Q$7,$O495=$Q$7)),"x","")</f>
        <v/>
      </c>
      <c r="R495" s="87" t="str">
        <f>IF(AND($N495=$Q$7,$B495&lt;'111'!$L$11),"x","")</f>
        <v/>
      </c>
      <c r="S495" s="87" t="str">
        <f>IF(AND($O495=$Q$7,$B495&lt;'111'!$L$11),"x","")</f>
        <v/>
      </c>
      <c r="T495" s="87" t="str">
        <f>IF(ISERROR(FIND('112'!$M$9,G495,1)),"",IF((AND(FIND('112'!$M$9,G495,1)&gt;=1,B495='112'!$K$9,OR($N495='112'!$I$6,$O495='112'!$I$6))),"x",""))</f>
        <v/>
      </c>
      <c r="U495" s="87" t="str">
        <f>IF(ISERROR(FIND('112'!$M$9,G495,1)),"",IF((AND(FIND('112'!$M$9,G495,1)&gt;=1,B495&lt;'112'!$K$9,$N495='112'!$I$6)),"x",""))</f>
        <v/>
      </c>
      <c r="V495" s="87" t="str">
        <f>IF(ISERROR(FIND('112'!$M$9,G495,1)),"",IF((AND(FIND('112'!$M$9,G495,1)&gt;=1,B495&lt;'112'!$K$9,$O495='112'!$I$6)),"x",""))</f>
        <v/>
      </c>
      <c r="W495" s="87" t="str">
        <f>IF(AND($B495&gt;='1331'!$I$9,$B495&lt;='1331'!$J$9,OR($N495=$W$7,$O495=$W$7)),"x","")</f>
        <v/>
      </c>
      <c r="X495" s="87" t="str">
        <f>IF(AND($N495=$W$7,$B495&lt;'1331'!$I$9),"x","")</f>
        <v/>
      </c>
      <c r="Y495" s="87" t="str">
        <f>IF(AND($O495=$W$7,$B495&lt;'1331'!$I$9),"x","")</f>
        <v/>
      </c>
      <c r="Z495" s="87" t="str">
        <f>IF(AND('341-CT'!$H$9=H495,OR(LEFT(N495,3)=$Z$7,LEFT(O495,3)=$Z$7)),"x","")</f>
        <v/>
      </c>
      <c r="AA495" s="87" t="str">
        <f>IF(OR(TH!N495=TH!$AA$7,O495=TH!$AA$7),"x","")</f>
        <v/>
      </c>
      <c r="AB495" s="87" t="str">
        <f>IF(AND(OR(N495="131",O495="131"),H495='131-CT'!$H$9),"x","")</f>
        <v/>
      </c>
      <c r="AC495" s="87"/>
      <c r="AD495" s="87" t="str">
        <f>IF(AND(MONTH(E495)='IN-NX'!$J$5,'IN-NX'!$D$7=D495),"x","")</f>
        <v/>
      </c>
      <c r="AE495" s="87" t="str">
        <f>IF(AND(OR(LEFT(TH!N495,2)="15",LEFT(TH!O495,2)="15"),'152-CT'!$J$8=TH!F495),"x","")</f>
        <v/>
      </c>
      <c r="AF495" s="87" t="str">
        <f>IF(AND(OR(LEFT(TH!N495,2)="15",LEFT(TH!O495,2)="15"),'THE KHO'!$E$7=TH!F495),"x","")</f>
        <v/>
      </c>
      <c r="AG495" s="87" t="str">
        <f>IF(AND(N495="1521",MONTH(C495)='BK NL'!$M$11),"x","")</f>
        <v/>
      </c>
    </row>
    <row r="496" spans="1:33" ht="15.75" customHeight="1">
      <c r="A496" s="399" t="str">
        <f>IF(B496&lt;&gt;"",IF(AND(B496&gt;=_TM1,B496&lt;=_TM2,OR(TH!N496="1111",TH!O496="1111")),TH!D496,""),"")</f>
        <v/>
      </c>
      <c r="B496" s="63" t="str">
        <f t="shared" si="13"/>
        <v/>
      </c>
      <c r="C496" s="363"/>
      <c r="D496" s="363"/>
      <c r="E496" s="363"/>
      <c r="F496" s="364"/>
      <c r="G496" s="381"/>
      <c r="H496" s="365"/>
      <c r="I496" s="518"/>
      <c r="J496" s="518"/>
      <c r="K496" s="509"/>
      <c r="L496" s="518"/>
      <c r="M496" s="65"/>
      <c r="N496" s="366"/>
      <c r="O496" s="366"/>
      <c r="P496" s="87" t="str">
        <f>IF(AND('331-CT'!$E$7=TH!H496,OR(N496="331",O496="331")),"x","")</f>
        <v/>
      </c>
      <c r="Q496" s="87" t="str">
        <f>IF(AND(B496='111'!$L$11,OR($N496=$Q$7,$O496=$Q$7)),"x","")</f>
        <v/>
      </c>
      <c r="R496" s="87" t="str">
        <f>IF(AND($N496=$Q$7,$B496&lt;'111'!$L$11),"x","")</f>
        <v/>
      </c>
      <c r="S496" s="87" t="str">
        <f>IF(AND($O496=$Q$7,$B496&lt;'111'!$L$11),"x","")</f>
        <v/>
      </c>
      <c r="T496" s="87" t="str">
        <f>IF(ISERROR(FIND('112'!$M$9,G496,1)),"",IF((AND(FIND('112'!$M$9,G496,1)&gt;=1,B496='112'!$K$9,OR($N496='112'!$I$6,$O496='112'!$I$6))),"x",""))</f>
        <v/>
      </c>
      <c r="U496" s="87" t="str">
        <f>IF(ISERROR(FIND('112'!$M$9,G496,1)),"",IF((AND(FIND('112'!$M$9,G496,1)&gt;=1,B496&lt;'112'!$K$9,$N496='112'!$I$6)),"x",""))</f>
        <v/>
      </c>
      <c r="V496" s="87" t="str">
        <f>IF(ISERROR(FIND('112'!$M$9,G496,1)),"",IF((AND(FIND('112'!$M$9,G496,1)&gt;=1,B496&lt;'112'!$K$9,$O496='112'!$I$6)),"x",""))</f>
        <v/>
      </c>
      <c r="W496" s="87" t="str">
        <f>IF(AND($B496&gt;='1331'!$I$9,$B496&lt;='1331'!$J$9,OR($N496=$W$7,$O496=$W$7)),"x","")</f>
        <v/>
      </c>
      <c r="X496" s="87" t="str">
        <f>IF(AND($N496=$W$7,$B496&lt;'1331'!$I$9),"x","")</f>
        <v/>
      </c>
      <c r="Y496" s="87" t="str">
        <f>IF(AND($O496=$W$7,$B496&lt;'1331'!$I$9),"x","")</f>
        <v/>
      </c>
      <c r="Z496" s="87" t="str">
        <f>IF(AND('341-CT'!$H$9=H496,OR(LEFT(N496,3)=$Z$7,LEFT(O496,3)=$Z$7)),"x","")</f>
        <v/>
      </c>
      <c r="AA496" s="87" t="str">
        <f>IF(OR(TH!N496=TH!$AA$7,O496=TH!$AA$7),"x","")</f>
        <v/>
      </c>
      <c r="AB496" s="87" t="str">
        <f>IF(AND(OR(N496="131",O496="131"),H496='131-CT'!$H$9),"x","")</f>
        <v/>
      </c>
      <c r="AC496" s="87"/>
      <c r="AD496" s="87" t="str">
        <f>IF(AND(MONTH(E496)='IN-NX'!$J$5,'IN-NX'!$D$7=D496),"x","")</f>
        <v/>
      </c>
      <c r="AE496" s="87" t="str">
        <f>IF(AND(OR(LEFT(TH!N496,2)="15",LEFT(TH!O496,2)="15"),'152-CT'!$J$8=TH!F496),"x","")</f>
        <v/>
      </c>
      <c r="AF496" s="87" t="str">
        <f>IF(AND(OR(LEFT(TH!N496,2)="15",LEFT(TH!O496,2)="15"),'THE KHO'!$E$7=TH!F496),"x","")</f>
        <v/>
      </c>
      <c r="AG496" s="87" t="str">
        <f>IF(AND(N496="1521",MONTH(C496)='BK NL'!$M$11),"x","")</f>
        <v/>
      </c>
    </row>
    <row r="497" spans="1:33" ht="15.75" customHeight="1">
      <c r="A497" s="399" t="str">
        <f>IF(B497&lt;&gt;"",IF(AND(B497&gt;=_TM1,B497&lt;=_TM2,OR(TH!N497="1111",TH!O497="1111")),TH!D497,""),"")</f>
        <v/>
      </c>
      <c r="B497" s="63" t="str">
        <f t="shared" si="13"/>
        <v/>
      </c>
      <c r="C497" s="363"/>
      <c r="D497" s="363"/>
      <c r="E497" s="363"/>
      <c r="F497" s="364"/>
      <c r="G497" s="381"/>
      <c r="H497" s="365"/>
      <c r="I497" s="518"/>
      <c r="J497" s="518"/>
      <c r="K497" s="509"/>
      <c r="L497" s="518"/>
      <c r="M497" s="65"/>
      <c r="N497" s="366"/>
      <c r="O497" s="366"/>
      <c r="P497" s="87" t="str">
        <f>IF(AND('331-CT'!$E$7=TH!H497,OR(N497="331",O497="331")),"x","")</f>
        <v/>
      </c>
      <c r="Q497" s="87" t="str">
        <f>IF(AND(B497='111'!$L$11,OR($N497=$Q$7,$O497=$Q$7)),"x","")</f>
        <v/>
      </c>
      <c r="R497" s="87" t="str">
        <f>IF(AND($N497=$Q$7,$B497&lt;'111'!$L$11),"x","")</f>
        <v/>
      </c>
      <c r="S497" s="87" t="str">
        <f>IF(AND($O497=$Q$7,$B497&lt;'111'!$L$11),"x","")</f>
        <v/>
      </c>
      <c r="T497" s="87" t="str">
        <f>IF(ISERROR(FIND('112'!$M$9,G497,1)),"",IF((AND(FIND('112'!$M$9,G497,1)&gt;=1,B497='112'!$K$9,OR($N497='112'!$I$6,$O497='112'!$I$6))),"x",""))</f>
        <v/>
      </c>
      <c r="U497" s="87" t="str">
        <f>IF(ISERROR(FIND('112'!$M$9,G497,1)),"",IF((AND(FIND('112'!$M$9,G497,1)&gt;=1,B497&lt;'112'!$K$9,$N497='112'!$I$6)),"x",""))</f>
        <v/>
      </c>
      <c r="V497" s="87" t="str">
        <f>IF(ISERROR(FIND('112'!$M$9,G497,1)),"",IF((AND(FIND('112'!$M$9,G497,1)&gt;=1,B497&lt;'112'!$K$9,$O497='112'!$I$6)),"x",""))</f>
        <v/>
      </c>
      <c r="W497" s="87" t="str">
        <f>IF(AND($B497&gt;='1331'!$I$9,$B497&lt;='1331'!$J$9,OR($N497=$W$7,$O497=$W$7)),"x","")</f>
        <v/>
      </c>
      <c r="X497" s="87" t="str">
        <f>IF(AND($N497=$W$7,$B497&lt;'1331'!$I$9),"x","")</f>
        <v/>
      </c>
      <c r="Y497" s="87" t="str">
        <f>IF(AND($O497=$W$7,$B497&lt;'1331'!$I$9),"x","")</f>
        <v/>
      </c>
      <c r="Z497" s="87" t="str">
        <f>IF(AND('341-CT'!$H$9=H497,OR(LEFT(N497,3)=$Z$7,LEFT(O497,3)=$Z$7)),"x","")</f>
        <v/>
      </c>
      <c r="AA497" s="87" t="str">
        <f>IF(OR(TH!N497=TH!$AA$7,O497=TH!$AA$7),"x","")</f>
        <v/>
      </c>
      <c r="AB497" s="87" t="str">
        <f>IF(AND(OR(N497="131",O497="131"),H497='131-CT'!$H$9),"x","")</f>
        <v/>
      </c>
      <c r="AC497" s="87"/>
      <c r="AD497" s="87" t="str">
        <f>IF(AND(MONTH(E497)='IN-NX'!$J$5,'IN-NX'!$D$7=D497),"x","")</f>
        <v/>
      </c>
      <c r="AE497" s="87" t="str">
        <f>IF(AND(OR(LEFT(TH!N497,2)="15",LEFT(TH!O497,2)="15"),'152-CT'!$J$8=TH!F497),"x","")</f>
        <v/>
      </c>
      <c r="AF497" s="87" t="str">
        <f>IF(AND(OR(LEFT(TH!N497,2)="15",LEFT(TH!O497,2)="15"),'THE KHO'!$E$7=TH!F497),"x","")</f>
        <v/>
      </c>
      <c r="AG497" s="87" t="str">
        <f>IF(AND(N497="1521",MONTH(C497)='BK NL'!$M$11),"x","")</f>
        <v/>
      </c>
    </row>
    <row r="498" spans="1:33" ht="15.75" customHeight="1">
      <c r="A498" s="399" t="str">
        <f>IF(B498&lt;&gt;"",IF(AND(B498&gt;=_TM1,B498&lt;=_TM2,OR(TH!N498="1111",TH!O498="1111")),TH!D498,""),"")</f>
        <v/>
      </c>
      <c r="B498" s="63" t="str">
        <f t="shared" si="13"/>
        <v/>
      </c>
      <c r="C498" s="363"/>
      <c r="D498" s="363"/>
      <c r="E498" s="363"/>
      <c r="F498" s="364"/>
      <c r="G498" s="382"/>
      <c r="H498" s="365"/>
      <c r="I498" s="518"/>
      <c r="J498" s="518"/>
      <c r="K498" s="509"/>
      <c r="L498" s="518"/>
      <c r="M498" s="65"/>
      <c r="N498" s="366"/>
      <c r="O498" s="366"/>
      <c r="P498" s="87" t="str">
        <f>IF(AND('331-CT'!$E$7=TH!H498,OR(N498="331",O498="331")),"x","")</f>
        <v/>
      </c>
      <c r="Q498" s="87" t="str">
        <f>IF(AND(B498='111'!$L$11,OR($N498=$Q$7,$O498=$Q$7)),"x","")</f>
        <v/>
      </c>
      <c r="R498" s="87" t="str">
        <f>IF(AND($N498=$Q$7,$B498&lt;'111'!$L$11),"x","")</f>
        <v/>
      </c>
      <c r="S498" s="87" t="str">
        <f>IF(AND($O498=$Q$7,$B498&lt;'111'!$L$11),"x","")</f>
        <v/>
      </c>
      <c r="T498" s="87" t="str">
        <f>IF(ISERROR(FIND('112'!$M$9,G498,1)),"",IF((AND(FIND('112'!$M$9,G498,1)&gt;=1,B498='112'!$K$9,OR($N498='112'!$I$6,$O498='112'!$I$6))),"x",""))</f>
        <v/>
      </c>
      <c r="U498" s="87" t="str">
        <f>IF(ISERROR(FIND('112'!$M$9,G498,1)),"",IF((AND(FIND('112'!$M$9,G498,1)&gt;=1,B498&lt;'112'!$K$9,$N498='112'!$I$6)),"x",""))</f>
        <v/>
      </c>
      <c r="V498" s="87" t="str">
        <f>IF(ISERROR(FIND('112'!$M$9,G498,1)),"",IF((AND(FIND('112'!$M$9,G498,1)&gt;=1,B498&lt;'112'!$K$9,$O498='112'!$I$6)),"x",""))</f>
        <v/>
      </c>
      <c r="W498" s="87" t="str">
        <f>IF(AND($B498&gt;='1331'!$I$9,$B498&lt;='1331'!$J$9,OR($N498=$W$7,$O498=$W$7)),"x","")</f>
        <v/>
      </c>
      <c r="X498" s="87" t="str">
        <f>IF(AND($N498=$W$7,$B498&lt;'1331'!$I$9),"x","")</f>
        <v/>
      </c>
      <c r="Y498" s="87" t="str">
        <f>IF(AND($O498=$W$7,$B498&lt;'1331'!$I$9),"x","")</f>
        <v/>
      </c>
      <c r="Z498" s="87" t="str">
        <f>IF(AND('341-CT'!$H$9=H498,OR(LEFT(N498,3)=$Z$7,LEFT(O498,3)=$Z$7)),"x","")</f>
        <v/>
      </c>
      <c r="AA498" s="87" t="str">
        <f>IF(OR(TH!N498=TH!$AA$7,O498=TH!$AA$7),"x","")</f>
        <v/>
      </c>
      <c r="AB498" s="87" t="str">
        <f>IF(AND(OR(N498="131",O498="131"),H498='131-CT'!$H$9),"x","")</f>
        <v/>
      </c>
      <c r="AC498" s="87"/>
      <c r="AD498" s="87" t="str">
        <f>IF(AND(MONTH(E498)='IN-NX'!$J$5,'IN-NX'!$D$7=D498),"x","")</f>
        <v/>
      </c>
      <c r="AE498" s="87" t="str">
        <f>IF(AND(OR(LEFT(TH!N498,2)="15",LEFT(TH!O498,2)="15"),'152-CT'!$J$8=TH!F498),"x","")</f>
        <v/>
      </c>
      <c r="AF498" s="87" t="str">
        <f>IF(AND(OR(LEFT(TH!N498,2)="15",LEFT(TH!O498,2)="15"),'THE KHO'!$E$7=TH!F498),"x","")</f>
        <v/>
      </c>
      <c r="AG498" s="87" t="str">
        <f>IF(AND(N498="1521",MONTH(C498)='BK NL'!$M$11),"x","")</f>
        <v/>
      </c>
    </row>
    <row r="499" spans="1:33" s="413" customFormat="1" ht="15.75" customHeight="1">
      <c r="A499" s="399" t="str">
        <f>IF(B499&lt;&gt;"",IF(AND(B499&gt;=_TM1,B499&lt;=_TM2,OR(TH!N499="1111",TH!O499="1111")),TH!D499,""),"")</f>
        <v/>
      </c>
      <c r="B499" s="63" t="str">
        <f t="shared" si="13"/>
        <v/>
      </c>
      <c r="C499" s="363"/>
      <c r="D499" s="363"/>
      <c r="E499" s="363"/>
      <c r="F499" s="364"/>
      <c r="G499" s="382"/>
      <c r="H499" s="365"/>
      <c r="I499" s="518"/>
      <c r="J499" s="518"/>
      <c r="K499" s="509"/>
      <c r="L499" s="518"/>
      <c r="M499" s="65"/>
      <c r="N499" s="366"/>
      <c r="O499" s="366"/>
      <c r="P499" s="87" t="str">
        <f>IF(AND('331-CT'!$E$7=TH!H499,OR(N499="331",O499="331")),"x","")</f>
        <v/>
      </c>
      <c r="Q499" s="87" t="str">
        <f>IF(AND(B499='111'!$L$11,OR($N499=$Q$7,$O499=$Q$7)),"x","")</f>
        <v/>
      </c>
      <c r="R499" s="87" t="str">
        <f>IF(AND($N499=$Q$7,$B499&lt;'111'!$L$11),"x","")</f>
        <v/>
      </c>
      <c r="S499" s="87" t="str">
        <f>IF(AND($O499=$Q$7,$B499&lt;'111'!$L$11),"x","")</f>
        <v/>
      </c>
      <c r="T499" s="87" t="str">
        <f>IF(ISERROR(FIND('112'!$M$9,G499,1)),"",IF((AND(FIND('112'!$M$9,G499,1)&gt;=1,B499='112'!$K$9,OR($N499='112'!$I$6,$O499='112'!$I$6))),"x",""))</f>
        <v/>
      </c>
      <c r="U499" s="87" t="str">
        <f>IF(ISERROR(FIND('112'!$M$9,G499,1)),"",IF((AND(FIND('112'!$M$9,G499,1)&gt;=1,B499&lt;'112'!$K$9,$N499='112'!$I$6)),"x",""))</f>
        <v/>
      </c>
      <c r="V499" s="87" t="str">
        <f>IF(ISERROR(FIND('112'!$M$9,G499,1)),"",IF((AND(FIND('112'!$M$9,G499,1)&gt;=1,B499&lt;'112'!$K$9,$O499='112'!$I$6)),"x",""))</f>
        <v/>
      </c>
      <c r="W499" s="87" t="str">
        <f>IF(AND($B499&gt;='1331'!$I$9,$B499&lt;='1331'!$J$9,OR($N499=$W$7,$O499=$W$7)),"x","")</f>
        <v/>
      </c>
      <c r="X499" s="87" t="str">
        <f>IF(AND($N499=$W$7,$B499&lt;'1331'!$I$9),"x","")</f>
        <v/>
      </c>
      <c r="Y499" s="87" t="str">
        <f>IF(AND($O499=$W$7,$B499&lt;'1331'!$I$9),"x","")</f>
        <v/>
      </c>
      <c r="Z499" s="87" t="str">
        <f>IF(AND('341-CT'!$H$9=H499,OR(LEFT(N499,3)=$Z$7,LEFT(O499,3)=$Z$7)),"x","")</f>
        <v/>
      </c>
      <c r="AA499" s="87" t="str">
        <f>IF(OR(TH!N499=TH!$AA$7,O499=TH!$AA$7),"x","")</f>
        <v/>
      </c>
      <c r="AB499" s="87" t="str">
        <f>IF(AND(OR(N499="131",O499="131"),H499='131-CT'!$H$9),"x","")</f>
        <v/>
      </c>
      <c r="AC499" s="87"/>
      <c r="AD499" s="87" t="str">
        <f>IF(AND(MONTH(E499)='IN-NX'!$J$5,'IN-NX'!$D$7=D499),"x","")</f>
        <v/>
      </c>
      <c r="AE499" s="87" t="str">
        <f>IF(AND(OR(LEFT(TH!N499,2)="15",LEFT(TH!O499,2)="15"),'152-CT'!$J$8=TH!F499),"x","")</f>
        <v/>
      </c>
      <c r="AF499" s="87" t="str">
        <f>IF(AND(OR(LEFT(TH!N499,2)="15",LEFT(TH!O499,2)="15"),'THE KHO'!$E$7=TH!F499),"x","")</f>
        <v/>
      </c>
      <c r="AG499" s="87" t="str">
        <f>IF(AND(N499="1521",MONTH(C499)='BK NL'!$M$11),"x","")</f>
        <v/>
      </c>
    </row>
    <row r="500" spans="1:33" s="413" customFormat="1" ht="15.75" customHeight="1">
      <c r="A500" s="399" t="str">
        <f>IF(B500&lt;&gt;"",IF(AND(B500&gt;=_TM1,B500&lt;=_TM2,OR(TH!N500="1111",TH!O500="1111")),TH!D500,""),"")</f>
        <v/>
      </c>
      <c r="B500" s="63" t="str">
        <f t="shared" si="13"/>
        <v/>
      </c>
      <c r="C500" s="363"/>
      <c r="D500" s="363"/>
      <c r="E500" s="363"/>
      <c r="F500" s="364"/>
      <c r="G500" s="381"/>
      <c r="H500" s="365"/>
      <c r="I500" s="518"/>
      <c r="J500" s="518"/>
      <c r="K500" s="509"/>
      <c r="L500" s="518"/>
      <c r="M500" s="65"/>
      <c r="N500" s="366"/>
      <c r="O500" s="366"/>
      <c r="P500" s="87" t="str">
        <f>IF(AND('331-CT'!$E$7=TH!H500,OR(N500="331",O500="331")),"x","")</f>
        <v/>
      </c>
      <c r="Q500" s="87" t="str">
        <f>IF(AND(B500='111'!$L$11,OR($N500=$Q$7,$O500=$Q$7)),"x","")</f>
        <v/>
      </c>
      <c r="R500" s="87" t="str">
        <f>IF(AND($N500=$Q$7,$B500&lt;'111'!$L$11),"x","")</f>
        <v/>
      </c>
      <c r="S500" s="87" t="str">
        <f>IF(AND($O500=$Q$7,$B500&lt;'111'!$L$11),"x","")</f>
        <v/>
      </c>
      <c r="T500" s="87" t="str">
        <f>IF(ISERROR(FIND('112'!$M$9,G500,1)),"",IF((AND(FIND('112'!$M$9,G500,1)&gt;=1,B500='112'!$K$9,OR($N500='112'!$I$6,$O500='112'!$I$6))),"x",""))</f>
        <v/>
      </c>
      <c r="U500" s="87" t="str">
        <f>IF(ISERROR(FIND('112'!$M$9,G500,1)),"",IF((AND(FIND('112'!$M$9,G500,1)&gt;=1,B500&lt;'112'!$K$9,$N500='112'!$I$6)),"x",""))</f>
        <v/>
      </c>
      <c r="V500" s="87" t="str">
        <f>IF(ISERROR(FIND('112'!$M$9,G500,1)),"",IF((AND(FIND('112'!$M$9,G500,1)&gt;=1,B500&lt;'112'!$K$9,$O500='112'!$I$6)),"x",""))</f>
        <v/>
      </c>
      <c r="W500" s="87" t="str">
        <f>IF(AND($B500&gt;='1331'!$I$9,$B500&lt;='1331'!$J$9,OR($N500=$W$7,$O500=$W$7)),"x","")</f>
        <v/>
      </c>
      <c r="X500" s="87" t="str">
        <f>IF(AND($N500=$W$7,$B500&lt;'1331'!$I$9),"x","")</f>
        <v/>
      </c>
      <c r="Y500" s="87" t="str">
        <f>IF(AND($O500=$W$7,$B500&lt;'1331'!$I$9),"x","")</f>
        <v/>
      </c>
      <c r="Z500" s="87" t="str">
        <f>IF(AND('341-CT'!$H$9=H500,OR(LEFT(N500,3)=$Z$7,LEFT(O500,3)=$Z$7)),"x","")</f>
        <v/>
      </c>
      <c r="AA500" s="87" t="str">
        <f>IF(OR(TH!N500=TH!$AA$7,O500=TH!$AA$7),"x","")</f>
        <v/>
      </c>
      <c r="AB500" s="87" t="str">
        <f>IF(AND(OR(N500="131",O500="131"),H500='131-CT'!$H$9),"x","")</f>
        <v/>
      </c>
      <c r="AC500" s="87"/>
      <c r="AD500" s="87" t="str">
        <f>IF(AND(MONTH(E500)='IN-NX'!$J$5,'IN-NX'!$D$7=D500),"x","")</f>
        <v/>
      </c>
      <c r="AE500" s="87" t="str">
        <f>IF(AND(OR(LEFT(TH!N500,2)="15",LEFT(TH!O500,2)="15"),'152-CT'!$J$8=TH!F500),"x","")</f>
        <v/>
      </c>
      <c r="AF500" s="87" t="str">
        <f>IF(AND(OR(LEFT(TH!N500,2)="15",LEFT(TH!O500,2)="15"),'THE KHO'!$E$7=TH!F500),"x","")</f>
        <v/>
      </c>
      <c r="AG500" s="87" t="str">
        <f>IF(AND(N500="1521",MONTH(C500)='BK NL'!$M$11),"x","")</f>
        <v/>
      </c>
    </row>
    <row r="501" spans="1:33" ht="15.75" customHeight="1">
      <c r="A501" s="399" t="str">
        <f>IF(B501&lt;&gt;"",IF(AND(B501&gt;=_TM1,B501&lt;=_TM2,OR(TH!N501="1111",TH!O501="1111")),TH!D501,""),"")</f>
        <v/>
      </c>
      <c r="B501" s="63" t="str">
        <f t="shared" si="13"/>
        <v/>
      </c>
      <c r="C501" s="64"/>
      <c r="D501" s="363"/>
      <c r="E501" s="64"/>
      <c r="F501" s="67"/>
      <c r="G501" s="376"/>
      <c r="H501" s="75"/>
      <c r="I501" s="518"/>
      <c r="J501" s="518"/>
      <c r="K501" s="509"/>
      <c r="L501" s="518"/>
      <c r="M501" s="65"/>
      <c r="N501" s="66"/>
      <c r="O501" s="66"/>
      <c r="P501" s="87" t="str">
        <f>IF(AND('331-CT'!$E$7=TH!H501,OR(N501="331",O501="331")),"x","")</f>
        <v/>
      </c>
      <c r="Q501" s="87" t="str">
        <f>IF(AND(B501='111'!$L$11,OR($N501=$Q$7,$O501=$Q$7)),"x","")</f>
        <v/>
      </c>
      <c r="R501" s="87" t="str">
        <f>IF(AND($N501=$Q$7,$B501&lt;'111'!$L$11),"x","")</f>
        <v/>
      </c>
      <c r="S501" s="87" t="str">
        <f>IF(AND($O501=$Q$7,$B501&lt;'111'!$L$11),"x","")</f>
        <v/>
      </c>
      <c r="T501" s="87" t="str">
        <f>IF(ISERROR(FIND('112'!$M$9,G501,1)),"",IF((AND(FIND('112'!$M$9,G501,1)&gt;=1,B501='112'!$K$9,OR($N501='112'!$I$6,$O501='112'!$I$6))),"x",""))</f>
        <v/>
      </c>
      <c r="U501" s="87" t="str">
        <f>IF(ISERROR(FIND('112'!$M$9,G501,1)),"",IF((AND(FIND('112'!$M$9,G501,1)&gt;=1,B501&lt;'112'!$K$9,$N501='112'!$I$6)),"x",""))</f>
        <v/>
      </c>
      <c r="V501" s="87" t="str">
        <f>IF(ISERROR(FIND('112'!$M$9,G501,1)),"",IF((AND(FIND('112'!$M$9,G501,1)&gt;=1,B501&lt;'112'!$K$9,$O501='112'!$I$6)),"x",""))</f>
        <v/>
      </c>
      <c r="W501" s="87" t="str">
        <f>IF(AND($B501&gt;='1331'!$I$9,$B501&lt;='1331'!$J$9,OR($N501=$W$7,$O501=$W$7)),"x","")</f>
        <v/>
      </c>
      <c r="X501" s="87" t="str">
        <f>IF(AND($N501=$W$7,$B501&lt;'1331'!$I$9),"x","")</f>
        <v/>
      </c>
      <c r="Y501" s="87" t="str">
        <f>IF(AND($O501=$W$7,$B501&lt;'1331'!$I$9),"x","")</f>
        <v/>
      </c>
      <c r="Z501" s="87" t="str">
        <f>IF(AND('341-CT'!$H$9=H501,OR(LEFT(N501,3)=$Z$7,LEFT(O501,3)=$Z$7)),"x","")</f>
        <v/>
      </c>
      <c r="AA501" s="87" t="str">
        <f>IF(OR(TH!N501=TH!$AA$7,O501=TH!$AA$7),"x","")</f>
        <v/>
      </c>
      <c r="AB501" s="87" t="str">
        <f>IF(AND(OR(N501="131",O501="131"),H501='131-CT'!$H$9),"x","")</f>
        <v/>
      </c>
      <c r="AC501" s="87"/>
      <c r="AD501" s="87" t="str">
        <f>IF(AND(MONTH(E501)='IN-NX'!$J$5,'IN-NX'!$D$7=D501),"x","")</f>
        <v/>
      </c>
      <c r="AE501" s="87" t="str">
        <f>IF(AND(OR(LEFT(TH!N501,2)="15",LEFT(TH!O501,2)="15"),'152-CT'!$J$8=TH!F501),"x","")</f>
        <v/>
      </c>
      <c r="AF501" s="87" t="str">
        <f>IF(AND(OR(LEFT(TH!N501,2)="15",LEFT(TH!O501,2)="15"),'THE KHO'!$E$7=TH!F501),"x","")</f>
        <v/>
      </c>
      <c r="AG501" s="87" t="str">
        <f>IF(AND(N501="1521",MONTH(C501)='BK NL'!$M$11),"x","")</f>
        <v/>
      </c>
    </row>
    <row r="502" spans="1:33" s="410" customFormat="1" ht="15.75" customHeight="1">
      <c r="A502" s="399" t="str">
        <f>IF(B502&lt;&gt;"",IF(AND(B502&gt;=_TM1,B502&lt;=_TM2,OR(TH!N502="1111",TH!O502="1111")),TH!D502,""),"")</f>
        <v/>
      </c>
      <c r="B502" s="63" t="str">
        <f t="shared" si="13"/>
        <v/>
      </c>
      <c r="C502" s="64"/>
      <c r="D502" s="363"/>
      <c r="E502" s="64"/>
      <c r="F502" s="67"/>
      <c r="G502" s="376"/>
      <c r="H502" s="75"/>
      <c r="I502" s="518"/>
      <c r="J502" s="518"/>
      <c r="K502" s="509"/>
      <c r="L502" s="518"/>
      <c r="M502" s="65"/>
      <c r="N502" s="66"/>
      <c r="O502" s="66"/>
      <c r="P502" s="87" t="str">
        <f>IF(AND('331-CT'!$E$7=TH!H502,OR(N502="331",O502="331")),"x","")</f>
        <v/>
      </c>
      <c r="Q502" s="87" t="str">
        <f>IF(AND(B502='111'!$L$11,OR($N502=$Q$7,$O502=$Q$7)),"x","")</f>
        <v/>
      </c>
      <c r="R502" s="87" t="str">
        <f>IF(AND($N502=$Q$7,$B502&lt;'111'!$L$11),"x","")</f>
        <v/>
      </c>
      <c r="S502" s="87" t="str">
        <f>IF(AND($O502=$Q$7,$B502&lt;'111'!$L$11),"x","")</f>
        <v/>
      </c>
      <c r="T502" s="87" t="str">
        <f>IF(ISERROR(FIND('112'!$M$9,G502,1)),"",IF((AND(FIND('112'!$M$9,G502,1)&gt;=1,B502='112'!$K$9,OR($N502='112'!$I$6,$O502='112'!$I$6))),"x",""))</f>
        <v/>
      </c>
      <c r="U502" s="87" t="str">
        <f>IF(ISERROR(FIND('112'!$M$9,G502,1)),"",IF((AND(FIND('112'!$M$9,G502,1)&gt;=1,B502&lt;'112'!$K$9,$N502='112'!$I$6)),"x",""))</f>
        <v/>
      </c>
      <c r="V502" s="87" t="str">
        <f>IF(ISERROR(FIND('112'!$M$9,G502,1)),"",IF((AND(FIND('112'!$M$9,G502,1)&gt;=1,B502&lt;'112'!$K$9,$O502='112'!$I$6)),"x",""))</f>
        <v/>
      </c>
      <c r="W502" s="87" t="str">
        <f>IF(AND($B502&gt;='1331'!$I$9,$B502&lt;='1331'!$J$9,OR($N502=$W$7,$O502=$W$7)),"x","")</f>
        <v/>
      </c>
      <c r="X502" s="87" t="str">
        <f>IF(AND($N502=$W$7,$B502&lt;'1331'!$I$9),"x","")</f>
        <v/>
      </c>
      <c r="Y502" s="87" t="str">
        <f>IF(AND($O502=$W$7,$B502&lt;'1331'!$I$9),"x","")</f>
        <v/>
      </c>
      <c r="Z502" s="87" t="str">
        <f>IF(AND('341-CT'!$H$9=H502,OR(LEFT(N502,3)=$Z$7,LEFT(O502,3)=$Z$7)),"x","")</f>
        <v/>
      </c>
      <c r="AA502" s="87" t="str">
        <f>IF(OR(TH!N502=TH!$AA$7,O502=TH!$AA$7),"x","")</f>
        <v/>
      </c>
      <c r="AB502" s="87" t="str">
        <f>IF(AND(OR(N502="131",O502="131"),H502='131-CT'!$H$9),"x","")</f>
        <v/>
      </c>
      <c r="AC502" s="87"/>
      <c r="AD502" s="87" t="str">
        <f>IF(AND(MONTH(E502)='IN-NX'!$J$5,'IN-NX'!$D$7=D502),"x","")</f>
        <v/>
      </c>
      <c r="AE502" s="87" t="str">
        <f>IF(AND(OR(LEFT(TH!N502,2)="15",LEFT(TH!O502,2)="15"),'152-CT'!$J$8=TH!F502),"x","")</f>
        <v/>
      </c>
      <c r="AF502" s="87" t="str">
        <f>IF(AND(OR(LEFT(TH!N502,2)="15",LEFT(TH!O502,2)="15"),'THE KHO'!$E$7=TH!F502),"x","")</f>
        <v/>
      </c>
      <c r="AG502" s="87" t="str">
        <f>IF(AND(N502="1521",MONTH(C502)='BK NL'!$M$11),"x","")</f>
        <v/>
      </c>
    </row>
    <row r="503" spans="1:33" s="413" customFormat="1" ht="15.75" customHeight="1">
      <c r="A503" s="399" t="str">
        <f>IF(B503&lt;&gt;"",IF(AND(B503&gt;=_TM1,B503&lt;=_TM2,OR(TH!N503="1111",TH!O503="1111")),TH!D503,""),"")</f>
        <v/>
      </c>
      <c r="B503" s="97" t="str">
        <f t="shared" si="13"/>
        <v/>
      </c>
      <c r="C503" s="383"/>
      <c r="D503" s="363"/>
      <c r="E503" s="383"/>
      <c r="F503" s="384"/>
      <c r="G503" s="385"/>
      <c r="H503" s="386"/>
      <c r="I503" s="524"/>
      <c r="J503" s="524"/>
      <c r="K503" s="515"/>
      <c r="L503" s="524"/>
      <c r="M503" s="101"/>
      <c r="N503" s="387"/>
      <c r="O503" s="387"/>
      <c r="P503" s="87" t="str">
        <f>IF(AND('331-CT'!$E$7=TH!H503,OR(N503="331",O503="331")),"x","")</f>
        <v/>
      </c>
      <c r="Q503" s="87" t="str">
        <f>IF(AND(B503='111'!$L$11,OR($N503=$Q$7,$O503=$Q$7)),"x","")</f>
        <v/>
      </c>
      <c r="R503" s="87" t="str">
        <f>IF(AND($N503=$Q$7,$B503&lt;'111'!$L$11),"x","")</f>
        <v/>
      </c>
      <c r="S503" s="87" t="str">
        <f>IF(AND($O503=$Q$7,$B503&lt;'111'!$L$11),"x","")</f>
        <v/>
      </c>
      <c r="T503" s="87" t="str">
        <f>IF(ISERROR(FIND('112'!$M$9,G503,1)),"",IF((AND(FIND('112'!$M$9,G503,1)&gt;=1,B503='112'!$K$9,OR($N503='112'!$I$6,$O503='112'!$I$6))),"x",""))</f>
        <v/>
      </c>
      <c r="U503" s="87" t="str">
        <f>IF(ISERROR(FIND('112'!$M$9,G503,1)),"",IF((AND(FIND('112'!$M$9,G503,1)&gt;=1,B503&lt;'112'!$K$9,$N503='112'!$I$6)),"x",""))</f>
        <v/>
      </c>
      <c r="V503" s="87" t="str">
        <f>IF(ISERROR(FIND('112'!$M$9,G503,1)),"",IF((AND(FIND('112'!$M$9,G503,1)&gt;=1,B503&lt;'112'!$K$9,$O503='112'!$I$6)),"x",""))</f>
        <v/>
      </c>
      <c r="W503" s="87" t="str">
        <f>IF(AND($B503&gt;='1331'!$I$9,$B503&lt;='1331'!$J$9,OR($N503=$W$7,$O503=$W$7)),"x","")</f>
        <v/>
      </c>
      <c r="X503" s="87" t="str">
        <f>IF(AND($N503=$W$7,$B503&lt;'1331'!$I$9),"x","")</f>
        <v/>
      </c>
      <c r="Y503" s="87" t="str">
        <f>IF(AND($O503=$W$7,$B503&lt;'1331'!$I$9),"x","")</f>
        <v/>
      </c>
      <c r="Z503" s="87" t="str">
        <f>IF(AND('341-CT'!$H$9=H503,OR(LEFT(N503,3)=$Z$7,LEFT(O503,3)=$Z$7)),"x","")</f>
        <v/>
      </c>
      <c r="AA503" s="87" t="str">
        <f>IF(OR(TH!N503=TH!$AA$7,O503=TH!$AA$7),"x","")</f>
        <v/>
      </c>
      <c r="AB503" s="87" t="str">
        <f>IF(AND(OR(N503="131",O503="131"),H503='131-CT'!$H$9),"x","")</f>
        <v/>
      </c>
      <c r="AC503" s="87"/>
      <c r="AD503" s="87" t="str">
        <f>IF(AND(MONTH(E503)='IN-NX'!$J$5,'IN-NX'!$D$7=D503),"x","")</f>
        <v/>
      </c>
      <c r="AE503" s="87" t="str">
        <f>IF(AND(OR(LEFT(TH!N503,2)="15",LEFT(TH!O503,2)="15"),'152-CT'!$J$8=TH!F503),"x","")</f>
        <v/>
      </c>
      <c r="AF503" s="87" t="str">
        <f>IF(AND(OR(LEFT(TH!N503,2)="15",LEFT(TH!O503,2)="15"),'THE KHO'!$E$7=TH!F503),"x","")</f>
        <v/>
      </c>
      <c r="AG503" s="87" t="str">
        <f>IF(AND(N503="1521",MONTH(C503)='BK NL'!$M$11),"x","")</f>
        <v/>
      </c>
    </row>
    <row r="504" spans="1:33" s="413" customFormat="1" ht="15.75" customHeight="1">
      <c r="A504" s="399" t="str">
        <f>IF(B504&lt;&gt;"",IF(AND(B504&gt;=_TM1,B504&lt;=_TM2,OR(TH!N504="1111",TH!O504="1111")),TH!D504,""),"")</f>
        <v/>
      </c>
      <c r="B504" s="97" t="str">
        <f t="shared" si="13"/>
        <v/>
      </c>
      <c r="C504" s="383"/>
      <c r="D504" s="363"/>
      <c r="E504" s="383"/>
      <c r="F504" s="384"/>
      <c r="G504" s="385"/>
      <c r="H504" s="386"/>
      <c r="I504" s="524"/>
      <c r="J504" s="524"/>
      <c r="K504" s="515"/>
      <c r="L504" s="524"/>
      <c r="M504" s="101"/>
      <c r="N504" s="387"/>
      <c r="O504" s="387"/>
      <c r="P504" s="87" t="str">
        <f>IF(AND('331-CT'!$E$7=TH!H504,OR(N504="331",O504="331")),"x","")</f>
        <v/>
      </c>
      <c r="Q504" s="87" t="str">
        <f>IF(AND(B504='111'!$L$11,OR($N504=$Q$7,$O504=$Q$7)),"x","")</f>
        <v/>
      </c>
      <c r="R504" s="87" t="str">
        <f>IF(AND($N504=$Q$7,$B504&lt;'111'!$L$11),"x","")</f>
        <v/>
      </c>
      <c r="S504" s="87" t="str">
        <f>IF(AND($O504=$Q$7,$B504&lt;'111'!$L$11),"x","")</f>
        <v/>
      </c>
      <c r="T504" s="87" t="str">
        <f>IF(ISERROR(FIND('112'!$M$9,G504,1)),"",IF((AND(FIND('112'!$M$9,G504,1)&gt;=1,B504='112'!$K$9,OR($N504='112'!$I$6,$O504='112'!$I$6))),"x",""))</f>
        <v/>
      </c>
      <c r="U504" s="87" t="str">
        <f>IF(ISERROR(FIND('112'!$M$9,G504,1)),"",IF((AND(FIND('112'!$M$9,G504,1)&gt;=1,B504&lt;'112'!$K$9,$N504='112'!$I$6)),"x",""))</f>
        <v/>
      </c>
      <c r="V504" s="87" t="str">
        <f>IF(ISERROR(FIND('112'!$M$9,G504,1)),"",IF((AND(FIND('112'!$M$9,G504,1)&gt;=1,B504&lt;'112'!$K$9,$O504='112'!$I$6)),"x",""))</f>
        <v/>
      </c>
      <c r="W504" s="87" t="str">
        <f>IF(AND($B504&gt;='1331'!$I$9,$B504&lt;='1331'!$J$9,OR($N504=$W$7,$O504=$W$7)),"x","")</f>
        <v/>
      </c>
      <c r="X504" s="87" t="str">
        <f>IF(AND($N504=$W$7,$B504&lt;'1331'!$I$9),"x","")</f>
        <v/>
      </c>
      <c r="Y504" s="87" t="str">
        <f>IF(AND($O504=$W$7,$B504&lt;'1331'!$I$9),"x","")</f>
        <v/>
      </c>
      <c r="Z504" s="87" t="str">
        <f>IF(AND('341-CT'!$H$9=H504,OR(LEFT(N504,3)=$Z$7,LEFT(O504,3)=$Z$7)),"x","")</f>
        <v/>
      </c>
      <c r="AA504" s="87" t="str">
        <f>IF(OR(TH!N504=TH!$AA$7,O504=TH!$AA$7),"x","")</f>
        <v/>
      </c>
      <c r="AB504" s="87" t="str">
        <f>IF(AND(OR(N504="131",O504="131"),H504='131-CT'!$H$9),"x","")</f>
        <v/>
      </c>
      <c r="AC504" s="87"/>
      <c r="AD504" s="87" t="str">
        <f>IF(AND(MONTH(E504)='IN-NX'!$J$5,'IN-NX'!$D$7=D504),"x","")</f>
        <v/>
      </c>
      <c r="AE504" s="87" t="str">
        <f>IF(AND(OR(LEFT(TH!N504,2)="15",LEFT(TH!O504,2)="15"),'152-CT'!$J$8=TH!F504),"x","")</f>
        <v/>
      </c>
      <c r="AF504" s="87" t="str">
        <f>IF(AND(OR(LEFT(TH!N504,2)="15",LEFT(TH!O504,2)="15"),'THE KHO'!$E$7=TH!F504),"x","")</f>
        <v/>
      </c>
      <c r="AG504" s="87" t="str">
        <f>IF(AND(N504="1521",MONTH(C504)='BK NL'!$M$11),"x","")</f>
        <v/>
      </c>
    </row>
    <row r="505" spans="1:33" s="414" customFormat="1" ht="15.75" customHeight="1">
      <c r="A505" s="399" t="str">
        <f>IF(B505&lt;&gt;"",IF(AND(B505&gt;=_TM1,B505&lt;=_TM2,OR(TH!N505="1111",TH!O505="1111")),TH!D505,""),"")</f>
        <v/>
      </c>
      <c r="B505" s="63" t="str">
        <f t="shared" si="13"/>
        <v/>
      </c>
      <c r="C505" s="363"/>
      <c r="D505" s="363"/>
      <c r="E505" s="363"/>
      <c r="F505" s="364"/>
      <c r="G505" s="381"/>
      <c r="H505" s="365"/>
      <c r="I505" s="518"/>
      <c r="J505" s="518"/>
      <c r="K505" s="509"/>
      <c r="L505" s="518"/>
      <c r="M505" s="65"/>
      <c r="N505" s="366"/>
      <c r="O505" s="366"/>
      <c r="P505" s="87" t="str">
        <f>IF(AND('331-CT'!$E$7=TH!H505,OR(N505="331",O505="331")),"x","")</f>
        <v/>
      </c>
      <c r="Q505" s="87" t="str">
        <f>IF(AND(B505='111'!$L$11,OR($N505=$Q$7,$O505=$Q$7)),"x","")</f>
        <v/>
      </c>
      <c r="R505" s="87" t="str">
        <f>IF(AND($N505=$Q$7,$B505&lt;'111'!$L$11),"x","")</f>
        <v/>
      </c>
      <c r="S505" s="87" t="str">
        <f>IF(AND($O505=$Q$7,$B505&lt;'111'!$L$11),"x","")</f>
        <v/>
      </c>
      <c r="T505" s="87" t="str">
        <f>IF(ISERROR(FIND('112'!$M$9,G505,1)),"",IF((AND(FIND('112'!$M$9,G505,1)&gt;=1,B505='112'!$K$9,OR($N505='112'!$I$6,$O505='112'!$I$6))),"x",""))</f>
        <v/>
      </c>
      <c r="U505" s="87" t="str">
        <f>IF(ISERROR(FIND('112'!$M$9,G505,1)),"",IF((AND(FIND('112'!$M$9,G505,1)&gt;=1,B505&lt;'112'!$K$9,$N505='112'!$I$6)),"x",""))</f>
        <v/>
      </c>
      <c r="V505" s="87" t="str">
        <f>IF(ISERROR(FIND('112'!$M$9,G505,1)),"",IF((AND(FIND('112'!$M$9,G505,1)&gt;=1,B505&lt;'112'!$K$9,$O505='112'!$I$6)),"x",""))</f>
        <v/>
      </c>
      <c r="W505" s="87" t="str">
        <f>IF(AND($B505&gt;='1331'!$I$9,$B505&lt;='1331'!$J$9,OR($N505=$W$7,$O505=$W$7)),"x","")</f>
        <v/>
      </c>
      <c r="X505" s="87" t="str">
        <f>IF(AND($N505=$W$7,$B505&lt;'1331'!$I$9),"x","")</f>
        <v/>
      </c>
      <c r="Y505" s="87" t="str">
        <f>IF(AND($O505=$W$7,$B505&lt;'1331'!$I$9),"x","")</f>
        <v/>
      </c>
      <c r="Z505" s="87" t="str">
        <f>IF(AND('341-CT'!$H$9=H505,OR(LEFT(N505,3)=$Z$7,LEFT(O505,3)=$Z$7)),"x","")</f>
        <v/>
      </c>
      <c r="AA505" s="87" t="str">
        <f>IF(OR(TH!N505=TH!$AA$7,O505=TH!$AA$7),"x","")</f>
        <v/>
      </c>
      <c r="AB505" s="87" t="str">
        <f>IF(AND(OR(N505="131",O505="131"),H505='131-CT'!$H$9),"x","")</f>
        <v/>
      </c>
      <c r="AC505" s="87"/>
      <c r="AD505" s="87" t="str">
        <f>IF(AND(MONTH(E505)='IN-NX'!$J$5,'IN-NX'!$D$7=D505),"x","")</f>
        <v/>
      </c>
      <c r="AE505" s="87" t="str">
        <f>IF(AND(OR(LEFT(TH!N505,2)="15",LEFT(TH!O505,2)="15"),'152-CT'!$J$8=TH!F505),"x","")</f>
        <v/>
      </c>
      <c r="AF505" s="87" t="str">
        <f>IF(AND(OR(LEFT(TH!N505,2)="15",LEFT(TH!O505,2)="15"),'THE KHO'!$E$7=TH!F505),"x","")</f>
        <v/>
      </c>
      <c r="AG505" s="87" t="str">
        <f>IF(AND(N505="1521",MONTH(C505)='BK NL'!$M$11),"x","")</f>
        <v/>
      </c>
    </row>
    <row r="506" spans="1:33" s="414" customFormat="1" ht="15.75" customHeight="1">
      <c r="A506" s="399" t="str">
        <f>IF(B506&lt;&gt;"",IF(AND(B506&gt;=_TM1,B506&lt;=_TM2,OR(TH!N506="1111",TH!O506="1111")),TH!D506,""),"")</f>
        <v/>
      </c>
      <c r="B506" s="63" t="str">
        <f t="shared" si="13"/>
        <v/>
      </c>
      <c r="C506" s="363"/>
      <c r="D506" s="363"/>
      <c r="E506" s="363"/>
      <c r="F506" s="364"/>
      <c r="G506" s="381"/>
      <c r="H506" s="365"/>
      <c r="I506" s="518"/>
      <c r="J506" s="518"/>
      <c r="K506" s="509"/>
      <c r="L506" s="518"/>
      <c r="M506" s="65"/>
      <c r="N506" s="366"/>
      <c r="O506" s="366"/>
      <c r="P506" s="87" t="str">
        <f>IF(AND('331-CT'!$E$7=TH!H506,OR(N506="331",O506="331")),"x","")</f>
        <v/>
      </c>
      <c r="Q506" s="87" t="str">
        <f>IF(AND(B506='111'!$L$11,OR($N506=$Q$7,$O506=$Q$7)),"x","")</f>
        <v/>
      </c>
      <c r="R506" s="87" t="str">
        <f>IF(AND($N506=$Q$7,$B506&lt;'111'!$L$11),"x","")</f>
        <v/>
      </c>
      <c r="S506" s="87" t="str">
        <f>IF(AND($O506=$Q$7,$B506&lt;'111'!$L$11),"x","")</f>
        <v/>
      </c>
      <c r="T506" s="87" t="str">
        <f>IF(ISERROR(FIND('112'!$M$9,G506,1)),"",IF((AND(FIND('112'!$M$9,G506,1)&gt;=1,B506='112'!$K$9,OR($N506='112'!$I$6,$O506='112'!$I$6))),"x",""))</f>
        <v/>
      </c>
      <c r="U506" s="87" t="str">
        <f>IF(ISERROR(FIND('112'!$M$9,G506,1)),"",IF((AND(FIND('112'!$M$9,G506,1)&gt;=1,B506&lt;'112'!$K$9,$N506='112'!$I$6)),"x",""))</f>
        <v/>
      </c>
      <c r="V506" s="87" t="str">
        <f>IF(ISERROR(FIND('112'!$M$9,G506,1)),"",IF((AND(FIND('112'!$M$9,G506,1)&gt;=1,B506&lt;'112'!$K$9,$O506='112'!$I$6)),"x",""))</f>
        <v/>
      </c>
      <c r="W506" s="87" t="str">
        <f>IF(AND($B506&gt;='1331'!$I$9,$B506&lt;='1331'!$J$9,OR($N506=$W$7,$O506=$W$7)),"x","")</f>
        <v/>
      </c>
      <c r="X506" s="87" t="str">
        <f>IF(AND($N506=$W$7,$B506&lt;'1331'!$I$9),"x","")</f>
        <v/>
      </c>
      <c r="Y506" s="87" t="str">
        <f>IF(AND($O506=$W$7,$B506&lt;'1331'!$I$9),"x","")</f>
        <v/>
      </c>
      <c r="Z506" s="87" t="str">
        <f>IF(AND('341-CT'!$H$9=H506,OR(LEFT(N506,3)=$Z$7,LEFT(O506,3)=$Z$7)),"x","")</f>
        <v/>
      </c>
      <c r="AA506" s="87" t="str">
        <f>IF(OR(TH!N506=TH!$AA$7,O506=TH!$AA$7),"x","")</f>
        <v/>
      </c>
      <c r="AB506" s="87" t="str">
        <f>IF(AND(OR(N506="131",O506="131"),H506='131-CT'!$H$9),"x","")</f>
        <v/>
      </c>
      <c r="AC506" s="87"/>
      <c r="AD506" s="87" t="str">
        <f>IF(AND(MONTH(E506)='IN-NX'!$J$5,'IN-NX'!$D$7=D506),"x","")</f>
        <v/>
      </c>
      <c r="AE506" s="87" t="str">
        <f>IF(AND(OR(LEFT(TH!N506,2)="15",LEFT(TH!O506,2)="15"),'152-CT'!$J$8=TH!F506),"x","")</f>
        <v/>
      </c>
      <c r="AF506" s="87" t="str">
        <f>IF(AND(OR(LEFT(TH!N506,2)="15",LEFT(TH!O506,2)="15"),'THE KHO'!$E$7=TH!F506),"x","")</f>
        <v/>
      </c>
      <c r="AG506" s="87" t="str">
        <f>IF(AND(N506="1521",MONTH(C506)='BK NL'!$M$11),"x","")</f>
        <v/>
      </c>
    </row>
    <row r="507" spans="1:33" s="414" customFormat="1" ht="15.75" customHeight="1">
      <c r="A507" s="399" t="str">
        <f>IF(B507&lt;&gt;"",IF(AND(B507&gt;=_TM1,B507&lt;=_TM2,OR(TH!N507="1111",TH!O507="1111")),TH!D507,""),"")</f>
        <v/>
      </c>
      <c r="B507" s="97" t="str">
        <f t="shared" si="13"/>
        <v/>
      </c>
      <c r="C507" s="383"/>
      <c r="D507" s="363"/>
      <c r="E507" s="383"/>
      <c r="F507" s="384"/>
      <c r="G507" s="385"/>
      <c r="H507" s="386"/>
      <c r="I507" s="524"/>
      <c r="J507" s="524"/>
      <c r="K507" s="515"/>
      <c r="L507" s="524"/>
      <c r="M507" s="101"/>
      <c r="N507" s="387"/>
      <c r="O507" s="387"/>
      <c r="P507" s="87" t="str">
        <f>IF(AND('331-CT'!$E$7=TH!H507,OR(N507="331",O507="331")),"x","")</f>
        <v/>
      </c>
      <c r="Q507" s="87" t="str">
        <f>IF(AND(B507='111'!$L$11,OR($N507=$Q$7,$O507=$Q$7)),"x","")</f>
        <v/>
      </c>
      <c r="R507" s="87" t="str">
        <f>IF(AND($N507=$Q$7,$B507&lt;'111'!$L$11),"x","")</f>
        <v/>
      </c>
      <c r="S507" s="87" t="str">
        <f>IF(AND($O507=$Q$7,$B507&lt;'111'!$L$11),"x","")</f>
        <v/>
      </c>
      <c r="T507" s="87" t="str">
        <f>IF(ISERROR(FIND('112'!$M$9,G507,1)),"",IF((AND(FIND('112'!$M$9,G507,1)&gt;=1,B507='112'!$K$9,OR($N507='112'!$I$6,$O507='112'!$I$6))),"x",""))</f>
        <v/>
      </c>
      <c r="U507" s="87" t="str">
        <f>IF(ISERROR(FIND('112'!$M$9,G507,1)),"",IF((AND(FIND('112'!$M$9,G507,1)&gt;=1,B507&lt;'112'!$K$9,$N507='112'!$I$6)),"x",""))</f>
        <v/>
      </c>
      <c r="V507" s="87" t="str">
        <f>IF(ISERROR(FIND('112'!$M$9,G507,1)),"",IF((AND(FIND('112'!$M$9,G507,1)&gt;=1,B507&lt;'112'!$K$9,$O507='112'!$I$6)),"x",""))</f>
        <v/>
      </c>
      <c r="W507" s="87" t="str">
        <f>IF(AND($B507&gt;='1331'!$I$9,$B507&lt;='1331'!$J$9,OR($N507=$W$7,$O507=$W$7)),"x","")</f>
        <v/>
      </c>
      <c r="X507" s="87" t="str">
        <f>IF(AND($N507=$W$7,$B507&lt;'1331'!$I$9),"x","")</f>
        <v/>
      </c>
      <c r="Y507" s="87" t="str">
        <f>IF(AND($O507=$W$7,$B507&lt;'1331'!$I$9),"x","")</f>
        <v/>
      </c>
      <c r="Z507" s="87" t="str">
        <f>IF(AND('341-CT'!$H$9=H507,OR(LEFT(N507,3)=$Z$7,LEFT(O507,3)=$Z$7)),"x","")</f>
        <v/>
      </c>
      <c r="AA507" s="87" t="str">
        <f>IF(OR(TH!N507=TH!$AA$7,O507=TH!$AA$7),"x","")</f>
        <v/>
      </c>
      <c r="AB507" s="87" t="str">
        <f>IF(AND(OR(N507="131",O507="131"),H507='131-CT'!$H$9),"x","")</f>
        <v/>
      </c>
      <c r="AC507" s="87"/>
      <c r="AD507" s="87" t="str">
        <f>IF(AND(MONTH(E507)='IN-NX'!$J$5,'IN-NX'!$D$7=D507),"x","")</f>
        <v/>
      </c>
      <c r="AE507" s="87" t="str">
        <f>IF(AND(OR(LEFT(TH!N507,2)="15",LEFT(TH!O507,2)="15"),'152-CT'!$J$8=TH!F507),"x","")</f>
        <v/>
      </c>
      <c r="AF507" s="87" t="str">
        <f>IF(AND(OR(LEFT(TH!N507,2)="15",LEFT(TH!O507,2)="15"),'THE KHO'!$E$7=TH!F507),"x","")</f>
        <v/>
      </c>
      <c r="AG507" s="87" t="str">
        <f>IF(AND(N507="1521",MONTH(C507)='BK NL'!$M$11),"x","")</f>
        <v/>
      </c>
    </row>
    <row r="508" spans="1:33" s="414" customFormat="1" ht="15.75" customHeight="1">
      <c r="A508" s="399" t="str">
        <f>IF(B508&lt;&gt;"",IF(AND(B508&gt;=_TM1,B508&lt;=_TM2,OR(TH!N508="1111",TH!O508="1111")),TH!D508,""),"")</f>
        <v/>
      </c>
      <c r="B508" s="97" t="str">
        <f t="shared" si="13"/>
        <v/>
      </c>
      <c r="C508" s="383"/>
      <c r="D508" s="363"/>
      <c r="E508" s="383"/>
      <c r="F508" s="384"/>
      <c r="G508" s="385"/>
      <c r="H508" s="386"/>
      <c r="I508" s="524"/>
      <c r="J508" s="524"/>
      <c r="K508" s="515"/>
      <c r="L508" s="524"/>
      <c r="M508" s="101"/>
      <c r="N508" s="387"/>
      <c r="O508" s="387"/>
      <c r="P508" s="87" t="str">
        <f>IF(AND('331-CT'!$E$7=TH!H508,OR(N508="331",O508="331")),"x","")</f>
        <v/>
      </c>
      <c r="Q508" s="87" t="str">
        <f>IF(AND(B508='111'!$L$11,OR($N508=$Q$7,$O508=$Q$7)),"x","")</f>
        <v/>
      </c>
      <c r="R508" s="87" t="str">
        <f>IF(AND($N508=$Q$7,$B508&lt;'111'!$L$11),"x","")</f>
        <v/>
      </c>
      <c r="S508" s="87" t="str">
        <f>IF(AND($O508=$Q$7,$B508&lt;'111'!$L$11),"x","")</f>
        <v/>
      </c>
      <c r="T508" s="87" t="str">
        <f>IF(ISERROR(FIND('112'!$M$9,G508,1)),"",IF((AND(FIND('112'!$M$9,G508,1)&gt;=1,B508='112'!$K$9,OR($N508='112'!$I$6,$O508='112'!$I$6))),"x",""))</f>
        <v/>
      </c>
      <c r="U508" s="87" t="str">
        <f>IF(ISERROR(FIND('112'!$M$9,G508,1)),"",IF((AND(FIND('112'!$M$9,G508,1)&gt;=1,B508&lt;'112'!$K$9,$N508='112'!$I$6)),"x",""))</f>
        <v/>
      </c>
      <c r="V508" s="87" t="str">
        <f>IF(ISERROR(FIND('112'!$M$9,G508,1)),"",IF((AND(FIND('112'!$M$9,G508,1)&gt;=1,B508&lt;'112'!$K$9,$O508='112'!$I$6)),"x",""))</f>
        <v/>
      </c>
      <c r="W508" s="87" t="str">
        <f>IF(AND($B508&gt;='1331'!$I$9,$B508&lt;='1331'!$J$9,OR($N508=$W$7,$O508=$W$7)),"x","")</f>
        <v/>
      </c>
      <c r="X508" s="87" t="str">
        <f>IF(AND($N508=$W$7,$B508&lt;'1331'!$I$9),"x","")</f>
        <v/>
      </c>
      <c r="Y508" s="87" t="str">
        <f>IF(AND($O508=$W$7,$B508&lt;'1331'!$I$9),"x","")</f>
        <v/>
      </c>
      <c r="Z508" s="87" t="str">
        <f>IF(AND('341-CT'!$H$9=H508,OR(LEFT(N508,3)=$Z$7,LEFT(O508,3)=$Z$7)),"x","")</f>
        <v/>
      </c>
      <c r="AA508" s="87" t="str">
        <f>IF(OR(TH!N508=TH!$AA$7,O508=TH!$AA$7),"x","")</f>
        <v/>
      </c>
      <c r="AB508" s="87" t="str">
        <f>IF(AND(OR(N508="131",O508="131"),H508='131-CT'!$H$9),"x","")</f>
        <v/>
      </c>
      <c r="AC508" s="87"/>
      <c r="AD508" s="87" t="str">
        <f>IF(AND(MONTH(E508)='IN-NX'!$J$5,'IN-NX'!$D$7=D508),"x","")</f>
        <v/>
      </c>
      <c r="AE508" s="87" t="str">
        <f>IF(AND(OR(LEFT(TH!N508,2)="15",LEFT(TH!O508,2)="15"),'152-CT'!$J$8=TH!F508),"x","")</f>
        <v/>
      </c>
      <c r="AF508" s="87" t="str">
        <f>IF(AND(OR(LEFT(TH!N508,2)="15",LEFT(TH!O508,2)="15"),'THE KHO'!$E$7=TH!F508),"x","")</f>
        <v/>
      </c>
      <c r="AG508" s="87" t="str">
        <f>IF(AND(N508="1521",MONTH(C508)='BK NL'!$M$11),"x","")</f>
        <v/>
      </c>
    </row>
    <row r="509" spans="1:33" s="414" customFormat="1" ht="15.75" customHeight="1">
      <c r="A509" s="399" t="str">
        <f>IF(B509&lt;&gt;"",IF(AND(B509&gt;=_TM1,B509&lt;=_TM2,OR(TH!N509="1111",TH!O509="1111")),TH!D509,""),"")</f>
        <v/>
      </c>
      <c r="B509" s="63" t="str">
        <f t="shared" si="13"/>
        <v/>
      </c>
      <c r="C509" s="363"/>
      <c r="D509" s="363"/>
      <c r="E509" s="363"/>
      <c r="F509" s="364"/>
      <c r="G509" s="381"/>
      <c r="H509" s="365"/>
      <c r="I509" s="518"/>
      <c r="J509" s="518"/>
      <c r="K509" s="509"/>
      <c r="L509" s="518"/>
      <c r="M509" s="65"/>
      <c r="N509" s="366"/>
      <c r="O509" s="366"/>
      <c r="P509" s="87" t="str">
        <f>IF(AND('331-CT'!$E$7=TH!H509,OR(N509="331",O509="331")),"x","")</f>
        <v/>
      </c>
      <c r="Q509" s="87" t="str">
        <f>IF(AND(B509='111'!$L$11,OR($N509=$Q$7,$O509=$Q$7)),"x","")</f>
        <v/>
      </c>
      <c r="R509" s="87" t="str">
        <f>IF(AND($N509=$Q$7,$B509&lt;'111'!$L$11),"x","")</f>
        <v/>
      </c>
      <c r="S509" s="87" t="str">
        <f>IF(AND($O509=$Q$7,$B509&lt;'111'!$L$11),"x","")</f>
        <v/>
      </c>
      <c r="T509" s="87" t="str">
        <f>IF(ISERROR(FIND('112'!$M$9,G509,1)),"",IF((AND(FIND('112'!$M$9,G509,1)&gt;=1,B509='112'!$K$9,OR($N509='112'!$I$6,$O509='112'!$I$6))),"x",""))</f>
        <v/>
      </c>
      <c r="U509" s="87" t="str">
        <f>IF(ISERROR(FIND('112'!$M$9,G509,1)),"",IF((AND(FIND('112'!$M$9,G509,1)&gt;=1,B509&lt;'112'!$K$9,$N509='112'!$I$6)),"x",""))</f>
        <v/>
      </c>
      <c r="V509" s="87" t="str">
        <f>IF(ISERROR(FIND('112'!$M$9,G509,1)),"",IF((AND(FIND('112'!$M$9,G509,1)&gt;=1,B509&lt;'112'!$K$9,$O509='112'!$I$6)),"x",""))</f>
        <v/>
      </c>
      <c r="W509" s="87" t="str">
        <f>IF(AND($B509&gt;='1331'!$I$9,$B509&lt;='1331'!$J$9,OR($N509=$W$7,$O509=$W$7)),"x","")</f>
        <v/>
      </c>
      <c r="X509" s="87" t="str">
        <f>IF(AND($N509=$W$7,$B509&lt;'1331'!$I$9),"x","")</f>
        <v/>
      </c>
      <c r="Y509" s="87" t="str">
        <f>IF(AND($O509=$W$7,$B509&lt;'1331'!$I$9),"x","")</f>
        <v/>
      </c>
      <c r="Z509" s="87" t="str">
        <f>IF(AND('341-CT'!$H$9=H509,OR(LEFT(N509,3)=$Z$7,LEFT(O509,3)=$Z$7)),"x","")</f>
        <v/>
      </c>
      <c r="AA509" s="87" t="str">
        <f>IF(OR(TH!N509=TH!$AA$7,O509=TH!$AA$7),"x","")</f>
        <v/>
      </c>
      <c r="AB509" s="87" t="str">
        <f>IF(AND(OR(N509="131",O509="131"),H509='131-CT'!$H$9),"x","")</f>
        <v/>
      </c>
      <c r="AC509" s="87"/>
      <c r="AD509" s="87" t="str">
        <f>IF(AND(MONTH(E509)='IN-NX'!$J$5,'IN-NX'!$D$7=D509),"x","")</f>
        <v/>
      </c>
      <c r="AE509" s="87" t="str">
        <f>IF(AND(OR(LEFT(TH!N509,2)="15",LEFT(TH!O509,2)="15"),'152-CT'!$J$8=TH!F509),"x","")</f>
        <v/>
      </c>
      <c r="AF509" s="87" t="str">
        <f>IF(AND(OR(LEFT(TH!N509,2)="15",LEFT(TH!O509,2)="15"),'THE KHO'!$E$7=TH!F509),"x","")</f>
        <v/>
      </c>
      <c r="AG509" s="87" t="str">
        <f>IF(AND(N509="1521",MONTH(C509)='BK NL'!$M$11),"x","")</f>
        <v/>
      </c>
    </row>
    <row r="510" spans="1:33" s="414" customFormat="1" ht="15.75" customHeight="1">
      <c r="A510" s="399" t="str">
        <f>IF(B510&lt;&gt;"",IF(AND(B510&gt;=_TM1,B510&lt;=_TM2,OR(TH!N510="1111",TH!O510="1111")),TH!D510,""),"")</f>
        <v/>
      </c>
      <c r="B510" s="63" t="str">
        <f t="shared" si="13"/>
        <v/>
      </c>
      <c r="C510" s="363"/>
      <c r="D510" s="363"/>
      <c r="E510" s="363"/>
      <c r="F510" s="364"/>
      <c r="G510" s="381"/>
      <c r="H510" s="365"/>
      <c r="I510" s="518"/>
      <c r="J510" s="518"/>
      <c r="K510" s="509"/>
      <c r="L510" s="518"/>
      <c r="M510" s="65"/>
      <c r="N510" s="366"/>
      <c r="O510" s="366"/>
      <c r="P510" s="87" t="str">
        <f>IF(AND('331-CT'!$E$7=TH!H510,OR(N510="331",O510="331")),"x","")</f>
        <v/>
      </c>
      <c r="Q510" s="87" t="str">
        <f>IF(AND(B510='111'!$L$11,OR($N510=$Q$7,$O510=$Q$7)),"x","")</f>
        <v/>
      </c>
      <c r="R510" s="87" t="str">
        <f>IF(AND($N510=$Q$7,$B510&lt;'111'!$L$11),"x","")</f>
        <v/>
      </c>
      <c r="S510" s="87" t="str">
        <f>IF(AND($O510=$Q$7,$B510&lt;'111'!$L$11),"x","")</f>
        <v/>
      </c>
      <c r="T510" s="87" t="str">
        <f>IF(ISERROR(FIND('112'!$M$9,G510,1)),"",IF((AND(FIND('112'!$M$9,G510,1)&gt;=1,B510='112'!$K$9,OR($N510='112'!$I$6,$O510='112'!$I$6))),"x",""))</f>
        <v/>
      </c>
      <c r="U510" s="87" t="str">
        <f>IF(ISERROR(FIND('112'!$M$9,G510,1)),"",IF((AND(FIND('112'!$M$9,G510,1)&gt;=1,B510&lt;'112'!$K$9,$N510='112'!$I$6)),"x",""))</f>
        <v/>
      </c>
      <c r="V510" s="87" t="str">
        <f>IF(ISERROR(FIND('112'!$M$9,G510,1)),"",IF((AND(FIND('112'!$M$9,G510,1)&gt;=1,B510&lt;'112'!$K$9,$O510='112'!$I$6)),"x",""))</f>
        <v/>
      </c>
      <c r="W510" s="87" t="str">
        <f>IF(AND($B510&gt;='1331'!$I$9,$B510&lt;='1331'!$J$9,OR($N510=$W$7,$O510=$W$7)),"x","")</f>
        <v/>
      </c>
      <c r="X510" s="87" t="str">
        <f>IF(AND($N510=$W$7,$B510&lt;'1331'!$I$9),"x","")</f>
        <v/>
      </c>
      <c r="Y510" s="87" t="str">
        <f>IF(AND($O510=$W$7,$B510&lt;'1331'!$I$9),"x","")</f>
        <v/>
      </c>
      <c r="Z510" s="87" t="str">
        <f>IF(AND('341-CT'!$H$9=H510,OR(LEFT(N510,3)=$Z$7,LEFT(O510,3)=$Z$7)),"x","")</f>
        <v/>
      </c>
      <c r="AA510" s="87" t="str">
        <f>IF(OR(TH!N510=TH!$AA$7,O510=TH!$AA$7),"x","")</f>
        <v/>
      </c>
      <c r="AB510" s="87" t="str">
        <f>IF(AND(OR(N510="131",O510="131"),H510='131-CT'!$H$9),"x","")</f>
        <v/>
      </c>
      <c r="AC510" s="87"/>
      <c r="AD510" s="87" t="str">
        <f>IF(AND(MONTH(E510)='IN-NX'!$J$5,'IN-NX'!$D$7=D510),"x","")</f>
        <v/>
      </c>
      <c r="AE510" s="87" t="str">
        <f>IF(AND(OR(LEFT(TH!N510,2)="15",LEFT(TH!O510,2)="15"),'152-CT'!$J$8=TH!F510),"x","")</f>
        <v/>
      </c>
      <c r="AF510" s="87" t="str">
        <f>IF(AND(OR(LEFT(TH!N510,2)="15",LEFT(TH!O510,2)="15"),'THE KHO'!$E$7=TH!F510),"x","")</f>
        <v/>
      </c>
      <c r="AG510" s="87" t="str">
        <f>IF(AND(N510="1521",MONTH(C510)='BK NL'!$M$11),"x","")</f>
        <v/>
      </c>
    </row>
    <row r="511" spans="1:33" ht="15.75" customHeight="1">
      <c r="A511" s="399" t="str">
        <f>IF(B511&lt;&gt;"",IF(AND(B511&gt;=_TM1,B511&lt;=_TM2,OR(TH!N511="1111",TH!O511="1111")),TH!D511,""),"")</f>
        <v/>
      </c>
      <c r="B511" s="63" t="str">
        <f t="shared" si="13"/>
        <v/>
      </c>
      <c r="C511" s="64"/>
      <c r="D511" s="363"/>
      <c r="E511" s="64"/>
      <c r="F511" s="67"/>
      <c r="G511" s="376"/>
      <c r="H511" s="365"/>
      <c r="I511" s="518"/>
      <c r="J511" s="518"/>
      <c r="K511" s="509"/>
      <c r="L511" s="518"/>
      <c r="M511" s="65"/>
      <c r="N511" s="66"/>
      <c r="O511" s="66"/>
      <c r="P511" s="87" t="str">
        <f>IF(AND('331-CT'!$E$7=TH!H511,OR(N511="331",O511="331")),"x","")</f>
        <v/>
      </c>
      <c r="Q511" s="87" t="str">
        <f>IF(AND(B511='111'!$L$11,OR($N511=$Q$7,$O511=$Q$7)),"x","")</f>
        <v/>
      </c>
      <c r="R511" s="87" t="str">
        <f>IF(AND($N511=$Q$7,$B511&lt;'111'!$L$11),"x","")</f>
        <v/>
      </c>
      <c r="S511" s="87" t="str">
        <f>IF(AND($O511=$Q$7,$B511&lt;'111'!$L$11),"x","")</f>
        <v/>
      </c>
      <c r="T511" s="87" t="str">
        <f>IF(ISERROR(FIND('112'!$M$9,G511,1)),"",IF((AND(FIND('112'!$M$9,G511,1)&gt;=1,B511='112'!$K$9,OR($N511='112'!$I$6,$O511='112'!$I$6))),"x",""))</f>
        <v/>
      </c>
      <c r="U511" s="87" t="str">
        <f>IF(ISERROR(FIND('112'!$M$9,G511,1)),"",IF((AND(FIND('112'!$M$9,G511,1)&gt;=1,B511&lt;'112'!$K$9,$N511='112'!$I$6)),"x",""))</f>
        <v/>
      </c>
      <c r="V511" s="87" t="str">
        <f>IF(ISERROR(FIND('112'!$M$9,G511,1)),"",IF((AND(FIND('112'!$M$9,G511,1)&gt;=1,B511&lt;'112'!$K$9,$O511='112'!$I$6)),"x",""))</f>
        <v/>
      </c>
      <c r="W511" s="87" t="str">
        <f>IF(AND($B511&gt;='1331'!$I$9,$B511&lt;='1331'!$J$9,OR($N511=$W$7,$O511=$W$7)),"x","")</f>
        <v/>
      </c>
      <c r="X511" s="87" t="str">
        <f>IF(AND($N511=$W$7,$B511&lt;'1331'!$I$9),"x","")</f>
        <v/>
      </c>
      <c r="Y511" s="87" t="str">
        <f>IF(AND($O511=$W$7,$B511&lt;'1331'!$I$9),"x","")</f>
        <v/>
      </c>
      <c r="Z511" s="87" t="str">
        <f>IF(AND('341-CT'!$H$9=H511,OR(LEFT(N511,3)=$Z$7,LEFT(O511,3)=$Z$7)),"x","")</f>
        <v/>
      </c>
      <c r="AA511" s="87" t="str">
        <f>IF(OR(TH!N511=TH!$AA$7,O511=TH!$AA$7),"x","")</f>
        <v/>
      </c>
      <c r="AB511" s="87" t="str">
        <f>IF(AND(OR(N511="131",O511="131"),H511='131-CT'!$H$9),"x","")</f>
        <v/>
      </c>
      <c r="AC511" s="87"/>
      <c r="AD511" s="87" t="str">
        <f>IF(AND(MONTH(E511)='IN-NX'!$J$5,'IN-NX'!$D$7=D511),"x","")</f>
        <v/>
      </c>
      <c r="AE511" s="87" t="str">
        <f>IF(AND(OR(LEFT(TH!N511,2)="15",LEFT(TH!O511,2)="15"),'152-CT'!$J$8=TH!F511),"x","")</f>
        <v/>
      </c>
      <c r="AF511" s="87" t="str">
        <f>IF(AND(OR(LEFT(TH!N511,2)="15",LEFT(TH!O511,2)="15"),'THE KHO'!$E$7=TH!F511),"x","")</f>
        <v/>
      </c>
      <c r="AG511" s="87" t="str">
        <f>IF(AND(N511="1521",MONTH(C511)='BK NL'!$M$11),"x","")</f>
        <v/>
      </c>
    </row>
    <row r="512" spans="1:33" ht="15.75" customHeight="1">
      <c r="A512" s="399" t="str">
        <f>IF(B512&lt;&gt;"",IF(AND(B512&gt;=_TM1,B512&lt;=_TM2,OR(TH!N512="1111",TH!O512="1111")),TH!D512,""),"")</f>
        <v/>
      </c>
      <c r="B512" s="63" t="str">
        <f t="shared" si="13"/>
        <v/>
      </c>
      <c r="C512" s="64"/>
      <c r="D512" s="64"/>
      <c r="E512" s="64"/>
      <c r="F512" s="67"/>
      <c r="G512" s="376"/>
      <c r="H512" s="365"/>
      <c r="I512" s="518"/>
      <c r="J512" s="518"/>
      <c r="K512" s="509"/>
      <c r="L512" s="518"/>
      <c r="M512" s="65"/>
      <c r="N512" s="66"/>
      <c r="O512" s="66"/>
      <c r="P512" s="87" t="str">
        <f>IF(AND('331-CT'!$E$7=TH!H512,OR(N512="331",O512="331")),"x","")</f>
        <v/>
      </c>
      <c r="Q512" s="87" t="str">
        <f>IF(AND(B512='111'!$L$11,OR($N512=$Q$7,$O512=$Q$7)),"x","")</f>
        <v/>
      </c>
      <c r="R512" s="87" t="str">
        <f>IF(AND($N512=$Q$7,$B512&lt;'111'!$L$11),"x","")</f>
        <v/>
      </c>
      <c r="S512" s="87" t="str">
        <f>IF(AND($O512=$Q$7,$B512&lt;'111'!$L$11),"x","")</f>
        <v/>
      </c>
      <c r="T512" s="87" t="str">
        <f>IF(ISERROR(FIND('112'!$M$9,G512,1)),"",IF((AND(FIND('112'!$M$9,G512,1)&gt;=1,B512='112'!$K$9,OR($N512='112'!$I$6,$O512='112'!$I$6))),"x",""))</f>
        <v/>
      </c>
      <c r="U512" s="87" t="str">
        <f>IF(ISERROR(FIND('112'!$M$9,G512,1)),"",IF((AND(FIND('112'!$M$9,G512,1)&gt;=1,B512&lt;'112'!$K$9,$N512='112'!$I$6)),"x",""))</f>
        <v/>
      </c>
      <c r="V512" s="87" t="str">
        <f>IF(ISERROR(FIND('112'!$M$9,G512,1)),"",IF((AND(FIND('112'!$M$9,G512,1)&gt;=1,B512&lt;'112'!$K$9,$O512='112'!$I$6)),"x",""))</f>
        <v/>
      </c>
      <c r="W512" s="87" t="str">
        <f>IF(AND($B512&gt;='1331'!$I$9,$B512&lt;='1331'!$J$9,OR($N512=$W$7,$O512=$W$7)),"x","")</f>
        <v/>
      </c>
      <c r="X512" s="87" t="str">
        <f>IF(AND($N512=$W$7,$B512&lt;'1331'!$I$9),"x","")</f>
        <v/>
      </c>
      <c r="Y512" s="87" t="str">
        <f>IF(AND($O512=$W$7,$B512&lt;'1331'!$I$9),"x","")</f>
        <v/>
      </c>
      <c r="Z512" s="87" t="str">
        <f>IF(AND('341-CT'!$H$9=H512,OR(LEFT(N512,3)=$Z$7,LEFT(O512,3)=$Z$7)),"x","")</f>
        <v/>
      </c>
      <c r="AA512" s="87" t="str">
        <f>IF(OR(TH!N512=TH!$AA$7,O512=TH!$AA$7),"x","")</f>
        <v/>
      </c>
      <c r="AB512" s="87" t="str">
        <f>IF(AND(OR(N512="131",O512="131"),H512='131-CT'!$H$9),"x","")</f>
        <v/>
      </c>
      <c r="AC512" s="87"/>
      <c r="AD512" s="87" t="str">
        <f>IF(AND(MONTH(E512)='IN-NX'!$J$5,'IN-NX'!$D$7=D512),"x","")</f>
        <v/>
      </c>
      <c r="AE512" s="87" t="str">
        <f>IF(AND(OR(LEFT(TH!N512,2)="15",LEFT(TH!O512,2)="15"),'152-CT'!$J$8=TH!F512),"x","")</f>
        <v/>
      </c>
      <c r="AF512" s="87" t="str">
        <f>IF(AND(OR(LEFT(TH!N512,2)="15",LEFT(TH!O512,2)="15"),'THE KHO'!$E$7=TH!F512),"x","")</f>
        <v/>
      </c>
      <c r="AG512" s="87" t="str">
        <f>IF(AND(N512="1521",MONTH(C512)='BK NL'!$M$11),"x","")</f>
        <v/>
      </c>
    </row>
    <row r="513" spans="1:33" s="413" customFormat="1" ht="15.75" customHeight="1">
      <c r="A513" s="399" t="str">
        <f>IF(B513&lt;&gt;"",IF(AND(B513&gt;=_TM1,B513&lt;=_TM2,OR(TH!N513="1111",TH!O513="1111")),TH!D513,""),"")</f>
        <v/>
      </c>
      <c r="B513" s="63" t="str">
        <f t="shared" si="13"/>
        <v/>
      </c>
      <c r="C513" s="64"/>
      <c r="D513" s="64"/>
      <c r="E513" s="64"/>
      <c r="F513" s="67"/>
      <c r="G513" s="376"/>
      <c r="H513" s="365"/>
      <c r="I513" s="518"/>
      <c r="J513" s="518"/>
      <c r="K513" s="509"/>
      <c r="L513" s="518"/>
      <c r="M513" s="65"/>
      <c r="N513" s="66"/>
      <c r="O513" s="66"/>
      <c r="P513" s="87" t="str">
        <f>IF(AND('331-CT'!$E$7=TH!H513,OR(N513="331",O513="331")),"x","")</f>
        <v/>
      </c>
      <c r="Q513" s="87" t="str">
        <f>IF(AND(B513='111'!$L$11,OR($N513=$Q$7,$O513=$Q$7)),"x","")</f>
        <v/>
      </c>
      <c r="R513" s="87" t="str">
        <f>IF(AND($N513=$Q$7,$B513&lt;'111'!$L$11),"x","")</f>
        <v/>
      </c>
      <c r="S513" s="87" t="str">
        <f>IF(AND($O513=$Q$7,$B513&lt;'111'!$L$11),"x","")</f>
        <v/>
      </c>
      <c r="T513" s="87" t="str">
        <f>IF(ISERROR(FIND('112'!$M$9,G513,1)),"",IF((AND(FIND('112'!$M$9,G513,1)&gt;=1,B513='112'!$K$9,OR($N513='112'!$I$6,$O513='112'!$I$6))),"x",""))</f>
        <v/>
      </c>
      <c r="U513" s="87" t="str">
        <f>IF(ISERROR(FIND('112'!$M$9,G513,1)),"",IF((AND(FIND('112'!$M$9,G513,1)&gt;=1,B513&lt;'112'!$K$9,$N513='112'!$I$6)),"x",""))</f>
        <v/>
      </c>
      <c r="V513" s="87" t="str">
        <f>IF(ISERROR(FIND('112'!$M$9,G513,1)),"",IF((AND(FIND('112'!$M$9,G513,1)&gt;=1,B513&lt;'112'!$K$9,$O513='112'!$I$6)),"x",""))</f>
        <v/>
      </c>
      <c r="W513" s="87" t="str">
        <f>IF(AND($B513&gt;='1331'!$I$9,$B513&lt;='1331'!$J$9,OR($N513=$W$7,$O513=$W$7)),"x","")</f>
        <v/>
      </c>
      <c r="X513" s="87" t="str">
        <f>IF(AND($N513=$W$7,$B513&lt;'1331'!$I$9),"x","")</f>
        <v/>
      </c>
      <c r="Y513" s="87" t="str">
        <f>IF(AND($O513=$W$7,$B513&lt;'1331'!$I$9),"x","")</f>
        <v/>
      </c>
      <c r="Z513" s="87" t="str">
        <f>IF(AND('341-CT'!$H$9=H513,OR(LEFT(N513,3)=$Z$7,LEFT(O513,3)=$Z$7)),"x","")</f>
        <v/>
      </c>
      <c r="AA513" s="87" t="str">
        <f>IF(OR(TH!N513=TH!$AA$7,O513=TH!$AA$7),"x","")</f>
        <v/>
      </c>
      <c r="AB513" s="87" t="str">
        <f>IF(AND(OR(N513="131",O513="131"),H513='131-CT'!$H$9),"x","")</f>
        <v/>
      </c>
      <c r="AC513" s="87"/>
      <c r="AD513" s="87" t="str">
        <f>IF(AND(MONTH(E513)='IN-NX'!$J$5,'IN-NX'!$D$7=D513),"x","")</f>
        <v/>
      </c>
      <c r="AE513" s="87" t="str">
        <f>IF(AND(OR(LEFT(TH!N513,2)="15",LEFT(TH!O513,2)="15"),'152-CT'!$J$8=TH!F513),"x","")</f>
        <v/>
      </c>
      <c r="AF513" s="87" t="str">
        <f>IF(AND(OR(LEFT(TH!N513,2)="15",LEFT(TH!O513,2)="15"),'THE KHO'!$E$7=TH!F513),"x","")</f>
        <v/>
      </c>
      <c r="AG513" s="87" t="str">
        <f>IF(AND(N513="1521",MONTH(C513)='BK NL'!$M$11),"x","")</f>
        <v/>
      </c>
    </row>
    <row r="514" spans="1:33" s="413" customFormat="1" ht="15.75" customHeight="1">
      <c r="A514" s="399" t="str">
        <f>IF(B514&lt;&gt;"",IF(AND(B514&gt;=_TM1,B514&lt;=_TM2,OR(TH!N514="1111",TH!O514="1111")),TH!D514,""),"")</f>
        <v/>
      </c>
      <c r="B514" s="63" t="str">
        <f t="shared" si="13"/>
        <v/>
      </c>
      <c r="C514" s="64"/>
      <c r="D514" s="64"/>
      <c r="E514" s="64"/>
      <c r="F514" s="67"/>
      <c r="G514" s="376"/>
      <c r="H514" s="365"/>
      <c r="I514" s="518"/>
      <c r="J514" s="518"/>
      <c r="K514" s="509"/>
      <c r="L514" s="518"/>
      <c r="M514" s="65"/>
      <c r="N514" s="66"/>
      <c r="O514" s="66"/>
      <c r="P514" s="87" t="str">
        <f>IF(AND('331-CT'!$E$7=TH!H514,OR(N514="331",O514="331")),"x","")</f>
        <v/>
      </c>
      <c r="Q514" s="87" t="str">
        <f>IF(AND(B514='111'!$L$11,OR($N514=$Q$7,$O514=$Q$7)),"x","")</f>
        <v/>
      </c>
      <c r="R514" s="87" t="str">
        <f>IF(AND($N514=$Q$7,$B514&lt;'111'!$L$11),"x","")</f>
        <v/>
      </c>
      <c r="S514" s="87" t="str">
        <f>IF(AND($O514=$Q$7,$B514&lt;'111'!$L$11),"x","")</f>
        <v/>
      </c>
      <c r="T514" s="87" t="str">
        <f>IF(ISERROR(FIND('112'!$M$9,G514,1)),"",IF((AND(FIND('112'!$M$9,G514,1)&gt;=1,B514='112'!$K$9,OR($N514='112'!$I$6,$O514='112'!$I$6))),"x",""))</f>
        <v/>
      </c>
      <c r="U514" s="87" t="str">
        <f>IF(ISERROR(FIND('112'!$M$9,G514,1)),"",IF((AND(FIND('112'!$M$9,G514,1)&gt;=1,B514&lt;'112'!$K$9,$N514='112'!$I$6)),"x",""))</f>
        <v/>
      </c>
      <c r="V514" s="87" t="str">
        <f>IF(ISERROR(FIND('112'!$M$9,G514,1)),"",IF((AND(FIND('112'!$M$9,G514,1)&gt;=1,B514&lt;'112'!$K$9,$O514='112'!$I$6)),"x",""))</f>
        <v/>
      </c>
      <c r="W514" s="87" t="str">
        <f>IF(AND($B514&gt;='1331'!$I$9,$B514&lt;='1331'!$J$9,OR($N514=$W$7,$O514=$W$7)),"x","")</f>
        <v/>
      </c>
      <c r="X514" s="87" t="str">
        <f>IF(AND($N514=$W$7,$B514&lt;'1331'!$I$9),"x","")</f>
        <v/>
      </c>
      <c r="Y514" s="87" t="str">
        <f>IF(AND($O514=$W$7,$B514&lt;'1331'!$I$9),"x","")</f>
        <v/>
      </c>
      <c r="Z514" s="87" t="str">
        <f>IF(AND('341-CT'!$H$9=H514,OR(LEFT(N514,3)=$Z$7,LEFT(O514,3)=$Z$7)),"x","")</f>
        <v/>
      </c>
      <c r="AA514" s="87" t="str">
        <f>IF(OR(TH!N514=TH!$AA$7,O514=TH!$AA$7),"x","")</f>
        <v/>
      </c>
      <c r="AB514" s="87" t="str">
        <f>IF(AND(OR(N514="131",O514="131"),H514='131-CT'!$H$9),"x","")</f>
        <v/>
      </c>
      <c r="AC514" s="87"/>
      <c r="AD514" s="87" t="str">
        <f>IF(AND(MONTH(E514)='IN-NX'!$J$5,'IN-NX'!$D$7=D514),"x","")</f>
        <v/>
      </c>
      <c r="AE514" s="87" t="str">
        <f>IF(AND(OR(LEFT(TH!N514,2)="15",LEFT(TH!O514,2)="15"),'152-CT'!$J$8=TH!F514),"x","")</f>
        <v/>
      </c>
      <c r="AF514" s="87" t="str">
        <f>IF(AND(OR(LEFT(TH!N514,2)="15",LEFT(TH!O514,2)="15"),'THE KHO'!$E$7=TH!F514),"x","")</f>
        <v/>
      </c>
      <c r="AG514" s="87" t="str">
        <f>IF(AND(N514="1521",MONTH(C514)='BK NL'!$M$11),"x","")</f>
        <v/>
      </c>
    </row>
    <row r="515" spans="1:33" ht="15.75" customHeight="1">
      <c r="A515" s="399" t="str">
        <f>IF(B515&lt;&gt;"",IF(AND(B515&gt;=_TM1,B515&lt;=_TM2,OR(TH!N515="1111",TH!O515="1111")),TH!D515,""),"")</f>
        <v/>
      </c>
      <c r="B515" s="63" t="str">
        <f t="shared" si="13"/>
        <v/>
      </c>
      <c r="C515" s="64"/>
      <c r="D515" s="64"/>
      <c r="E515" s="64"/>
      <c r="F515" s="67"/>
      <c r="G515" s="376"/>
      <c r="H515" s="75"/>
      <c r="I515" s="518"/>
      <c r="J515" s="518"/>
      <c r="K515" s="509"/>
      <c r="L515" s="518"/>
      <c r="M515" s="65"/>
      <c r="N515" s="66"/>
      <c r="O515" s="66"/>
      <c r="P515" s="87" t="str">
        <f>IF(AND('331-CT'!$E$7=TH!H515,OR(N515="331",O515="331")),"x","")</f>
        <v/>
      </c>
      <c r="Q515" s="87" t="str">
        <f>IF(AND(B515='111'!$L$11,OR($N515=$Q$7,$O515=$Q$7)),"x","")</f>
        <v/>
      </c>
      <c r="R515" s="87" t="str">
        <f>IF(AND($N515=$Q$7,$B515&lt;'111'!$L$11),"x","")</f>
        <v/>
      </c>
      <c r="S515" s="87" t="str">
        <f>IF(AND($O515=$Q$7,$B515&lt;'111'!$L$11),"x","")</f>
        <v/>
      </c>
      <c r="T515" s="87" t="str">
        <f>IF(ISERROR(FIND('112'!$M$9,G515,1)),"",IF((AND(FIND('112'!$M$9,G515,1)&gt;=1,B515='112'!$K$9,OR($N515='112'!$I$6,$O515='112'!$I$6))),"x",""))</f>
        <v/>
      </c>
      <c r="U515" s="87" t="str">
        <f>IF(ISERROR(FIND('112'!$M$9,G515,1)),"",IF((AND(FIND('112'!$M$9,G515,1)&gt;=1,B515&lt;'112'!$K$9,$N515='112'!$I$6)),"x",""))</f>
        <v/>
      </c>
      <c r="V515" s="87" t="str">
        <f>IF(ISERROR(FIND('112'!$M$9,G515,1)),"",IF((AND(FIND('112'!$M$9,G515,1)&gt;=1,B515&lt;'112'!$K$9,$O515='112'!$I$6)),"x",""))</f>
        <v/>
      </c>
      <c r="W515" s="87" t="str">
        <f>IF(AND($B515&gt;='1331'!$I$9,$B515&lt;='1331'!$J$9,OR($N515=$W$7,$O515=$W$7)),"x","")</f>
        <v/>
      </c>
      <c r="X515" s="87" t="str">
        <f>IF(AND($N515=$W$7,$B515&lt;'1331'!$I$9),"x","")</f>
        <v/>
      </c>
      <c r="Y515" s="87" t="str">
        <f>IF(AND($O515=$W$7,$B515&lt;'1331'!$I$9),"x","")</f>
        <v/>
      </c>
      <c r="Z515" s="87" t="str">
        <f>IF(AND('341-CT'!$H$9=H515,OR(LEFT(N515,3)=$Z$7,LEFT(O515,3)=$Z$7)),"x","")</f>
        <v/>
      </c>
      <c r="AA515" s="87" t="str">
        <f>IF(OR(TH!N515=TH!$AA$7,O515=TH!$AA$7),"x","")</f>
        <v/>
      </c>
      <c r="AB515" s="87" t="str">
        <f>IF(AND(OR(N515="131",O515="131"),H515='131-CT'!$H$9),"x","")</f>
        <v/>
      </c>
      <c r="AC515" s="87"/>
      <c r="AD515" s="87" t="str">
        <f>IF(AND(MONTH(E515)='IN-NX'!$J$5,'IN-NX'!$D$7=D515),"x","")</f>
        <v/>
      </c>
      <c r="AE515" s="87" t="str">
        <f>IF(AND(OR(LEFT(TH!N515,2)="15",LEFT(TH!O515,2)="15"),'152-CT'!$J$8=TH!F515),"x","")</f>
        <v/>
      </c>
      <c r="AF515" s="87" t="str">
        <f>IF(AND(OR(LEFT(TH!N515,2)="15",LEFT(TH!O515,2)="15"),'THE KHO'!$E$7=TH!F515),"x","")</f>
        <v/>
      </c>
      <c r="AG515" s="87" t="str">
        <f>IF(AND(N515="1521",MONTH(C515)='BK NL'!$M$11),"x","")</f>
        <v/>
      </c>
    </row>
    <row r="516" spans="1:33" ht="15.75" customHeight="1">
      <c r="A516" s="399" t="str">
        <f>IF(B516&lt;&gt;"",IF(AND(B516&gt;=_TM1,B516&lt;=_TM2,OR(TH!N516="1111",TH!O516="1111")),TH!D516,""),"")</f>
        <v/>
      </c>
      <c r="B516" s="63" t="str">
        <f t="shared" si="13"/>
        <v/>
      </c>
      <c r="C516" s="64"/>
      <c r="D516" s="64"/>
      <c r="E516" s="64"/>
      <c r="F516" s="67"/>
      <c r="G516" s="376"/>
      <c r="H516" s="75"/>
      <c r="I516" s="518"/>
      <c r="J516" s="518"/>
      <c r="K516" s="509"/>
      <c r="L516" s="518"/>
      <c r="M516" s="65"/>
      <c r="N516" s="66"/>
      <c r="O516" s="66"/>
      <c r="P516" s="87" t="str">
        <f>IF(AND('331-CT'!$E$7=TH!H516,OR(N516="331",O516="331")),"x","")</f>
        <v/>
      </c>
      <c r="Q516" s="87" t="str">
        <f>IF(AND(B516='111'!$L$11,OR($N516=$Q$7,$O516=$Q$7)),"x","")</f>
        <v/>
      </c>
      <c r="R516" s="87" t="str">
        <f>IF(AND($N516=$Q$7,$B516&lt;'111'!$L$11),"x","")</f>
        <v/>
      </c>
      <c r="S516" s="87" t="str">
        <f>IF(AND($O516=$Q$7,$B516&lt;'111'!$L$11),"x","")</f>
        <v/>
      </c>
      <c r="T516" s="87" t="str">
        <f>IF(ISERROR(FIND('112'!$M$9,G516,1)),"",IF((AND(FIND('112'!$M$9,G516,1)&gt;=1,B516='112'!$K$9,OR($N516='112'!$I$6,$O516='112'!$I$6))),"x",""))</f>
        <v/>
      </c>
      <c r="U516" s="87" t="str">
        <f>IF(ISERROR(FIND('112'!$M$9,G516,1)),"",IF((AND(FIND('112'!$M$9,G516,1)&gt;=1,B516&lt;'112'!$K$9,$N516='112'!$I$6)),"x",""))</f>
        <v/>
      </c>
      <c r="V516" s="87" t="str">
        <f>IF(ISERROR(FIND('112'!$M$9,G516,1)),"",IF((AND(FIND('112'!$M$9,G516,1)&gt;=1,B516&lt;'112'!$K$9,$O516='112'!$I$6)),"x",""))</f>
        <v/>
      </c>
      <c r="W516" s="87" t="str">
        <f>IF(AND($B516&gt;='1331'!$I$9,$B516&lt;='1331'!$J$9,OR($N516=$W$7,$O516=$W$7)),"x","")</f>
        <v/>
      </c>
      <c r="X516" s="87" t="str">
        <f>IF(AND($N516=$W$7,$B516&lt;'1331'!$I$9),"x","")</f>
        <v/>
      </c>
      <c r="Y516" s="87" t="str">
        <f>IF(AND($O516=$W$7,$B516&lt;'1331'!$I$9),"x","")</f>
        <v/>
      </c>
      <c r="Z516" s="87" t="str">
        <f>IF(AND('341-CT'!$H$9=H516,OR(LEFT(N516,3)=$Z$7,LEFT(O516,3)=$Z$7)),"x","")</f>
        <v/>
      </c>
      <c r="AA516" s="87" t="str">
        <f>IF(OR(TH!N516=TH!$AA$7,O516=TH!$AA$7),"x","")</f>
        <v/>
      </c>
      <c r="AB516" s="87" t="str">
        <f>IF(AND(OR(N516="131",O516="131"),H516='131-CT'!$H$9),"x","")</f>
        <v/>
      </c>
      <c r="AC516" s="87"/>
      <c r="AD516" s="87" t="str">
        <f>IF(AND(MONTH(E516)='IN-NX'!$J$5,'IN-NX'!$D$7=D516),"x","")</f>
        <v/>
      </c>
      <c r="AE516" s="87" t="str">
        <f>IF(AND(OR(LEFT(TH!N516,2)="15",LEFT(TH!O516,2)="15"),'152-CT'!$J$8=TH!F516),"x","")</f>
        <v/>
      </c>
      <c r="AF516" s="87" t="str">
        <f>IF(AND(OR(LEFT(TH!N516,2)="15",LEFT(TH!O516,2)="15"),'THE KHO'!$E$7=TH!F516),"x","")</f>
        <v/>
      </c>
      <c r="AG516" s="87" t="str">
        <f>IF(AND(N516="1521",MONTH(C516)='BK NL'!$M$11),"x","")</f>
        <v/>
      </c>
    </row>
    <row r="517" spans="1:33" ht="15.75" customHeight="1">
      <c r="A517" s="399" t="str">
        <f>IF(B517&lt;&gt;"",IF(AND(B517&gt;=_TM1,B517&lt;=_TM2,OR(TH!N517="1111",TH!O517="1111")),TH!D517,""),"")</f>
        <v/>
      </c>
      <c r="B517" s="97" t="str">
        <f t="shared" si="13"/>
        <v/>
      </c>
      <c r="C517" s="383"/>
      <c r="D517" s="64"/>
      <c r="E517" s="383"/>
      <c r="F517" s="384"/>
      <c r="G517" s="385"/>
      <c r="H517" s="386"/>
      <c r="I517" s="524"/>
      <c r="J517" s="524"/>
      <c r="K517" s="515"/>
      <c r="L517" s="524"/>
      <c r="M517" s="101"/>
      <c r="N517" s="387"/>
      <c r="O517" s="387"/>
      <c r="P517" s="87" t="str">
        <f>IF(AND('331-CT'!$E$7=TH!H517,OR(N517="331",O517="331")),"x","")</f>
        <v/>
      </c>
      <c r="Q517" s="87" t="str">
        <f>IF(AND(B517='111'!$L$11,OR($N517=$Q$7,$O517=$Q$7)),"x","")</f>
        <v/>
      </c>
      <c r="R517" s="87" t="str">
        <f>IF(AND($N517=$Q$7,$B517&lt;'111'!$L$11),"x","")</f>
        <v/>
      </c>
      <c r="S517" s="87" t="str">
        <f>IF(AND($O517=$Q$7,$B517&lt;'111'!$L$11),"x","")</f>
        <v/>
      </c>
      <c r="T517" s="87" t="str">
        <f>IF(ISERROR(FIND('112'!$M$9,G517,1)),"",IF((AND(FIND('112'!$M$9,G517,1)&gt;=1,B517='112'!$K$9,OR($N517='112'!$I$6,$O517='112'!$I$6))),"x",""))</f>
        <v/>
      </c>
      <c r="U517" s="87" t="str">
        <f>IF(ISERROR(FIND('112'!$M$9,G517,1)),"",IF((AND(FIND('112'!$M$9,G517,1)&gt;=1,B517&lt;'112'!$K$9,$N517='112'!$I$6)),"x",""))</f>
        <v/>
      </c>
      <c r="V517" s="87" t="str">
        <f>IF(ISERROR(FIND('112'!$M$9,G517,1)),"",IF((AND(FIND('112'!$M$9,G517,1)&gt;=1,B517&lt;'112'!$K$9,$O517='112'!$I$6)),"x",""))</f>
        <v/>
      </c>
      <c r="W517" s="87" t="str">
        <f>IF(AND($B517&gt;='1331'!$I$9,$B517&lt;='1331'!$J$9,OR($N517=$W$7,$O517=$W$7)),"x","")</f>
        <v/>
      </c>
      <c r="X517" s="87" t="str">
        <f>IF(AND($N517=$W$7,$B517&lt;'1331'!$I$9),"x","")</f>
        <v/>
      </c>
      <c r="Y517" s="87" t="str">
        <f>IF(AND($O517=$W$7,$B517&lt;'1331'!$I$9),"x","")</f>
        <v/>
      </c>
      <c r="Z517" s="87" t="str">
        <f>IF(AND('341-CT'!$H$9=H517,OR(LEFT(N517,3)=$Z$7,LEFT(O517,3)=$Z$7)),"x","")</f>
        <v/>
      </c>
      <c r="AA517" s="87" t="str">
        <f>IF(OR(TH!N517=TH!$AA$7,O517=TH!$AA$7),"x","")</f>
        <v/>
      </c>
      <c r="AB517" s="87" t="str">
        <f>IF(AND(OR(N517="131",O517="131"),H517='131-CT'!$H$9),"x","")</f>
        <v/>
      </c>
      <c r="AC517" s="87"/>
      <c r="AD517" s="87" t="str">
        <f>IF(AND(MONTH(E517)='IN-NX'!$J$5,'IN-NX'!$D$7=D517),"x","")</f>
        <v/>
      </c>
      <c r="AE517" s="87" t="str">
        <f>IF(AND(OR(LEFT(TH!N517,2)="15",LEFT(TH!O517,2)="15"),'152-CT'!$J$8=TH!F517),"x","")</f>
        <v/>
      </c>
      <c r="AF517" s="87" t="str">
        <f>IF(AND(OR(LEFT(TH!N517,2)="15",LEFT(TH!O517,2)="15"),'THE KHO'!$E$7=TH!F517),"x","")</f>
        <v/>
      </c>
      <c r="AG517" s="87" t="str">
        <f>IF(AND(N517="1521",MONTH(C517)='BK NL'!$M$11),"x","")</f>
        <v/>
      </c>
    </row>
    <row r="518" spans="1:33" ht="15.75" customHeight="1">
      <c r="A518" s="399" t="str">
        <f>IF(B518&lt;&gt;"",IF(AND(B518&gt;=_TM1,B518&lt;=_TM2,OR(TH!N518="1111",TH!O518="1111")),TH!D518,""),"")</f>
        <v/>
      </c>
      <c r="B518" s="97" t="str">
        <f t="shared" si="13"/>
        <v/>
      </c>
      <c r="C518" s="383"/>
      <c r="D518" s="64"/>
      <c r="E518" s="383"/>
      <c r="F518" s="384"/>
      <c r="G518" s="385"/>
      <c r="H518" s="386"/>
      <c r="I518" s="524"/>
      <c r="J518" s="524"/>
      <c r="K518" s="515"/>
      <c r="L518" s="524"/>
      <c r="M518" s="101"/>
      <c r="N518" s="387"/>
      <c r="O518" s="387"/>
      <c r="P518" s="87" t="str">
        <f>IF(AND('331-CT'!$E$7=TH!H518,OR(N518="331",O518="331")),"x","")</f>
        <v/>
      </c>
      <c r="Q518" s="87" t="str">
        <f>IF(AND(B518='111'!$L$11,OR($N518=$Q$7,$O518=$Q$7)),"x","")</f>
        <v/>
      </c>
      <c r="R518" s="87" t="str">
        <f>IF(AND($N518=$Q$7,$B518&lt;'111'!$L$11),"x","")</f>
        <v/>
      </c>
      <c r="S518" s="87" t="str">
        <f>IF(AND($O518=$Q$7,$B518&lt;'111'!$L$11),"x","")</f>
        <v/>
      </c>
      <c r="T518" s="87" t="str">
        <f>IF(ISERROR(FIND('112'!$M$9,G518,1)),"",IF((AND(FIND('112'!$M$9,G518,1)&gt;=1,B518='112'!$K$9,OR($N518='112'!$I$6,$O518='112'!$I$6))),"x",""))</f>
        <v/>
      </c>
      <c r="U518" s="87" t="str">
        <f>IF(ISERROR(FIND('112'!$M$9,G518,1)),"",IF((AND(FIND('112'!$M$9,G518,1)&gt;=1,B518&lt;'112'!$K$9,$N518='112'!$I$6)),"x",""))</f>
        <v/>
      </c>
      <c r="V518" s="87" t="str">
        <f>IF(ISERROR(FIND('112'!$M$9,G518,1)),"",IF((AND(FIND('112'!$M$9,G518,1)&gt;=1,B518&lt;'112'!$K$9,$O518='112'!$I$6)),"x",""))</f>
        <v/>
      </c>
      <c r="W518" s="87" t="str">
        <f>IF(AND($B518&gt;='1331'!$I$9,$B518&lt;='1331'!$J$9,OR($N518=$W$7,$O518=$W$7)),"x","")</f>
        <v/>
      </c>
      <c r="X518" s="87" t="str">
        <f>IF(AND($N518=$W$7,$B518&lt;'1331'!$I$9),"x","")</f>
        <v/>
      </c>
      <c r="Y518" s="87" t="str">
        <f>IF(AND($O518=$W$7,$B518&lt;'1331'!$I$9),"x","")</f>
        <v/>
      </c>
      <c r="Z518" s="87" t="str">
        <f>IF(AND('341-CT'!$H$9=H518,OR(LEFT(N518,3)=$Z$7,LEFT(O518,3)=$Z$7)),"x","")</f>
        <v/>
      </c>
      <c r="AA518" s="87" t="str">
        <f>IF(OR(TH!N518=TH!$AA$7,O518=TH!$AA$7),"x","")</f>
        <v/>
      </c>
      <c r="AB518" s="87" t="str">
        <f>IF(AND(OR(N518="131",O518="131"),H518='131-CT'!$H$9),"x","")</f>
        <v/>
      </c>
      <c r="AC518" s="87"/>
      <c r="AD518" s="87" t="str">
        <f>IF(AND(MONTH(E518)='IN-NX'!$J$5,'IN-NX'!$D$7=D518),"x","")</f>
        <v/>
      </c>
      <c r="AE518" s="87" t="str">
        <f>IF(AND(OR(LEFT(TH!N518,2)="15",LEFT(TH!O518,2)="15"),'152-CT'!$J$8=TH!F518),"x","")</f>
        <v/>
      </c>
      <c r="AF518" s="87" t="str">
        <f>IF(AND(OR(LEFT(TH!N518,2)="15",LEFT(TH!O518,2)="15"),'THE KHO'!$E$7=TH!F518),"x","")</f>
        <v/>
      </c>
      <c r="AG518" s="87" t="str">
        <f>IF(AND(N518="1521",MONTH(C518)='BK NL'!$M$11),"x","")</f>
        <v/>
      </c>
    </row>
    <row r="519" spans="1:33" ht="15.75" customHeight="1">
      <c r="A519" s="399" t="str">
        <f>IF(B519&lt;&gt;"",IF(AND(B519&gt;=_TM1,B519&lt;=_TM2,OR(TH!N519="1111",TH!O519="1111")),TH!D519,""),"")</f>
        <v/>
      </c>
      <c r="B519" s="82" t="str">
        <f t="shared" si="13"/>
        <v/>
      </c>
      <c r="C519" s="83"/>
      <c r="D519" s="83"/>
      <c r="E519" s="83"/>
      <c r="F519" s="84"/>
      <c r="G519" s="378"/>
      <c r="H519" s="367"/>
      <c r="I519" s="516"/>
      <c r="J519" s="516"/>
      <c r="K519" s="507"/>
      <c r="L519" s="516"/>
      <c r="M519" s="86"/>
      <c r="N519" s="87"/>
      <c r="O519" s="87"/>
      <c r="P519" s="87" t="str">
        <f>IF(AND('331-CT'!$E$7=TH!H519,OR(N519="331",O519="331")),"x","")</f>
        <v/>
      </c>
      <c r="Q519" s="87" t="str">
        <f>IF(AND(B519='111'!$L$11,OR($N519=$Q$7,$O519=$Q$7)),"x","")</f>
        <v/>
      </c>
      <c r="R519" s="87" t="str">
        <f>IF(AND($N519=$Q$7,$B519&lt;'111'!$L$11),"x","")</f>
        <v/>
      </c>
      <c r="S519" s="87" t="str">
        <f>IF(AND($O519=$Q$7,$B519&lt;'111'!$L$11),"x","")</f>
        <v/>
      </c>
      <c r="T519" s="87" t="str">
        <f>IF(ISERROR(FIND('112'!$M$9,G519,1)),"",IF((AND(FIND('112'!$M$9,G519,1)&gt;=1,B519='112'!$K$9,OR($N519='112'!$I$6,$O519='112'!$I$6))),"x",""))</f>
        <v/>
      </c>
      <c r="U519" s="87" t="str">
        <f>IF(ISERROR(FIND('112'!$M$9,G519,1)),"",IF((AND(FIND('112'!$M$9,G519,1)&gt;=1,B519&lt;'112'!$K$9,$N519='112'!$I$6)),"x",""))</f>
        <v/>
      </c>
      <c r="V519" s="87" t="str">
        <f>IF(ISERROR(FIND('112'!$M$9,G519,1)),"",IF((AND(FIND('112'!$M$9,G519,1)&gt;=1,B519&lt;'112'!$K$9,$O519='112'!$I$6)),"x",""))</f>
        <v/>
      </c>
      <c r="W519" s="87" t="str">
        <f>IF(AND($B519&gt;='1331'!$I$9,$B519&lt;='1331'!$J$9,OR($N519=$W$7,$O519=$W$7)),"x","")</f>
        <v/>
      </c>
      <c r="X519" s="87" t="str">
        <f>IF(AND($N519=$W$7,$B519&lt;'1331'!$I$9),"x","")</f>
        <v/>
      </c>
      <c r="Y519" s="87" t="str">
        <f>IF(AND($O519=$W$7,$B519&lt;'1331'!$I$9),"x","")</f>
        <v/>
      </c>
      <c r="Z519" s="87" t="str">
        <f>IF(AND('341-CT'!$H$9=H519,OR(LEFT(N519,3)=$Z$7,LEFT(O519,3)=$Z$7)),"x","")</f>
        <v/>
      </c>
      <c r="AA519" s="87" t="str">
        <f>IF(OR(TH!N519=TH!$AA$7,O519=TH!$AA$7),"x","")</f>
        <v/>
      </c>
      <c r="AB519" s="87" t="str">
        <f>IF(AND(OR(N519="131",O519="131"),H519='131-CT'!$H$9),"x","")</f>
        <v/>
      </c>
      <c r="AC519" s="87"/>
      <c r="AD519" s="87" t="str">
        <f>IF(AND(MONTH(E519)='IN-NX'!$J$5,'IN-NX'!$D$7=D519),"x","")</f>
        <v/>
      </c>
      <c r="AE519" s="87" t="str">
        <f>IF(AND(OR(LEFT(TH!N519,2)="15",LEFT(TH!O519,2)="15"),'152-CT'!$J$8=TH!F519),"x","")</f>
        <v/>
      </c>
      <c r="AF519" s="87" t="str">
        <f>IF(AND(OR(LEFT(TH!N519,2)="15",LEFT(TH!O519,2)="15"),'THE KHO'!$E$7=TH!F519),"x","")</f>
        <v/>
      </c>
      <c r="AG519" s="87" t="str">
        <f>IF(AND(N519="1521",MONTH(C519)='BK NL'!$M$11),"x","")</f>
        <v/>
      </c>
    </row>
    <row r="520" spans="1:33" ht="15.75" customHeight="1">
      <c r="A520" s="399" t="str">
        <f>IF(B520&lt;&gt;"",IF(AND(B520&gt;=_TM1,B520&lt;=_TM2,OR(TH!N520="1111",TH!O520="1111")),TH!D520,""),"")</f>
        <v/>
      </c>
      <c r="B520" s="63" t="str">
        <f t="shared" si="13"/>
        <v/>
      </c>
      <c r="C520" s="64"/>
      <c r="D520" s="64"/>
      <c r="E520" s="64"/>
      <c r="F520" s="67"/>
      <c r="G520" s="362"/>
      <c r="H520" s="75"/>
      <c r="I520" s="518"/>
      <c r="J520" s="518"/>
      <c r="K520" s="509"/>
      <c r="L520" s="518"/>
      <c r="M520" s="65"/>
      <c r="N520" s="66"/>
      <c r="O520" s="66"/>
      <c r="P520" s="87" t="str">
        <f>IF(AND('331-CT'!$E$7=TH!H520,OR(N520="331",O520="331")),"x","")</f>
        <v/>
      </c>
      <c r="Q520" s="87" t="str">
        <f>IF(AND(B520='111'!$L$11,OR($N520=$Q$7,$O520=$Q$7)),"x","")</f>
        <v/>
      </c>
      <c r="R520" s="87" t="str">
        <f>IF(AND($N520=$Q$7,$B520&lt;'111'!$L$11),"x","")</f>
        <v/>
      </c>
      <c r="S520" s="87" t="str">
        <f>IF(AND($O520=$Q$7,$B520&lt;'111'!$L$11),"x","")</f>
        <v/>
      </c>
      <c r="T520" s="87" t="str">
        <f>IF(ISERROR(FIND('112'!$M$9,G520,1)),"",IF((AND(FIND('112'!$M$9,G520,1)&gt;=1,B520='112'!$K$9,OR($N520='112'!$I$6,$O520='112'!$I$6))),"x",""))</f>
        <v/>
      </c>
      <c r="U520" s="87" t="str">
        <f>IF(ISERROR(FIND('112'!$M$9,G520,1)),"",IF((AND(FIND('112'!$M$9,G520,1)&gt;=1,B520&lt;'112'!$K$9,$N520='112'!$I$6)),"x",""))</f>
        <v/>
      </c>
      <c r="V520" s="87" t="str">
        <f>IF(ISERROR(FIND('112'!$M$9,G520,1)),"",IF((AND(FIND('112'!$M$9,G520,1)&gt;=1,B520&lt;'112'!$K$9,$O520='112'!$I$6)),"x",""))</f>
        <v/>
      </c>
      <c r="W520" s="87" t="str">
        <f>IF(AND($B520&gt;='1331'!$I$9,$B520&lt;='1331'!$J$9,OR($N520=$W$7,$O520=$W$7)),"x","")</f>
        <v/>
      </c>
      <c r="X520" s="87" t="str">
        <f>IF(AND($N520=$W$7,$B520&lt;'1331'!$I$9),"x","")</f>
        <v/>
      </c>
      <c r="Y520" s="87" t="str">
        <f>IF(AND($O520=$W$7,$B520&lt;'1331'!$I$9),"x","")</f>
        <v/>
      </c>
      <c r="Z520" s="87" t="str">
        <f>IF(AND('341-CT'!$H$9=H520,OR(LEFT(N520,3)=$Z$7,LEFT(O520,3)=$Z$7)),"x","")</f>
        <v/>
      </c>
      <c r="AA520" s="87" t="str">
        <f>IF(OR(TH!N520=TH!$AA$7,O520=TH!$AA$7),"x","")</f>
        <v/>
      </c>
      <c r="AB520" s="87" t="str">
        <f>IF(AND(OR(N520="131",O520="131"),H520='131-CT'!$H$9),"x","")</f>
        <v/>
      </c>
      <c r="AC520" s="87"/>
      <c r="AD520" s="87" t="str">
        <f>IF(AND(MONTH(E520)='IN-NX'!$J$5,'IN-NX'!$D$7=D520),"x","")</f>
        <v/>
      </c>
      <c r="AE520" s="87" t="str">
        <f>IF(AND(OR(LEFT(TH!N520,2)="15",LEFT(TH!O520,2)="15"),'152-CT'!$J$8=TH!F520),"x","")</f>
        <v/>
      </c>
      <c r="AF520" s="87" t="str">
        <f>IF(AND(OR(LEFT(TH!N520,2)="15",LEFT(TH!O520,2)="15"),'THE KHO'!$E$7=TH!F520),"x","")</f>
        <v/>
      </c>
      <c r="AG520" s="87" t="str">
        <f>IF(AND(N520="1521",MONTH(C520)='BK NL'!$M$11),"x","")</f>
        <v/>
      </c>
    </row>
    <row r="521" spans="1:33" ht="15.75" customHeight="1">
      <c r="A521" s="399" t="str">
        <f>IF(B521&lt;&gt;"",IF(AND(B521&gt;=_TM1,B521&lt;=_TM2,OR(TH!N521="1111",TH!O521="1111")),TH!D521,""),"")</f>
        <v/>
      </c>
      <c r="B521" s="63" t="str">
        <f t="shared" si="13"/>
        <v/>
      </c>
      <c r="C521" s="64"/>
      <c r="D521" s="64"/>
      <c r="E521" s="64"/>
      <c r="F521" s="67"/>
      <c r="G521" s="362"/>
      <c r="H521" s="75"/>
      <c r="I521" s="518"/>
      <c r="J521" s="518"/>
      <c r="K521" s="509"/>
      <c r="L521" s="518"/>
      <c r="M521" s="65"/>
      <c r="N521" s="66"/>
      <c r="O521" s="66"/>
      <c r="P521" s="87" t="str">
        <f>IF(AND('331-CT'!$E$7=TH!H521,OR(N521="331",O521="331")),"x","")</f>
        <v/>
      </c>
      <c r="Q521" s="87" t="str">
        <f>IF(AND(B521='111'!$L$11,OR($N521=$Q$7,$O521=$Q$7)),"x","")</f>
        <v/>
      </c>
      <c r="R521" s="87" t="str">
        <f>IF(AND($N521=$Q$7,$B521&lt;'111'!$L$11),"x","")</f>
        <v/>
      </c>
      <c r="S521" s="87" t="str">
        <f>IF(AND($O521=$Q$7,$B521&lt;'111'!$L$11),"x","")</f>
        <v/>
      </c>
      <c r="T521" s="87" t="str">
        <f>IF(ISERROR(FIND('112'!$M$9,G521,1)),"",IF((AND(FIND('112'!$M$9,G521,1)&gt;=1,B521='112'!$K$9,OR($N521='112'!$I$6,$O521='112'!$I$6))),"x",""))</f>
        <v/>
      </c>
      <c r="U521" s="87" t="str">
        <f>IF(ISERROR(FIND('112'!$M$9,G521,1)),"",IF((AND(FIND('112'!$M$9,G521,1)&gt;=1,B521&lt;'112'!$K$9,$N521='112'!$I$6)),"x",""))</f>
        <v/>
      </c>
      <c r="V521" s="87" t="str">
        <f>IF(ISERROR(FIND('112'!$M$9,G521,1)),"",IF((AND(FIND('112'!$M$9,G521,1)&gt;=1,B521&lt;'112'!$K$9,$O521='112'!$I$6)),"x",""))</f>
        <v/>
      </c>
      <c r="W521" s="87" t="str">
        <f>IF(AND($B521&gt;='1331'!$I$9,$B521&lt;='1331'!$J$9,OR($N521=$W$7,$O521=$W$7)),"x","")</f>
        <v/>
      </c>
      <c r="X521" s="87" t="str">
        <f>IF(AND($N521=$W$7,$B521&lt;'1331'!$I$9),"x","")</f>
        <v/>
      </c>
      <c r="Y521" s="87" t="str">
        <f>IF(AND($O521=$W$7,$B521&lt;'1331'!$I$9),"x","")</f>
        <v/>
      </c>
      <c r="Z521" s="87" t="str">
        <f>IF(AND('341-CT'!$H$9=H521,OR(LEFT(N521,3)=$Z$7,LEFT(O521,3)=$Z$7)),"x","")</f>
        <v/>
      </c>
      <c r="AA521" s="87" t="str">
        <f>IF(OR(TH!N521=TH!$AA$7,O521=TH!$AA$7),"x","")</f>
        <v/>
      </c>
      <c r="AB521" s="87" t="str">
        <f>IF(AND(OR(N521="131",O521="131"),H521='131-CT'!$H$9),"x","")</f>
        <v/>
      </c>
      <c r="AC521" s="87"/>
      <c r="AD521" s="87" t="str">
        <f>IF(AND(MONTH(E521)='IN-NX'!$J$5,'IN-NX'!$D$7=D521),"x","")</f>
        <v/>
      </c>
      <c r="AE521" s="87" t="str">
        <f>IF(AND(OR(LEFT(TH!N521,2)="15",LEFT(TH!O521,2)="15"),'152-CT'!$J$8=TH!F521),"x","")</f>
        <v/>
      </c>
      <c r="AF521" s="87" t="str">
        <f>IF(AND(OR(LEFT(TH!N521,2)="15",LEFT(TH!O521,2)="15"),'THE KHO'!$E$7=TH!F521),"x","")</f>
        <v/>
      </c>
      <c r="AG521" s="87" t="str">
        <f>IF(AND(N521="1521",MONTH(C521)='BK NL'!$M$11),"x","")</f>
        <v/>
      </c>
    </row>
    <row r="522" spans="1:33" ht="15.75" customHeight="1">
      <c r="A522" s="399" t="str">
        <f>IF(B522&lt;&gt;"",IF(AND(B522&gt;=_TM1,B522&lt;=_TM2,OR(TH!N522="1111",TH!O522="1111")),TH!D522,""),"")</f>
        <v/>
      </c>
      <c r="B522" s="63" t="str">
        <f t="shared" si="13"/>
        <v/>
      </c>
      <c r="C522" s="64"/>
      <c r="D522" s="64"/>
      <c r="E522" s="64"/>
      <c r="F522" s="67"/>
      <c r="G522" s="362"/>
      <c r="H522" s="75"/>
      <c r="I522" s="518"/>
      <c r="J522" s="518"/>
      <c r="K522" s="509"/>
      <c r="L522" s="518"/>
      <c r="M522" s="65"/>
      <c r="N522" s="66"/>
      <c r="O522" s="66"/>
      <c r="P522" s="87" t="str">
        <f>IF(AND('331-CT'!$E$7=TH!H522,OR(N522="331",O522="331")),"x","")</f>
        <v/>
      </c>
      <c r="Q522" s="87" t="str">
        <f>IF(AND(B522='111'!$L$11,OR($N522=$Q$7,$O522=$Q$7)),"x","")</f>
        <v/>
      </c>
      <c r="R522" s="87" t="str">
        <f>IF(AND($N522=$Q$7,$B522&lt;'111'!$L$11),"x","")</f>
        <v/>
      </c>
      <c r="S522" s="87" t="str">
        <f>IF(AND($O522=$Q$7,$B522&lt;'111'!$L$11),"x","")</f>
        <v/>
      </c>
      <c r="T522" s="87" t="str">
        <f>IF(ISERROR(FIND('112'!$M$9,G522,1)),"",IF((AND(FIND('112'!$M$9,G522,1)&gt;=1,B522='112'!$K$9,OR($N522='112'!$I$6,$O522='112'!$I$6))),"x",""))</f>
        <v/>
      </c>
      <c r="U522" s="87" t="str">
        <f>IF(ISERROR(FIND('112'!$M$9,G522,1)),"",IF((AND(FIND('112'!$M$9,G522,1)&gt;=1,B522&lt;'112'!$K$9,$N522='112'!$I$6)),"x",""))</f>
        <v/>
      </c>
      <c r="V522" s="87" t="str">
        <f>IF(ISERROR(FIND('112'!$M$9,G522,1)),"",IF((AND(FIND('112'!$M$9,G522,1)&gt;=1,B522&lt;'112'!$K$9,$O522='112'!$I$6)),"x",""))</f>
        <v/>
      </c>
      <c r="W522" s="87" t="str">
        <f>IF(AND($B522&gt;='1331'!$I$9,$B522&lt;='1331'!$J$9,OR($N522=$W$7,$O522=$W$7)),"x","")</f>
        <v/>
      </c>
      <c r="X522" s="87" t="str">
        <f>IF(AND($N522=$W$7,$B522&lt;'1331'!$I$9),"x","")</f>
        <v/>
      </c>
      <c r="Y522" s="87" t="str">
        <f>IF(AND($O522=$W$7,$B522&lt;'1331'!$I$9),"x","")</f>
        <v/>
      </c>
      <c r="Z522" s="87" t="str">
        <f>IF(AND('341-CT'!$H$9=H522,OR(LEFT(N522,3)=$Z$7,LEFT(O522,3)=$Z$7)),"x","")</f>
        <v/>
      </c>
      <c r="AA522" s="87" t="str">
        <f>IF(OR(TH!N522=TH!$AA$7,O522=TH!$AA$7),"x","")</f>
        <v/>
      </c>
      <c r="AB522" s="87" t="str">
        <f>IF(AND(OR(N522="131",O522="131"),H522='131-CT'!$H$9),"x","")</f>
        <v/>
      </c>
      <c r="AC522" s="87"/>
      <c r="AD522" s="87" t="str">
        <f>IF(AND(MONTH(E522)='IN-NX'!$J$5,'IN-NX'!$D$7=D522),"x","")</f>
        <v/>
      </c>
      <c r="AE522" s="87" t="str">
        <f>IF(AND(OR(LEFT(TH!N522,2)="15",LEFT(TH!O522,2)="15"),'152-CT'!$J$8=TH!F522),"x","")</f>
        <v/>
      </c>
      <c r="AF522" s="87" t="str">
        <f>IF(AND(OR(LEFT(TH!N522,2)="15",LEFT(TH!O522,2)="15"),'THE KHO'!$E$7=TH!F522),"x","")</f>
        <v/>
      </c>
      <c r="AG522" s="87" t="str">
        <f>IF(AND(N522="1521",MONTH(C522)='BK NL'!$M$11),"x","")</f>
        <v/>
      </c>
    </row>
    <row r="523" spans="1:33" ht="15.75" customHeight="1">
      <c r="A523" s="399" t="str">
        <f>IF(B523&lt;&gt;"",IF(AND(B523&gt;=_TM1,B523&lt;=_TM2,OR(TH!N523="1111",TH!O523="1111")),TH!D523,""),"")</f>
        <v/>
      </c>
      <c r="B523" s="63" t="str">
        <f t="shared" si="13"/>
        <v/>
      </c>
      <c r="C523" s="64"/>
      <c r="D523" s="64"/>
      <c r="E523" s="64"/>
      <c r="F523" s="67"/>
      <c r="G523" s="362"/>
      <c r="H523" s="75"/>
      <c r="I523" s="518"/>
      <c r="J523" s="518"/>
      <c r="K523" s="509"/>
      <c r="L523" s="518"/>
      <c r="M523" s="65"/>
      <c r="N523" s="66"/>
      <c r="O523" s="66"/>
      <c r="P523" s="87" t="str">
        <f>IF(AND('331-CT'!$E$7=TH!H523,OR(N523="331",O523="331")),"x","")</f>
        <v/>
      </c>
      <c r="Q523" s="87" t="str">
        <f>IF(AND(B523='111'!$L$11,OR($N523=$Q$7,$O523=$Q$7)),"x","")</f>
        <v/>
      </c>
      <c r="R523" s="87" t="str">
        <f>IF(AND($N523=$Q$7,$B523&lt;'111'!$L$11),"x","")</f>
        <v/>
      </c>
      <c r="S523" s="87" t="str">
        <f>IF(AND($O523=$Q$7,$B523&lt;'111'!$L$11),"x","")</f>
        <v/>
      </c>
      <c r="T523" s="87" t="str">
        <f>IF(ISERROR(FIND('112'!$M$9,G523,1)),"",IF((AND(FIND('112'!$M$9,G523,1)&gt;=1,B523='112'!$K$9,OR($N523='112'!$I$6,$O523='112'!$I$6))),"x",""))</f>
        <v/>
      </c>
      <c r="U523" s="87" t="str">
        <f>IF(ISERROR(FIND('112'!$M$9,G523,1)),"",IF((AND(FIND('112'!$M$9,G523,1)&gt;=1,B523&lt;'112'!$K$9,$N523='112'!$I$6)),"x",""))</f>
        <v/>
      </c>
      <c r="V523" s="87" t="str">
        <f>IF(ISERROR(FIND('112'!$M$9,G523,1)),"",IF((AND(FIND('112'!$M$9,G523,1)&gt;=1,B523&lt;'112'!$K$9,$O523='112'!$I$6)),"x",""))</f>
        <v/>
      </c>
      <c r="W523" s="87" t="str">
        <f>IF(AND($B523&gt;='1331'!$I$9,$B523&lt;='1331'!$J$9,OR($N523=$W$7,$O523=$W$7)),"x","")</f>
        <v/>
      </c>
      <c r="X523" s="87" t="str">
        <f>IF(AND($N523=$W$7,$B523&lt;'1331'!$I$9),"x","")</f>
        <v/>
      </c>
      <c r="Y523" s="87" t="str">
        <f>IF(AND($O523=$W$7,$B523&lt;'1331'!$I$9),"x","")</f>
        <v/>
      </c>
      <c r="Z523" s="87" t="str">
        <f>IF(AND('341-CT'!$H$9=H523,OR(LEFT(N523,3)=$Z$7,LEFT(O523,3)=$Z$7)),"x","")</f>
        <v/>
      </c>
      <c r="AA523" s="87" t="str">
        <f>IF(OR(TH!N523=TH!$AA$7,O523=TH!$AA$7),"x","")</f>
        <v/>
      </c>
      <c r="AB523" s="87" t="str">
        <f>IF(AND(OR(N523="131",O523="131"),H523='131-CT'!$H$9),"x","")</f>
        <v/>
      </c>
      <c r="AC523" s="87"/>
      <c r="AD523" s="87" t="str">
        <f>IF(AND(MONTH(E523)='IN-NX'!$J$5,'IN-NX'!$D$7=D523),"x","")</f>
        <v/>
      </c>
      <c r="AE523" s="87" t="str">
        <f>IF(AND(OR(LEFT(TH!N523,2)="15",LEFT(TH!O523,2)="15"),'152-CT'!$J$8=TH!F523),"x","")</f>
        <v/>
      </c>
      <c r="AF523" s="87" t="str">
        <f>IF(AND(OR(LEFT(TH!N523,2)="15",LEFT(TH!O523,2)="15"),'THE KHO'!$E$7=TH!F523),"x","")</f>
        <v/>
      </c>
      <c r="AG523" s="87" t="str">
        <f>IF(AND(N523="1521",MONTH(C523)='BK NL'!$M$11),"x","")</f>
        <v/>
      </c>
    </row>
    <row r="524" spans="1:33" ht="15.75" customHeight="1">
      <c r="A524" s="399" t="str">
        <f>IF(B524&lt;&gt;"",IF(AND(B524&gt;=_TM1,B524&lt;=_TM2,OR(TH!N524="1111",TH!O524="1111")),TH!D524,""),"")</f>
        <v/>
      </c>
      <c r="B524" s="63" t="str">
        <f t="shared" si="13"/>
        <v/>
      </c>
      <c r="C524" s="64"/>
      <c r="D524" s="64"/>
      <c r="E524" s="64"/>
      <c r="F524" s="67"/>
      <c r="G524" s="362"/>
      <c r="H524" s="75"/>
      <c r="I524" s="518"/>
      <c r="J524" s="518"/>
      <c r="K524" s="509"/>
      <c r="L524" s="518"/>
      <c r="M524" s="65"/>
      <c r="N524" s="66"/>
      <c r="O524" s="66"/>
      <c r="P524" s="87" t="str">
        <f>IF(AND('331-CT'!$E$7=TH!H524,OR(N524="331",O524="331")),"x","")</f>
        <v/>
      </c>
      <c r="Q524" s="87" t="str">
        <f>IF(AND(B524='111'!$L$11,OR($N524=$Q$7,$O524=$Q$7)),"x","")</f>
        <v/>
      </c>
      <c r="R524" s="87" t="str">
        <f>IF(AND($N524=$Q$7,$B524&lt;'111'!$L$11),"x","")</f>
        <v/>
      </c>
      <c r="S524" s="87" t="str">
        <f>IF(AND($O524=$Q$7,$B524&lt;'111'!$L$11),"x","")</f>
        <v/>
      </c>
      <c r="T524" s="87" t="str">
        <f>IF(ISERROR(FIND('112'!$M$9,G524,1)),"",IF((AND(FIND('112'!$M$9,G524,1)&gt;=1,B524='112'!$K$9,OR($N524='112'!$I$6,$O524='112'!$I$6))),"x",""))</f>
        <v/>
      </c>
      <c r="U524" s="87" t="str">
        <f>IF(ISERROR(FIND('112'!$M$9,G524,1)),"",IF((AND(FIND('112'!$M$9,G524,1)&gt;=1,B524&lt;'112'!$K$9,$N524='112'!$I$6)),"x",""))</f>
        <v/>
      </c>
      <c r="V524" s="87" t="str">
        <f>IF(ISERROR(FIND('112'!$M$9,G524,1)),"",IF((AND(FIND('112'!$M$9,G524,1)&gt;=1,B524&lt;'112'!$K$9,$O524='112'!$I$6)),"x",""))</f>
        <v/>
      </c>
      <c r="W524" s="87" t="str">
        <f>IF(AND($B524&gt;='1331'!$I$9,$B524&lt;='1331'!$J$9,OR($N524=$W$7,$O524=$W$7)),"x","")</f>
        <v/>
      </c>
      <c r="X524" s="87" t="str">
        <f>IF(AND($N524=$W$7,$B524&lt;'1331'!$I$9),"x","")</f>
        <v/>
      </c>
      <c r="Y524" s="87" t="str">
        <f>IF(AND($O524=$W$7,$B524&lt;'1331'!$I$9),"x","")</f>
        <v/>
      </c>
      <c r="Z524" s="87" t="str">
        <f>IF(AND('341-CT'!$H$9=H524,OR(LEFT(N524,3)=$Z$7,LEFT(O524,3)=$Z$7)),"x","")</f>
        <v/>
      </c>
      <c r="AA524" s="87" t="str">
        <f>IF(OR(TH!N524=TH!$AA$7,O524=TH!$AA$7),"x","")</f>
        <v/>
      </c>
      <c r="AB524" s="87" t="str">
        <f>IF(AND(OR(N524="131",O524="131"),H524='131-CT'!$H$9),"x","")</f>
        <v/>
      </c>
      <c r="AC524" s="87"/>
      <c r="AD524" s="87" t="str">
        <f>IF(AND(MONTH(E524)='IN-NX'!$J$5,'IN-NX'!$D$7=D524),"x","")</f>
        <v/>
      </c>
      <c r="AE524" s="87" t="str">
        <f>IF(AND(OR(LEFT(TH!N524,2)="15",LEFT(TH!O524,2)="15"),'152-CT'!$J$8=TH!F524),"x","")</f>
        <v/>
      </c>
      <c r="AF524" s="87" t="str">
        <f>IF(AND(OR(LEFT(TH!N524,2)="15",LEFT(TH!O524,2)="15"),'THE KHO'!$E$7=TH!F524),"x","")</f>
        <v/>
      </c>
      <c r="AG524" s="87" t="str">
        <f>IF(AND(N524="1521",MONTH(C524)='BK NL'!$M$11),"x","")</f>
        <v/>
      </c>
    </row>
    <row r="525" spans="1:33" ht="15.75" customHeight="1">
      <c r="A525" s="399" t="str">
        <f>IF(B525&lt;&gt;"",IF(AND(B525&gt;=_TM1,B525&lt;=_TM2,OR(TH!N525="1111",TH!O525="1111")),TH!D525,""),"")</f>
        <v/>
      </c>
      <c r="B525" s="63" t="str">
        <f t="shared" si="13"/>
        <v/>
      </c>
      <c r="C525" s="64"/>
      <c r="D525" s="64"/>
      <c r="E525" s="64"/>
      <c r="F525" s="67"/>
      <c r="G525" s="362"/>
      <c r="H525" s="75"/>
      <c r="I525" s="518"/>
      <c r="J525" s="518"/>
      <c r="K525" s="509"/>
      <c r="L525" s="518"/>
      <c r="M525" s="65"/>
      <c r="N525" s="66"/>
      <c r="O525" s="66"/>
      <c r="P525" s="87" t="str">
        <f>IF(AND('331-CT'!$E$7=TH!H525,OR(N525="331",O525="331")),"x","")</f>
        <v/>
      </c>
      <c r="Q525" s="87" t="str">
        <f>IF(AND(B525='111'!$L$11,OR($N525=$Q$7,$O525=$Q$7)),"x","")</f>
        <v/>
      </c>
      <c r="R525" s="87" t="str">
        <f>IF(AND($N525=$Q$7,$B525&lt;'111'!$L$11),"x","")</f>
        <v/>
      </c>
      <c r="S525" s="87" t="str">
        <f>IF(AND($O525=$Q$7,$B525&lt;'111'!$L$11),"x","")</f>
        <v/>
      </c>
      <c r="T525" s="87" t="str">
        <f>IF(ISERROR(FIND('112'!$M$9,G525,1)),"",IF((AND(FIND('112'!$M$9,G525,1)&gt;=1,B525='112'!$K$9,OR($N525='112'!$I$6,$O525='112'!$I$6))),"x",""))</f>
        <v/>
      </c>
      <c r="U525" s="87" t="str">
        <f>IF(ISERROR(FIND('112'!$M$9,G525,1)),"",IF((AND(FIND('112'!$M$9,G525,1)&gt;=1,B525&lt;'112'!$K$9,$N525='112'!$I$6)),"x",""))</f>
        <v/>
      </c>
      <c r="V525" s="87" t="str">
        <f>IF(ISERROR(FIND('112'!$M$9,G525,1)),"",IF((AND(FIND('112'!$M$9,G525,1)&gt;=1,B525&lt;'112'!$K$9,$O525='112'!$I$6)),"x",""))</f>
        <v/>
      </c>
      <c r="W525" s="87" t="str">
        <f>IF(AND($B525&gt;='1331'!$I$9,$B525&lt;='1331'!$J$9,OR($N525=$W$7,$O525=$W$7)),"x","")</f>
        <v/>
      </c>
      <c r="X525" s="87" t="str">
        <f>IF(AND($N525=$W$7,$B525&lt;'1331'!$I$9),"x","")</f>
        <v/>
      </c>
      <c r="Y525" s="87" t="str">
        <f>IF(AND($O525=$W$7,$B525&lt;'1331'!$I$9),"x","")</f>
        <v/>
      </c>
      <c r="Z525" s="87" t="str">
        <f>IF(AND('341-CT'!$H$9=H525,OR(LEFT(N525,3)=$Z$7,LEFT(O525,3)=$Z$7)),"x","")</f>
        <v/>
      </c>
      <c r="AA525" s="87" t="str">
        <f>IF(OR(TH!N525=TH!$AA$7,O525=TH!$AA$7),"x","")</f>
        <v/>
      </c>
      <c r="AB525" s="87" t="str">
        <f>IF(AND(OR(N525="131",O525="131"),H525='131-CT'!$H$9),"x","")</f>
        <v/>
      </c>
      <c r="AC525" s="87"/>
      <c r="AD525" s="87" t="str">
        <f>IF(AND(MONTH(E525)='IN-NX'!$J$5,'IN-NX'!$D$7=D525),"x","")</f>
        <v/>
      </c>
      <c r="AE525" s="87" t="str">
        <f>IF(AND(OR(LEFT(TH!N525,2)="15",LEFT(TH!O525,2)="15"),'152-CT'!$J$8=TH!F525),"x","")</f>
        <v/>
      </c>
      <c r="AF525" s="87" t="str">
        <f>IF(AND(OR(LEFT(TH!N525,2)="15",LEFT(TH!O525,2)="15"),'THE KHO'!$E$7=TH!F525),"x","")</f>
        <v/>
      </c>
      <c r="AG525" s="87" t="str">
        <f>IF(AND(N525="1521",MONTH(C525)='BK NL'!$M$11),"x","")</f>
        <v/>
      </c>
    </row>
    <row r="526" spans="1:33" ht="15.75" customHeight="1">
      <c r="A526" s="399" t="str">
        <f>IF(B526&lt;&gt;"",IF(AND(B526&gt;=_TM1,B526&lt;=_TM2,OR(TH!N526="1111",TH!O526="1111")),TH!D526,""),"")</f>
        <v/>
      </c>
      <c r="B526" s="63" t="str">
        <f t="shared" si="13"/>
        <v/>
      </c>
      <c r="C526" s="64"/>
      <c r="D526" s="64"/>
      <c r="E526" s="64"/>
      <c r="F526" s="67"/>
      <c r="G526" s="362"/>
      <c r="H526" s="75"/>
      <c r="I526" s="518"/>
      <c r="J526" s="518"/>
      <c r="K526" s="509"/>
      <c r="L526" s="518"/>
      <c r="M526" s="65"/>
      <c r="N526" s="66"/>
      <c r="O526" s="66"/>
      <c r="P526" s="87" t="str">
        <f>IF(AND('331-CT'!$E$7=TH!H526,OR(N526="331",O526="331")),"x","")</f>
        <v/>
      </c>
      <c r="Q526" s="87" t="str">
        <f>IF(AND(B526='111'!$L$11,OR($N526=$Q$7,$O526=$Q$7)),"x","")</f>
        <v/>
      </c>
      <c r="R526" s="87" t="str">
        <f>IF(AND($N526=$Q$7,$B526&lt;'111'!$L$11),"x","")</f>
        <v/>
      </c>
      <c r="S526" s="87" t="str">
        <f>IF(AND($O526=$Q$7,$B526&lt;'111'!$L$11),"x","")</f>
        <v/>
      </c>
      <c r="T526" s="87" t="str">
        <f>IF(ISERROR(FIND('112'!$M$9,G526,1)),"",IF((AND(FIND('112'!$M$9,G526,1)&gt;=1,B526='112'!$K$9,OR($N526='112'!$I$6,$O526='112'!$I$6))),"x",""))</f>
        <v/>
      </c>
      <c r="U526" s="87" t="str">
        <f>IF(ISERROR(FIND('112'!$M$9,G526,1)),"",IF((AND(FIND('112'!$M$9,G526,1)&gt;=1,B526&lt;'112'!$K$9,$N526='112'!$I$6)),"x",""))</f>
        <v/>
      </c>
      <c r="V526" s="87" t="str">
        <f>IF(ISERROR(FIND('112'!$M$9,G526,1)),"",IF((AND(FIND('112'!$M$9,G526,1)&gt;=1,B526&lt;'112'!$K$9,$O526='112'!$I$6)),"x",""))</f>
        <v/>
      </c>
      <c r="W526" s="87" t="str">
        <f>IF(AND($B526&gt;='1331'!$I$9,$B526&lt;='1331'!$J$9,OR($N526=$W$7,$O526=$W$7)),"x","")</f>
        <v/>
      </c>
      <c r="X526" s="87" t="str">
        <f>IF(AND($N526=$W$7,$B526&lt;'1331'!$I$9),"x","")</f>
        <v/>
      </c>
      <c r="Y526" s="87" t="str">
        <f>IF(AND($O526=$W$7,$B526&lt;'1331'!$I$9),"x","")</f>
        <v/>
      </c>
      <c r="Z526" s="87" t="str">
        <f>IF(AND('341-CT'!$H$9=H526,OR(LEFT(N526,3)=$Z$7,LEFT(O526,3)=$Z$7)),"x","")</f>
        <v/>
      </c>
      <c r="AA526" s="87" t="str">
        <f>IF(OR(TH!N526=TH!$AA$7,O526=TH!$AA$7),"x","")</f>
        <v/>
      </c>
      <c r="AB526" s="87" t="str">
        <f>IF(AND(OR(N526="131",O526="131"),H526='131-CT'!$H$9),"x","")</f>
        <v/>
      </c>
      <c r="AC526" s="87"/>
      <c r="AD526" s="87" t="str">
        <f>IF(AND(MONTH(E526)='IN-NX'!$J$5,'IN-NX'!$D$7=D526),"x","")</f>
        <v/>
      </c>
      <c r="AE526" s="87" t="str">
        <f>IF(AND(OR(LEFT(TH!N526,2)="15",LEFT(TH!O526,2)="15"),'152-CT'!$J$8=TH!F526),"x","")</f>
        <v/>
      </c>
      <c r="AF526" s="87" t="str">
        <f>IF(AND(OR(LEFT(TH!N526,2)="15",LEFT(TH!O526,2)="15"),'THE KHO'!$E$7=TH!F526),"x","")</f>
        <v/>
      </c>
      <c r="AG526" s="87" t="str">
        <f>IF(AND(N526="1521",MONTH(C526)='BK NL'!$M$11),"x","")</f>
        <v/>
      </c>
    </row>
    <row r="527" spans="1:33" ht="15.75" customHeight="1">
      <c r="A527" s="399" t="str">
        <f>IF(B527&lt;&gt;"",IF(AND(B527&gt;=_TM1,B527&lt;=_TM2,OR(TH!N527="1111",TH!O527="1111")),TH!D527,""),"")</f>
        <v/>
      </c>
      <c r="B527" s="63" t="str">
        <f t="shared" si="13"/>
        <v/>
      </c>
      <c r="C527" s="64"/>
      <c r="D527" s="64"/>
      <c r="E527" s="64"/>
      <c r="F527" s="67"/>
      <c r="G527" s="362"/>
      <c r="H527" s="75"/>
      <c r="I527" s="518"/>
      <c r="J527" s="518"/>
      <c r="K527" s="509"/>
      <c r="L527" s="518"/>
      <c r="M527" s="65"/>
      <c r="N527" s="66"/>
      <c r="O527" s="66"/>
      <c r="P527" s="87" t="str">
        <f>IF(AND('331-CT'!$E$7=TH!H527,OR(N527="331",O527="331")),"x","")</f>
        <v/>
      </c>
      <c r="Q527" s="87" t="str">
        <f>IF(AND(B527='111'!$L$11,OR($N527=$Q$7,$O527=$Q$7)),"x","")</f>
        <v/>
      </c>
      <c r="R527" s="87" t="str">
        <f>IF(AND($N527=$Q$7,$B527&lt;'111'!$L$11),"x","")</f>
        <v/>
      </c>
      <c r="S527" s="87" t="str">
        <f>IF(AND($O527=$Q$7,$B527&lt;'111'!$L$11),"x","")</f>
        <v/>
      </c>
      <c r="T527" s="87" t="str">
        <f>IF(ISERROR(FIND('112'!$M$9,G527,1)),"",IF((AND(FIND('112'!$M$9,G527,1)&gt;=1,B527='112'!$K$9,OR($N527='112'!$I$6,$O527='112'!$I$6))),"x",""))</f>
        <v/>
      </c>
      <c r="U527" s="87" t="str">
        <f>IF(ISERROR(FIND('112'!$M$9,G527,1)),"",IF((AND(FIND('112'!$M$9,G527,1)&gt;=1,B527&lt;'112'!$K$9,$N527='112'!$I$6)),"x",""))</f>
        <v/>
      </c>
      <c r="V527" s="87" t="str">
        <f>IF(ISERROR(FIND('112'!$M$9,G527,1)),"",IF((AND(FIND('112'!$M$9,G527,1)&gt;=1,B527&lt;'112'!$K$9,$O527='112'!$I$6)),"x",""))</f>
        <v/>
      </c>
      <c r="W527" s="87" t="str">
        <f>IF(AND($B527&gt;='1331'!$I$9,$B527&lt;='1331'!$J$9,OR($N527=$W$7,$O527=$W$7)),"x","")</f>
        <v/>
      </c>
      <c r="X527" s="87" t="str">
        <f>IF(AND($N527=$W$7,$B527&lt;'1331'!$I$9),"x","")</f>
        <v/>
      </c>
      <c r="Y527" s="87" t="str">
        <f>IF(AND($O527=$W$7,$B527&lt;'1331'!$I$9),"x","")</f>
        <v/>
      </c>
      <c r="Z527" s="87" t="str">
        <f>IF(AND('341-CT'!$H$9=H527,OR(LEFT(N527,3)=$Z$7,LEFT(O527,3)=$Z$7)),"x","")</f>
        <v/>
      </c>
      <c r="AA527" s="87" t="str">
        <f>IF(OR(TH!N527=TH!$AA$7,O527=TH!$AA$7),"x","")</f>
        <v/>
      </c>
      <c r="AB527" s="87" t="str">
        <f>IF(AND(OR(N527="131",O527="131"),H527='131-CT'!$H$9),"x","")</f>
        <v/>
      </c>
      <c r="AC527" s="87"/>
      <c r="AD527" s="87" t="str">
        <f>IF(AND(MONTH(E527)='IN-NX'!$J$5,'IN-NX'!$D$7=D527),"x","")</f>
        <v/>
      </c>
      <c r="AE527" s="87" t="str">
        <f>IF(AND(OR(LEFT(TH!N527,2)="15",LEFT(TH!O527,2)="15"),'152-CT'!$J$8=TH!F527),"x","")</f>
        <v/>
      </c>
      <c r="AF527" s="87" t="str">
        <f>IF(AND(OR(LEFT(TH!N527,2)="15",LEFT(TH!O527,2)="15"),'THE KHO'!$E$7=TH!F527),"x","")</f>
        <v/>
      </c>
      <c r="AG527" s="87" t="str">
        <f>IF(AND(N527="1521",MONTH(C527)='BK NL'!$M$11),"x","")</f>
        <v/>
      </c>
    </row>
    <row r="528" spans="1:33" ht="15.75" customHeight="1">
      <c r="A528" s="399" t="str">
        <f>IF(B528&lt;&gt;"",IF(AND(B528&gt;=_TM1,B528&lt;=_TM2,OR(TH!N528="1111",TH!O528="1111")),TH!D528,""),"")</f>
        <v/>
      </c>
      <c r="B528" s="63" t="str">
        <f t="shared" si="13"/>
        <v/>
      </c>
      <c r="C528" s="64"/>
      <c r="D528" s="64"/>
      <c r="E528" s="64"/>
      <c r="F528" s="67"/>
      <c r="G528" s="362"/>
      <c r="H528" s="75"/>
      <c r="I528" s="518"/>
      <c r="J528" s="518"/>
      <c r="K528" s="509"/>
      <c r="L528" s="518"/>
      <c r="M528" s="65"/>
      <c r="N528" s="66"/>
      <c r="O528" s="66"/>
      <c r="P528" s="87" t="str">
        <f>IF(AND('331-CT'!$E$7=TH!H528,OR(N528="331",O528="331")),"x","")</f>
        <v/>
      </c>
      <c r="Q528" s="87" t="str">
        <f>IF(AND(B528='111'!$L$11,OR($N528=$Q$7,$O528=$Q$7)),"x","")</f>
        <v/>
      </c>
      <c r="R528" s="87" t="str">
        <f>IF(AND($N528=$Q$7,$B528&lt;'111'!$L$11),"x","")</f>
        <v/>
      </c>
      <c r="S528" s="87" t="str">
        <f>IF(AND($O528=$Q$7,$B528&lt;'111'!$L$11),"x","")</f>
        <v/>
      </c>
      <c r="T528" s="87" t="str">
        <f>IF(ISERROR(FIND('112'!$M$9,G528,1)),"",IF((AND(FIND('112'!$M$9,G528,1)&gt;=1,B528='112'!$K$9,OR($N528='112'!$I$6,$O528='112'!$I$6))),"x",""))</f>
        <v/>
      </c>
      <c r="U528" s="87" t="str">
        <f>IF(ISERROR(FIND('112'!$M$9,G528,1)),"",IF((AND(FIND('112'!$M$9,G528,1)&gt;=1,B528&lt;'112'!$K$9,$N528='112'!$I$6)),"x",""))</f>
        <v/>
      </c>
      <c r="V528" s="87" t="str">
        <f>IF(ISERROR(FIND('112'!$M$9,G528,1)),"",IF((AND(FIND('112'!$M$9,G528,1)&gt;=1,B528&lt;'112'!$K$9,$O528='112'!$I$6)),"x",""))</f>
        <v/>
      </c>
      <c r="W528" s="87" t="str">
        <f>IF(AND($B528&gt;='1331'!$I$9,$B528&lt;='1331'!$J$9,OR($N528=$W$7,$O528=$W$7)),"x","")</f>
        <v/>
      </c>
      <c r="X528" s="87" t="str">
        <f>IF(AND($N528=$W$7,$B528&lt;'1331'!$I$9),"x","")</f>
        <v/>
      </c>
      <c r="Y528" s="87" t="str">
        <f>IF(AND($O528=$W$7,$B528&lt;'1331'!$I$9),"x","")</f>
        <v/>
      </c>
      <c r="Z528" s="87" t="str">
        <f>IF(AND('341-CT'!$H$9=H528,OR(LEFT(N528,3)=$Z$7,LEFT(O528,3)=$Z$7)),"x","")</f>
        <v/>
      </c>
      <c r="AA528" s="87" t="str">
        <f>IF(OR(TH!N528=TH!$AA$7,O528=TH!$AA$7),"x","")</f>
        <v/>
      </c>
      <c r="AB528" s="87" t="str">
        <f>IF(AND(OR(N528="131",O528="131"),H528='131-CT'!$H$9),"x","")</f>
        <v/>
      </c>
      <c r="AC528" s="87"/>
      <c r="AD528" s="87" t="str">
        <f>IF(AND(MONTH(E528)='IN-NX'!$J$5,'IN-NX'!$D$7=D528),"x","")</f>
        <v/>
      </c>
      <c r="AE528" s="87" t="str">
        <f>IF(AND(OR(LEFT(TH!N528,2)="15",LEFT(TH!O528,2)="15"),'152-CT'!$J$8=TH!F528),"x","")</f>
        <v/>
      </c>
      <c r="AF528" s="87" t="str">
        <f>IF(AND(OR(LEFT(TH!N528,2)="15",LEFT(TH!O528,2)="15"),'THE KHO'!$E$7=TH!F528),"x","")</f>
        <v/>
      </c>
      <c r="AG528" s="87" t="str">
        <f>IF(AND(N528="1521",MONTH(C528)='BK NL'!$M$11),"x","")</f>
        <v/>
      </c>
    </row>
    <row r="529" spans="1:33" ht="15.75" customHeight="1">
      <c r="A529" s="399" t="str">
        <f>IF(B529&lt;&gt;"",IF(AND(B529&gt;=_TM1,B529&lt;=_TM2,OR(TH!N529="1111",TH!O529="1111")),TH!D529,""),"")</f>
        <v/>
      </c>
      <c r="B529" s="63" t="str">
        <f t="shared" si="13"/>
        <v/>
      </c>
      <c r="C529" s="64"/>
      <c r="D529" s="64"/>
      <c r="E529" s="64"/>
      <c r="F529" s="67"/>
      <c r="G529" s="362"/>
      <c r="H529" s="75"/>
      <c r="I529" s="518"/>
      <c r="J529" s="518"/>
      <c r="K529" s="509"/>
      <c r="L529" s="518"/>
      <c r="M529" s="65"/>
      <c r="N529" s="66"/>
      <c r="O529" s="66"/>
      <c r="P529" s="87" t="str">
        <f>IF(AND('331-CT'!$E$7=TH!H529,OR(N529="331",O529="331")),"x","")</f>
        <v/>
      </c>
      <c r="Q529" s="87" t="str">
        <f>IF(AND(B529='111'!$L$11,OR($N529=$Q$7,$O529=$Q$7)),"x","")</f>
        <v/>
      </c>
      <c r="R529" s="87" t="str">
        <f>IF(AND($N529=$Q$7,$B529&lt;'111'!$L$11),"x","")</f>
        <v/>
      </c>
      <c r="S529" s="87" t="str">
        <f>IF(AND($O529=$Q$7,$B529&lt;'111'!$L$11),"x","")</f>
        <v/>
      </c>
      <c r="T529" s="87" t="str">
        <f>IF(ISERROR(FIND('112'!$M$9,G529,1)),"",IF((AND(FIND('112'!$M$9,G529,1)&gt;=1,B529='112'!$K$9,OR($N529='112'!$I$6,$O529='112'!$I$6))),"x",""))</f>
        <v/>
      </c>
      <c r="U529" s="87" t="str">
        <f>IF(ISERROR(FIND('112'!$M$9,G529,1)),"",IF((AND(FIND('112'!$M$9,G529,1)&gt;=1,B529&lt;'112'!$K$9,$N529='112'!$I$6)),"x",""))</f>
        <v/>
      </c>
      <c r="V529" s="87" t="str">
        <f>IF(ISERROR(FIND('112'!$M$9,G529,1)),"",IF((AND(FIND('112'!$M$9,G529,1)&gt;=1,B529&lt;'112'!$K$9,$O529='112'!$I$6)),"x",""))</f>
        <v/>
      </c>
      <c r="W529" s="87" t="str">
        <f>IF(AND($B529&gt;='1331'!$I$9,$B529&lt;='1331'!$J$9,OR($N529=$W$7,$O529=$W$7)),"x","")</f>
        <v/>
      </c>
      <c r="X529" s="87" t="str">
        <f>IF(AND($N529=$W$7,$B529&lt;'1331'!$I$9),"x","")</f>
        <v/>
      </c>
      <c r="Y529" s="87" t="str">
        <f>IF(AND($O529=$W$7,$B529&lt;'1331'!$I$9),"x","")</f>
        <v/>
      </c>
      <c r="Z529" s="87" t="str">
        <f>IF(AND('341-CT'!$H$9=H529,OR(LEFT(N529,3)=$Z$7,LEFT(O529,3)=$Z$7)),"x","")</f>
        <v/>
      </c>
      <c r="AA529" s="87" t="str">
        <f>IF(OR(TH!N529=TH!$AA$7,O529=TH!$AA$7),"x","")</f>
        <v/>
      </c>
      <c r="AB529" s="87" t="str">
        <f>IF(AND(OR(N529="131",O529="131"),H529='131-CT'!$H$9),"x","")</f>
        <v/>
      </c>
      <c r="AC529" s="87"/>
      <c r="AD529" s="87" t="str">
        <f>IF(AND(MONTH(E529)='IN-NX'!$J$5,'IN-NX'!$D$7=D529),"x","")</f>
        <v/>
      </c>
      <c r="AE529" s="87" t="str">
        <f>IF(AND(OR(LEFT(TH!N529,2)="15",LEFT(TH!O529,2)="15"),'152-CT'!$J$8=TH!F529),"x","")</f>
        <v/>
      </c>
      <c r="AF529" s="87" t="str">
        <f>IF(AND(OR(LEFT(TH!N529,2)="15",LEFT(TH!O529,2)="15"),'THE KHO'!$E$7=TH!F529),"x","")</f>
        <v/>
      </c>
      <c r="AG529" s="87" t="str">
        <f>IF(AND(N529="1521",MONTH(C529)='BK NL'!$M$11),"x","")</f>
        <v/>
      </c>
    </row>
    <row r="530" spans="1:33" ht="15.75" customHeight="1">
      <c r="A530" s="399" t="str">
        <f>IF(B530&lt;&gt;"",IF(AND(B530&gt;=_TM1,B530&lt;=_TM2,OR(TH!N530="1111",TH!O530="1111")),TH!D530,""),"")</f>
        <v/>
      </c>
      <c r="B530" s="63" t="str">
        <f t="shared" si="13"/>
        <v/>
      </c>
      <c r="C530" s="64"/>
      <c r="D530" s="64"/>
      <c r="E530" s="64"/>
      <c r="F530" s="67"/>
      <c r="G530" s="376"/>
      <c r="H530" s="75"/>
      <c r="I530" s="518"/>
      <c r="J530" s="518"/>
      <c r="K530" s="509"/>
      <c r="L530" s="518"/>
      <c r="M530" s="65"/>
      <c r="N530" s="66"/>
      <c r="O530" s="66"/>
      <c r="P530" s="87" t="str">
        <f>IF(AND('331-CT'!$E$7=TH!H530,OR(N530="331",O530="331")),"x","")</f>
        <v/>
      </c>
      <c r="Q530" s="87" t="str">
        <f>IF(AND(B530='111'!$L$11,OR($N530=$Q$7,$O530=$Q$7)),"x","")</f>
        <v/>
      </c>
      <c r="R530" s="87" t="str">
        <f>IF(AND($N530=$Q$7,$B530&lt;'111'!$L$11),"x","")</f>
        <v/>
      </c>
      <c r="S530" s="87" t="str">
        <f>IF(AND($O530=$Q$7,$B530&lt;'111'!$L$11),"x","")</f>
        <v/>
      </c>
      <c r="T530" s="87" t="str">
        <f>IF(ISERROR(FIND('112'!$M$9,G530,1)),"",IF((AND(FIND('112'!$M$9,G530,1)&gt;=1,B530='112'!$K$9,OR($N530='112'!$I$6,$O530='112'!$I$6))),"x",""))</f>
        <v/>
      </c>
      <c r="U530" s="87" t="str">
        <f>IF(ISERROR(FIND('112'!$M$9,G530,1)),"",IF((AND(FIND('112'!$M$9,G530,1)&gt;=1,B530&lt;'112'!$K$9,$N530='112'!$I$6)),"x",""))</f>
        <v/>
      </c>
      <c r="V530" s="87" t="str">
        <f>IF(ISERROR(FIND('112'!$M$9,G530,1)),"",IF((AND(FIND('112'!$M$9,G530,1)&gt;=1,B530&lt;'112'!$K$9,$O530='112'!$I$6)),"x",""))</f>
        <v/>
      </c>
      <c r="W530" s="87" t="str">
        <f>IF(AND($B530&gt;='1331'!$I$9,$B530&lt;='1331'!$J$9,OR($N530=$W$7,$O530=$W$7)),"x","")</f>
        <v/>
      </c>
      <c r="X530" s="87" t="str">
        <f>IF(AND($N530=$W$7,$B530&lt;'1331'!$I$9),"x","")</f>
        <v/>
      </c>
      <c r="Y530" s="87" t="str">
        <f>IF(AND($O530=$W$7,$B530&lt;'1331'!$I$9),"x","")</f>
        <v/>
      </c>
      <c r="Z530" s="87" t="str">
        <f>IF(AND('341-CT'!$H$9=H530,OR(LEFT(N530,3)=$Z$7,LEFT(O530,3)=$Z$7)),"x","")</f>
        <v/>
      </c>
      <c r="AA530" s="87" t="str">
        <f>IF(OR(TH!N530=TH!$AA$7,O530=TH!$AA$7),"x","")</f>
        <v/>
      </c>
      <c r="AB530" s="87" t="str">
        <f>IF(AND(OR(N530="131",O530="131"),H530='131-CT'!$H$9),"x","")</f>
        <v/>
      </c>
      <c r="AC530" s="87"/>
      <c r="AD530" s="87" t="str">
        <f>IF(AND(MONTH(E530)='IN-NX'!$J$5,'IN-NX'!$D$7=D530),"x","")</f>
        <v/>
      </c>
      <c r="AE530" s="87" t="str">
        <f>IF(AND(OR(LEFT(TH!N530,2)="15",LEFT(TH!O530,2)="15"),'152-CT'!$J$8=TH!F530),"x","")</f>
        <v/>
      </c>
      <c r="AF530" s="87" t="str">
        <f>IF(AND(OR(LEFT(TH!N530,2)="15",LEFT(TH!O530,2)="15"),'THE KHO'!$E$7=TH!F530),"x","")</f>
        <v/>
      </c>
      <c r="AG530" s="87" t="str">
        <f>IF(AND(N530="1521",MONTH(C530)='BK NL'!$M$11),"x","")</f>
        <v/>
      </c>
    </row>
    <row r="531" spans="1:33" ht="15.75" customHeight="1">
      <c r="A531" s="399" t="str">
        <f>IF(B531&lt;&gt;"",IF(AND(B531&gt;=_TM1,B531&lt;=_TM2,OR(TH!N531="1111",TH!O531="1111")),TH!D531,""),"")</f>
        <v/>
      </c>
      <c r="B531" s="63" t="str">
        <f t="shared" si="13"/>
        <v/>
      </c>
      <c r="C531" s="64"/>
      <c r="D531" s="64"/>
      <c r="E531" s="64"/>
      <c r="F531" s="67"/>
      <c r="G531" s="376"/>
      <c r="H531" s="75"/>
      <c r="I531" s="518"/>
      <c r="J531" s="518"/>
      <c r="K531" s="509"/>
      <c r="L531" s="518"/>
      <c r="M531" s="65"/>
      <c r="N531" s="66"/>
      <c r="O531" s="66"/>
      <c r="P531" s="87" t="str">
        <f>IF(AND('331-CT'!$E$7=TH!H531,OR(N531="331",O531="331")),"x","")</f>
        <v/>
      </c>
      <c r="Q531" s="87" t="str">
        <f>IF(AND(B531='111'!$L$11,OR($N531=$Q$7,$O531=$Q$7)),"x","")</f>
        <v/>
      </c>
      <c r="R531" s="87" t="str">
        <f>IF(AND($N531=$Q$7,$B531&lt;'111'!$L$11),"x","")</f>
        <v/>
      </c>
      <c r="S531" s="87" t="str">
        <f>IF(AND($O531=$Q$7,$B531&lt;'111'!$L$11),"x","")</f>
        <v/>
      </c>
      <c r="T531" s="87" t="str">
        <f>IF(ISERROR(FIND('112'!$M$9,G531,1)),"",IF((AND(FIND('112'!$M$9,G531,1)&gt;=1,B531='112'!$K$9,OR($N531='112'!$I$6,$O531='112'!$I$6))),"x",""))</f>
        <v/>
      </c>
      <c r="U531" s="87" t="str">
        <f>IF(ISERROR(FIND('112'!$M$9,G531,1)),"",IF((AND(FIND('112'!$M$9,G531,1)&gt;=1,B531&lt;'112'!$K$9,$N531='112'!$I$6)),"x",""))</f>
        <v/>
      </c>
      <c r="V531" s="87" t="str">
        <f>IF(ISERROR(FIND('112'!$M$9,G531,1)),"",IF((AND(FIND('112'!$M$9,G531,1)&gt;=1,B531&lt;'112'!$K$9,$O531='112'!$I$6)),"x",""))</f>
        <v/>
      </c>
      <c r="W531" s="87" t="str">
        <f>IF(AND($B531&gt;='1331'!$I$9,$B531&lt;='1331'!$J$9,OR($N531=$W$7,$O531=$W$7)),"x","")</f>
        <v/>
      </c>
      <c r="X531" s="87" t="str">
        <f>IF(AND($N531=$W$7,$B531&lt;'1331'!$I$9),"x","")</f>
        <v/>
      </c>
      <c r="Y531" s="87" t="str">
        <f>IF(AND($O531=$W$7,$B531&lt;'1331'!$I$9),"x","")</f>
        <v/>
      </c>
      <c r="Z531" s="87" t="str">
        <f>IF(AND('341-CT'!$H$9=H531,OR(LEFT(N531,3)=$Z$7,LEFT(O531,3)=$Z$7)),"x","")</f>
        <v/>
      </c>
      <c r="AA531" s="87" t="str">
        <f>IF(OR(TH!N531=TH!$AA$7,O531=TH!$AA$7),"x","")</f>
        <v/>
      </c>
      <c r="AB531" s="87" t="str">
        <f>IF(AND(OR(N531="131",O531="131"),H531='131-CT'!$H$9),"x","")</f>
        <v/>
      </c>
      <c r="AC531" s="87"/>
      <c r="AD531" s="87" t="str">
        <f>IF(AND(MONTH(E531)='IN-NX'!$J$5,'IN-NX'!$D$7=D531),"x","")</f>
        <v/>
      </c>
      <c r="AE531" s="87" t="str">
        <f>IF(AND(OR(LEFT(TH!N531,2)="15",LEFT(TH!O531,2)="15"),'152-CT'!$J$8=TH!F531),"x","")</f>
        <v/>
      </c>
      <c r="AF531" s="87" t="str">
        <f>IF(AND(OR(LEFT(TH!N531,2)="15",LEFT(TH!O531,2)="15"),'THE KHO'!$E$7=TH!F531),"x","")</f>
        <v/>
      </c>
      <c r="AG531" s="87" t="str">
        <f>IF(AND(N531="1521",MONTH(C531)='BK NL'!$M$11),"x","")</f>
        <v/>
      </c>
    </row>
    <row r="532" spans="1:33" ht="15.75" customHeight="1">
      <c r="A532" s="399" t="str">
        <f>IF(B532&lt;&gt;"",IF(AND(B532&gt;=_TM1,B532&lt;=_TM2,OR(TH!N532="1111",TH!O532="1111")),TH!D532,""),"")</f>
        <v/>
      </c>
      <c r="B532" s="63" t="str">
        <f t="shared" si="13"/>
        <v/>
      </c>
      <c r="C532" s="64"/>
      <c r="D532" s="64"/>
      <c r="E532" s="64"/>
      <c r="F532" s="67"/>
      <c r="G532" s="376"/>
      <c r="H532" s="75"/>
      <c r="I532" s="518"/>
      <c r="J532" s="518"/>
      <c r="K532" s="509"/>
      <c r="L532" s="518"/>
      <c r="M532" s="65"/>
      <c r="N532" s="387"/>
      <c r="O532" s="66"/>
      <c r="P532" s="87" t="str">
        <f>IF(AND('331-CT'!$E$7=TH!H532,OR(N532="331",O532="331")),"x","")</f>
        <v/>
      </c>
      <c r="Q532" s="87" t="str">
        <f>IF(AND(B532='111'!$L$11,OR($N532=$Q$7,$O532=$Q$7)),"x","")</f>
        <v/>
      </c>
      <c r="R532" s="87" t="str">
        <f>IF(AND($N532=$Q$7,$B532&lt;'111'!$L$11),"x","")</f>
        <v/>
      </c>
      <c r="S532" s="87" t="str">
        <f>IF(AND($O532=$Q$7,$B532&lt;'111'!$L$11),"x","")</f>
        <v/>
      </c>
      <c r="T532" s="87" t="str">
        <f>IF(ISERROR(FIND('112'!$M$9,G532,1)),"",IF((AND(FIND('112'!$M$9,G532,1)&gt;=1,B532='112'!$K$9,OR($N532='112'!$I$6,$O532='112'!$I$6))),"x",""))</f>
        <v/>
      </c>
      <c r="U532" s="87" t="str">
        <f>IF(ISERROR(FIND('112'!$M$9,G532,1)),"",IF((AND(FIND('112'!$M$9,G532,1)&gt;=1,B532&lt;'112'!$K$9,$N532='112'!$I$6)),"x",""))</f>
        <v/>
      </c>
      <c r="V532" s="87" t="str">
        <f>IF(ISERROR(FIND('112'!$M$9,G532,1)),"",IF((AND(FIND('112'!$M$9,G532,1)&gt;=1,B532&lt;'112'!$K$9,$O532='112'!$I$6)),"x",""))</f>
        <v/>
      </c>
      <c r="W532" s="87" t="str">
        <f>IF(AND($B532&gt;='1331'!$I$9,$B532&lt;='1331'!$J$9,OR($N532=$W$7,$O532=$W$7)),"x","")</f>
        <v/>
      </c>
      <c r="X532" s="87" t="str">
        <f>IF(AND($N532=$W$7,$B532&lt;'1331'!$I$9),"x","")</f>
        <v/>
      </c>
      <c r="Y532" s="87" t="str">
        <f>IF(AND($O532=$W$7,$B532&lt;'1331'!$I$9),"x","")</f>
        <v/>
      </c>
      <c r="Z532" s="87" t="str">
        <f>IF(AND('341-CT'!$H$9=H532,OR(LEFT(N532,3)=$Z$7,LEFT(O532,3)=$Z$7)),"x","")</f>
        <v/>
      </c>
      <c r="AA532" s="87" t="str">
        <f>IF(OR(TH!N532=TH!$AA$7,O532=TH!$AA$7),"x","")</f>
        <v/>
      </c>
      <c r="AB532" s="87" t="str">
        <f>IF(AND(OR(N532="131",O532="131"),H532='131-CT'!$H$9),"x","")</f>
        <v/>
      </c>
      <c r="AC532" s="87"/>
      <c r="AD532" s="87" t="str">
        <f>IF(AND(MONTH(E532)='IN-NX'!$J$5,'IN-NX'!$D$7=D532),"x","")</f>
        <v/>
      </c>
      <c r="AE532" s="87" t="str">
        <f>IF(AND(OR(LEFT(TH!N532,2)="15",LEFT(TH!O532,2)="15"),'152-CT'!$J$8=TH!F532),"x","")</f>
        <v/>
      </c>
      <c r="AF532" s="87" t="str">
        <f>IF(AND(OR(LEFT(TH!N532,2)="15",LEFT(TH!O532,2)="15"),'THE KHO'!$E$7=TH!F532),"x","")</f>
        <v/>
      </c>
      <c r="AG532" s="87" t="str">
        <f>IF(AND(N532="1521",MONTH(C532)='BK NL'!$M$11),"x","")</f>
        <v/>
      </c>
    </row>
    <row r="533" spans="1:33" ht="15.75" customHeight="1">
      <c r="A533" s="399" t="str">
        <f>IF(B533&lt;&gt;"",IF(AND(B533&gt;=_TM1,B533&lt;=_TM2,OR(TH!N533="1111",TH!O533="1111")),TH!D533,""),"")</f>
        <v/>
      </c>
      <c r="B533" s="63" t="str">
        <f t="shared" si="13"/>
        <v/>
      </c>
      <c r="C533" s="64"/>
      <c r="D533" s="64"/>
      <c r="E533" s="64"/>
      <c r="F533" s="67"/>
      <c r="G533" s="376"/>
      <c r="H533" s="75"/>
      <c r="I533" s="518"/>
      <c r="J533" s="518"/>
      <c r="K533" s="509"/>
      <c r="L533" s="518"/>
      <c r="M533" s="65"/>
      <c r="N533" s="66"/>
      <c r="O533" s="66"/>
      <c r="P533" s="87" t="str">
        <f>IF(AND('331-CT'!$E$7=TH!H533,OR(N533="331",O533="331")),"x","")</f>
        <v/>
      </c>
      <c r="Q533" s="87" t="str">
        <f>IF(AND(B533='111'!$L$11,OR($N533=$Q$7,$O533=$Q$7)),"x","")</f>
        <v/>
      </c>
      <c r="R533" s="87" t="str">
        <f>IF(AND($N533=$Q$7,$B533&lt;'111'!$L$11),"x","")</f>
        <v/>
      </c>
      <c r="S533" s="87" t="str">
        <f>IF(AND($O533=$Q$7,$B533&lt;'111'!$L$11),"x","")</f>
        <v/>
      </c>
      <c r="T533" s="87" t="str">
        <f>IF(ISERROR(FIND('112'!$M$9,G533,1)),"",IF((AND(FIND('112'!$M$9,G533,1)&gt;=1,B533='112'!$K$9,OR($N533='112'!$I$6,$O533='112'!$I$6))),"x",""))</f>
        <v/>
      </c>
      <c r="U533" s="87" t="str">
        <f>IF(ISERROR(FIND('112'!$M$9,G533,1)),"",IF((AND(FIND('112'!$M$9,G533,1)&gt;=1,B533&lt;'112'!$K$9,$N533='112'!$I$6)),"x",""))</f>
        <v/>
      </c>
      <c r="V533" s="87" t="str">
        <f>IF(ISERROR(FIND('112'!$M$9,G533,1)),"",IF((AND(FIND('112'!$M$9,G533,1)&gt;=1,B533&lt;'112'!$K$9,$O533='112'!$I$6)),"x",""))</f>
        <v/>
      </c>
      <c r="W533" s="87" t="str">
        <f>IF(AND($B533&gt;='1331'!$I$9,$B533&lt;='1331'!$J$9,OR($N533=$W$7,$O533=$W$7)),"x","")</f>
        <v/>
      </c>
      <c r="X533" s="87" t="str">
        <f>IF(AND($N533=$W$7,$B533&lt;'1331'!$I$9),"x","")</f>
        <v/>
      </c>
      <c r="Y533" s="87" t="str">
        <f>IF(AND($O533=$W$7,$B533&lt;'1331'!$I$9),"x","")</f>
        <v/>
      </c>
      <c r="Z533" s="87" t="str">
        <f>IF(AND('341-CT'!$H$9=H533,OR(LEFT(N533,3)=$Z$7,LEFT(O533,3)=$Z$7)),"x","")</f>
        <v/>
      </c>
      <c r="AA533" s="87" t="str">
        <f>IF(OR(TH!N533=TH!$AA$7,O533=TH!$AA$7),"x","")</f>
        <v/>
      </c>
      <c r="AB533" s="87" t="str">
        <f>IF(AND(OR(N533="131",O533="131"),H533='131-CT'!$H$9),"x","")</f>
        <v/>
      </c>
      <c r="AC533" s="87"/>
      <c r="AD533" s="87" t="str">
        <f>IF(AND(MONTH(E533)='IN-NX'!$J$5,'IN-NX'!$D$7=D533),"x","")</f>
        <v/>
      </c>
      <c r="AE533" s="87" t="str">
        <f>IF(AND(OR(LEFT(TH!N533,2)="15",LEFT(TH!O533,2)="15"),'152-CT'!$J$8=TH!F533),"x","")</f>
        <v/>
      </c>
      <c r="AF533" s="87" t="str">
        <f>IF(AND(OR(LEFT(TH!N533,2)="15",LEFT(TH!O533,2)="15"),'THE KHO'!$E$7=TH!F533),"x","")</f>
        <v/>
      </c>
      <c r="AG533" s="87" t="str">
        <f>IF(AND(N533="1521",MONTH(C533)='BK NL'!$M$11),"x","")</f>
        <v/>
      </c>
    </row>
    <row r="534" spans="1:33" ht="15.75" customHeight="1">
      <c r="A534" s="399" t="str">
        <f>IF(B534&lt;&gt;"",IF(AND(B534&gt;=_TM1,B534&lt;=_TM2,OR(TH!N534="1111",TH!O534="1111")),TH!D534,""),"")</f>
        <v/>
      </c>
      <c r="B534" s="63" t="str">
        <f t="shared" si="13"/>
        <v/>
      </c>
      <c r="C534" s="64"/>
      <c r="D534" s="64"/>
      <c r="E534" s="64"/>
      <c r="F534" s="67"/>
      <c r="G534" s="376"/>
      <c r="H534" s="367"/>
      <c r="I534" s="516"/>
      <c r="J534" s="516"/>
      <c r="K534" s="507"/>
      <c r="L534" s="516"/>
      <c r="M534" s="65"/>
      <c r="N534" s="66"/>
      <c r="O534" s="66"/>
      <c r="P534" s="87" t="str">
        <f>IF(AND('331-CT'!$E$7=TH!H534,OR(N534="331",O534="331")),"x","")</f>
        <v/>
      </c>
      <c r="Q534" s="87" t="str">
        <f>IF(AND(B534='111'!$L$11,OR($N534=$Q$7,$O534=$Q$7)),"x","")</f>
        <v/>
      </c>
      <c r="R534" s="87" t="str">
        <f>IF(AND($N534=$Q$7,$B534&lt;'111'!$L$11),"x","")</f>
        <v/>
      </c>
      <c r="S534" s="87" t="str">
        <f>IF(AND($O534=$Q$7,$B534&lt;'111'!$L$11),"x","")</f>
        <v/>
      </c>
      <c r="T534" s="87" t="str">
        <f>IF(ISERROR(FIND('112'!$M$9,G534,1)),"",IF((AND(FIND('112'!$M$9,G534,1)&gt;=1,B534='112'!$K$9,OR($N534='112'!$I$6,$O534='112'!$I$6))),"x",""))</f>
        <v/>
      </c>
      <c r="U534" s="87" t="str">
        <f>IF(ISERROR(FIND('112'!$M$9,G534,1)),"",IF((AND(FIND('112'!$M$9,G534,1)&gt;=1,B534&lt;'112'!$K$9,$N534='112'!$I$6)),"x",""))</f>
        <v/>
      </c>
      <c r="V534" s="87" t="str">
        <f>IF(ISERROR(FIND('112'!$M$9,G534,1)),"",IF((AND(FIND('112'!$M$9,G534,1)&gt;=1,B534&lt;'112'!$K$9,$O534='112'!$I$6)),"x",""))</f>
        <v/>
      </c>
      <c r="W534" s="87" t="str">
        <f>IF(AND($B534&gt;='1331'!$I$9,$B534&lt;='1331'!$J$9,OR($N534=$W$7,$O534=$W$7)),"x","")</f>
        <v/>
      </c>
      <c r="X534" s="87" t="str">
        <f>IF(AND($N534=$W$7,$B534&lt;'1331'!$I$9),"x","")</f>
        <v/>
      </c>
      <c r="Y534" s="87" t="str">
        <f>IF(AND($O534=$W$7,$B534&lt;'1331'!$I$9),"x","")</f>
        <v/>
      </c>
      <c r="Z534" s="87" t="str">
        <f>IF(AND('341-CT'!$H$9=H534,OR(LEFT(N534,3)=$Z$7,LEFT(O534,3)=$Z$7)),"x","")</f>
        <v/>
      </c>
      <c r="AA534" s="87" t="str">
        <f>IF(OR(TH!N534=TH!$AA$7,O534=TH!$AA$7),"x","")</f>
        <v/>
      </c>
      <c r="AB534" s="87" t="str">
        <f>IF(AND(OR(N534="131",O534="131"),H534='131-CT'!$H$9),"x","")</f>
        <v/>
      </c>
      <c r="AC534" s="87"/>
      <c r="AD534" s="87" t="str">
        <f>IF(AND(MONTH(E534)='IN-NX'!$J$5,'IN-NX'!$D$7=D534),"x","")</f>
        <v/>
      </c>
      <c r="AE534" s="87" t="str">
        <f>IF(AND(OR(LEFT(TH!N534,2)="15",LEFT(TH!O534,2)="15"),'152-CT'!$J$8=TH!F534),"x","")</f>
        <v/>
      </c>
      <c r="AF534" s="87" t="str">
        <f>IF(AND(OR(LEFT(TH!N534,2)="15",LEFT(TH!O534,2)="15"),'THE KHO'!$E$7=TH!F534),"x","")</f>
        <v/>
      </c>
      <c r="AG534" s="87" t="str">
        <f>IF(AND(N534="1521",MONTH(C534)='BK NL'!$M$11),"x","")</f>
        <v/>
      </c>
    </row>
    <row r="535" spans="1:33" ht="15.75" customHeight="1">
      <c r="A535" s="399" t="str">
        <f>IF(B535&lt;&gt;"",IF(AND(B535&gt;=_TM1,B535&lt;=_TM2,OR(TH!N535="1111",TH!O535="1111")),TH!D535,""),"")</f>
        <v/>
      </c>
      <c r="B535" s="63" t="str">
        <f t="shared" si="13"/>
        <v/>
      </c>
      <c r="C535" s="64"/>
      <c r="D535" s="64"/>
      <c r="E535" s="64"/>
      <c r="F535" s="67"/>
      <c r="G535" s="376"/>
      <c r="H535" s="367"/>
      <c r="I535" s="516"/>
      <c r="J535" s="516"/>
      <c r="K535" s="507"/>
      <c r="L535" s="516"/>
      <c r="M535" s="65"/>
      <c r="N535" s="66"/>
      <c r="O535" s="66"/>
      <c r="P535" s="87" t="str">
        <f>IF(AND('331-CT'!$E$7=TH!H535,OR(N535="331",O535="331")),"x","")</f>
        <v/>
      </c>
      <c r="Q535" s="87" t="str">
        <f>IF(AND(B535='111'!$L$11,OR($N535=$Q$7,$O535=$Q$7)),"x","")</f>
        <v/>
      </c>
      <c r="R535" s="87" t="str">
        <f>IF(AND($N535=$Q$7,$B535&lt;'111'!$L$11),"x","")</f>
        <v/>
      </c>
      <c r="S535" s="87" t="str">
        <f>IF(AND($O535=$Q$7,$B535&lt;'111'!$L$11),"x","")</f>
        <v/>
      </c>
      <c r="T535" s="87" t="str">
        <f>IF(ISERROR(FIND('112'!$M$9,G535,1)),"",IF((AND(FIND('112'!$M$9,G535,1)&gt;=1,B535='112'!$K$9,OR($N535='112'!$I$6,$O535='112'!$I$6))),"x",""))</f>
        <v/>
      </c>
      <c r="U535" s="87" t="str">
        <f>IF(ISERROR(FIND('112'!$M$9,G535,1)),"",IF((AND(FIND('112'!$M$9,G535,1)&gt;=1,B535&lt;'112'!$K$9,$N535='112'!$I$6)),"x",""))</f>
        <v/>
      </c>
      <c r="V535" s="87" t="str">
        <f>IF(ISERROR(FIND('112'!$M$9,G535,1)),"",IF((AND(FIND('112'!$M$9,G535,1)&gt;=1,B535&lt;'112'!$K$9,$O535='112'!$I$6)),"x",""))</f>
        <v/>
      </c>
      <c r="W535" s="87" t="str">
        <f>IF(AND($B535&gt;='1331'!$I$9,$B535&lt;='1331'!$J$9,OR($N535=$W$7,$O535=$W$7)),"x","")</f>
        <v/>
      </c>
      <c r="X535" s="87" t="str">
        <f>IF(AND($N535=$W$7,$B535&lt;'1331'!$I$9),"x","")</f>
        <v/>
      </c>
      <c r="Y535" s="87" t="str">
        <f>IF(AND($O535=$W$7,$B535&lt;'1331'!$I$9),"x","")</f>
        <v/>
      </c>
      <c r="Z535" s="87" t="str">
        <f>IF(AND('341-CT'!$H$9=H535,OR(LEFT(N535,3)=$Z$7,LEFT(O535,3)=$Z$7)),"x","")</f>
        <v/>
      </c>
      <c r="AA535" s="87" t="str">
        <f>IF(OR(TH!N535=TH!$AA$7,O535=TH!$AA$7),"x","")</f>
        <v/>
      </c>
      <c r="AB535" s="87" t="str">
        <f>IF(AND(OR(N535="131",O535="131"),H535='131-CT'!$H$9),"x","")</f>
        <v/>
      </c>
      <c r="AC535" s="87"/>
      <c r="AD535" s="87" t="str">
        <f>IF(AND(MONTH(E535)='IN-NX'!$J$5,'IN-NX'!$D$7=D535),"x","")</f>
        <v/>
      </c>
      <c r="AE535" s="87" t="str">
        <f>IF(AND(OR(LEFT(TH!N535,2)="15",LEFT(TH!O535,2)="15"),'152-CT'!$J$8=TH!F535),"x","")</f>
        <v/>
      </c>
      <c r="AF535" s="87" t="str">
        <f>IF(AND(OR(LEFT(TH!N535,2)="15",LEFT(TH!O535,2)="15"),'THE KHO'!$E$7=TH!F535),"x","")</f>
        <v/>
      </c>
      <c r="AG535" s="87" t="str">
        <f>IF(AND(N535="1521",MONTH(C535)='BK NL'!$M$11),"x","")</f>
        <v/>
      </c>
    </row>
    <row r="536" spans="1:33" ht="15.75" customHeight="1">
      <c r="A536" s="399" t="str">
        <f>IF(B536&lt;&gt;"",IF(AND(B536&gt;=_TM1,B536&lt;=_TM2,OR(TH!N536="1111",TH!O536="1111")),TH!D536,""),"")</f>
        <v/>
      </c>
      <c r="B536" s="63" t="str">
        <f t="shared" si="13"/>
        <v/>
      </c>
      <c r="C536" s="64"/>
      <c r="D536" s="64"/>
      <c r="E536" s="64"/>
      <c r="F536" s="67"/>
      <c r="G536" s="362"/>
      <c r="H536" s="75"/>
      <c r="I536" s="518"/>
      <c r="J536" s="518"/>
      <c r="K536" s="509"/>
      <c r="L536" s="518"/>
      <c r="M536" s="65"/>
      <c r="N536" s="66"/>
      <c r="O536" s="66"/>
      <c r="P536" s="87" t="str">
        <f>IF(AND('331-CT'!$E$7=TH!H536,OR(N536="331",O536="331")),"x","")</f>
        <v/>
      </c>
      <c r="Q536" s="87" t="str">
        <f>IF(AND(B536='111'!$L$11,OR($N536=$Q$7,$O536=$Q$7)),"x","")</f>
        <v/>
      </c>
      <c r="R536" s="87" t="str">
        <f>IF(AND($N536=$Q$7,$B536&lt;'111'!$L$11),"x","")</f>
        <v/>
      </c>
      <c r="S536" s="87" t="str">
        <f>IF(AND($O536=$Q$7,$B536&lt;'111'!$L$11),"x","")</f>
        <v/>
      </c>
      <c r="T536" s="87" t="str">
        <f>IF(ISERROR(FIND('112'!$M$9,G536,1)),"",IF((AND(FIND('112'!$M$9,G536,1)&gt;=1,B536='112'!$K$9,OR($N536='112'!$I$6,$O536='112'!$I$6))),"x",""))</f>
        <v/>
      </c>
      <c r="U536" s="87" t="str">
        <f>IF(ISERROR(FIND('112'!$M$9,G536,1)),"",IF((AND(FIND('112'!$M$9,G536,1)&gt;=1,B536&lt;'112'!$K$9,$N536='112'!$I$6)),"x",""))</f>
        <v/>
      </c>
      <c r="V536" s="87" t="str">
        <f>IF(ISERROR(FIND('112'!$M$9,G536,1)),"",IF((AND(FIND('112'!$M$9,G536,1)&gt;=1,B536&lt;'112'!$K$9,$O536='112'!$I$6)),"x",""))</f>
        <v/>
      </c>
      <c r="W536" s="87" t="str">
        <f>IF(AND($B536&gt;='1331'!$I$9,$B536&lt;='1331'!$J$9,OR($N536=$W$7,$O536=$W$7)),"x","")</f>
        <v/>
      </c>
      <c r="X536" s="87" t="str">
        <f>IF(AND($N536=$W$7,$B536&lt;'1331'!$I$9),"x","")</f>
        <v/>
      </c>
      <c r="Y536" s="87" t="str">
        <f>IF(AND($O536=$W$7,$B536&lt;'1331'!$I$9),"x","")</f>
        <v/>
      </c>
      <c r="Z536" s="87" t="str">
        <f>IF(AND('341-CT'!$H$9=H536,OR(LEFT(N536,3)=$Z$7,LEFT(O536,3)=$Z$7)),"x","")</f>
        <v/>
      </c>
      <c r="AA536" s="87" t="str">
        <f>IF(OR(TH!N536=TH!$AA$7,O536=TH!$AA$7),"x","")</f>
        <v/>
      </c>
      <c r="AB536" s="87" t="str">
        <f>IF(AND(OR(N536="131",O536="131"),H536='131-CT'!$H$9),"x","")</f>
        <v/>
      </c>
      <c r="AC536" s="87"/>
      <c r="AD536" s="87" t="str">
        <f>IF(AND(MONTH(E536)='IN-NX'!$J$5,'IN-NX'!$D$7=D536),"x","")</f>
        <v/>
      </c>
      <c r="AE536" s="87" t="str">
        <f>IF(AND(OR(LEFT(TH!N536,2)="15",LEFT(TH!O536,2)="15"),'152-CT'!$J$8=TH!F536),"x","")</f>
        <v/>
      </c>
      <c r="AF536" s="87" t="str">
        <f>IF(AND(OR(LEFT(TH!N536,2)="15",LEFT(TH!O536,2)="15"),'THE KHO'!$E$7=TH!F536),"x","")</f>
        <v/>
      </c>
      <c r="AG536" s="87" t="str">
        <f>IF(AND(N536="1521",MONTH(C536)='BK NL'!$M$11),"x","")</f>
        <v/>
      </c>
    </row>
    <row r="537" spans="1:33" ht="15.75" customHeight="1">
      <c r="A537" s="399" t="str">
        <f>IF(B537&lt;&gt;"",IF(AND(B537&gt;=_TM1,B537&lt;=_TM2,OR(TH!N537="1111",TH!O537="1111")),TH!D537,""),"")</f>
        <v/>
      </c>
      <c r="B537" s="63" t="str">
        <f t="shared" si="13"/>
        <v/>
      </c>
      <c r="C537" s="64"/>
      <c r="D537" s="64"/>
      <c r="E537" s="64"/>
      <c r="F537" s="67"/>
      <c r="G537" s="362"/>
      <c r="H537" s="75"/>
      <c r="I537" s="518"/>
      <c r="J537" s="518"/>
      <c r="K537" s="509"/>
      <c r="L537" s="518"/>
      <c r="M537" s="65"/>
      <c r="N537" s="66"/>
      <c r="O537" s="66"/>
      <c r="P537" s="87" t="str">
        <f>IF(AND('331-CT'!$E$7=TH!H537,OR(N537="331",O537="331")),"x","")</f>
        <v/>
      </c>
      <c r="Q537" s="87" t="str">
        <f>IF(AND(B537='111'!$L$11,OR($N537=$Q$7,$O537=$Q$7)),"x","")</f>
        <v/>
      </c>
      <c r="R537" s="87" t="str">
        <f>IF(AND($N537=$Q$7,$B537&lt;'111'!$L$11),"x","")</f>
        <v/>
      </c>
      <c r="S537" s="87" t="str">
        <f>IF(AND($O537=$Q$7,$B537&lt;'111'!$L$11),"x","")</f>
        <v/>
      </c>
      <c r="T537" s="87" t="str">
        <f>IF(ISERROR(FIND('112'!$M$9,G537,1)),"",IF((AND(FIND('112'!$M$9,G537,1)&gt;=1,B537='112'!$K$9,OR($N537='112'!$I$6,$O537='112'!$I$6))),"x",""))</f>
        <v/>
      </c>
      <c r="U537" s="87" t="str">
        <f>IF(ISERROR(FIND('112'!$M$9,G537,1)),"",IF((AND(FIND('112'!$M$9,G537,1)&gt;=1,B537&lt;'112'!$K$9,$N537='112'!$I$6)),"x",""))</f>
        <v/>
      </c>
      <c r="V537" s="87" t="str">
        <f>IF(ISERROR(FIND('112'!$M$9,G537,1)),"",IF((AND(FIND('112'!$M$9,G537,1)&gt;=1,B537&lt;'112'!$K$9,$O537='112'!$I$6)),"x",""))</f>
        <v/>
      </c>
      <c r="W537" s="87" t="str">
        <f>IF(AND($B537&gt;='1331'!$I$9,$B537&lt;='1331'!$J$9,OR($N537=$W$7,$O537=$W$7)),"x","")</f>
        <v/>
      </c>
      <c r="X537" s="87" t="str">
        <f>IF(AND($N537=$W$7,$B537&lt;'1331'!$I$9),"x","")</f>
        <v/>
      </c>
      <c r="Y537" s="87" t="str">
        <f>IF(AND($O537=$W$7,$B537&lt;'1331'!$I$9),"x","")</f>
        <v/>
      </c>
      <c r="Z537" s="87" t="str">
        <f>IF(AND('341-CT'!$H$9=H537,OR(LEFT(N537,3)=$Z$7,LEFT(O537,3)=$Z$7)),"x","")</f>
        <v/>
      </c>
      <c r="AA537" s="87" t="str">
        <f>IF(OR(TH!N537=TH!$AA$7,O537=TH!$AA$7),"x","")</f>
        <v/>
      </c>
      <c r="AB537" s="87" t="str">
        <f>IF(AND(OR(N537="131",O537="131"),H537='131-CT'!$H$9),"x","")</f>
        <v/>
      </c>
      <c r="AC537" s="87"/>
      <c r="AD537" s="87" t="str">
        <f>IF(AND(MONTH(E537)='IN-NX'!$J$5,'IN-NX'!$D$7=D537),"x","")</f>
        <v/>
      </c>
      <c r="AE537" s="87" t="str">
        <f>IF(AND(OR(LEFT(TH!N537,2)="15",LEFT(TH!O537,2)="15"),'152-CT'!$J$8=TH!F537),"x","")</f>
        <v/>
      </c>
      <c r="AF537" s="87" t="str">
        <f>IF(AND(OR(LEFT(TH!N537,2)="15",LEFT(TH!O537,2)="15"),'THE KHO'!$E$7=TH!F537),"x","")</f>
        <v/>
      </c>
      <c r="AG537" s="87" t="str">
        <f>IF(AND(N537="1521",MONTH(C537)='BK NL'!$M$11),"x","")</f>
        <v/>
      </c>
    </row>
    <row r="538" spans="1:33" ht="15.75" customHeight="1">
      <c r="A538" s="399" t="str">
        <f>IF(B538&lt;&gt;"",IF(AND(B538&gt;=_TM1,B538&lt;=_TM2,OR(TH!N538="1111",TH!O538="1111")),TH!D538,""),"")</f>
        <v/>
      </c>
      <c r="B538" s="63" t="str">
        <f t="shared" si="13"/>
        <v/>
      </c>
      <c r="C538" s="64"/>
      <c r="D538" s="64"/>
      <c r="E538" s="64"/>
      <c r="F538" s="67"/>
      <c r="G538" s="362"/>
      <c r="H538" s="75"/>
      <c r="I538" s="518"/>
      <c r="J538" s="518"/>
      <c r="K538" s="509"/>
      <c r="L538" s="518"/>
      <c r="M538" s="65"/>
      <c r="N538" s="66"/>
      <c r="O538" s="66"/>
      <c r="P538" s="87" t="str">
        <f>IF(AND('331-CT'!$E$7=TH!H538,OR(N538="331",O538="331")),"x","")</f>
        <v/>
      </c>
      <c r="Q538" s="87" t="str">
        <f>IF(AND(B538='111'!$L$11,OR($N538=$Q$7,$O538=$Q$7)),"x","")</f>
        <v/>
      </c>
      <c r="R538" s="87" t="str">
        <f>IF(AND($N538=$Q$7,$B538&lt;'111'!$L$11),"x","")</f>
        <v/>
      </c>
      <c r="S538" s="87" t="str">
        <f>IF(AND($O538=$Q$7,$B538&lt;'111'!$L$11),"x","")</f>
        <v/>
      </c>
      <c r="T538" s="87" t="str">
        <f>IF(ISERROR(FIND('112'!$M$9,G538,1)),"",IF((AND(FIND('112'!$M$9,G538,1)&gt;=1,B538='112'!$K$9,OR($N538='112'!$I$6,$O538='112'!$I$6))),"x",""))</f>
        <v/>
      </c>
      <c r="U538" s="87" t="str">
        <f>IF(ISERROR(FIND('112'!$M$9,G538,1)),"",IF((AND(FIND('112'!$M$9,G538,1)&gt;=1,B538&lt;'112'!$K$9,$N538='112'!$I$6)),"x",""))</f>
        <v/>
      </c>
      <c r="V538" s="87" t="str">
        <f>IF(ISERROR(FIND('112'!$M$9,G538,1)),"",IF((AND(FIND('112'!$M$9,G538,1)&gt;=1,B538&lt;'112'!$K$9,$O538='112'!$I$6)),"x",""))</f>
        <v/>
      </c>
      <c r="W538" s="87" t="str">
        <f>IF(AND($B538&gt;='1331'!$I$9,$B538&lt;='1331'!$J$9,OR($N538=$W$7,$O538=$W$7)),"x","")</f>
        <v/>
      </c>
      <c r="X538" s="87" t="str">
        <f>IF(AND($N538=$W$7,$B538&lt;'1331'!$I$9),"x","")</f>
        <v/>
      </c>
      <c r="Y538" s="87" t="str">
        <f>IF(AND($O538=$W$7,$B538&lt;'1331'!$I$9),"x","")</f>
        <v/>
      </c>
      <c r="Z538" s="87" t="str">
        <f>IF(AND('341-CT'!$H$9=H538,OR(LEFT(N538,3)=$Z$7,LEFT(O538,3)=$Z$7)),"x","")</f>
        <v/>
      </c>
      <c r="AA538" s="87" t="str">
        <f>IF(OR(TH!N538=TH!$AA$7,O538=TH!$AA$7),"x","")</f>
        <v/>
      </c>
      <c r="AB538" s="87" t="str">
        <f>IF(AND(OR(N538="131",O538="131"),H538='131-CT'!$H$9),"x","")</f>
        <v/>
      </c>
      <c r="AC538" s="87"/>
      <c r="AD538" s="87" t="str">
        <f>IF(AND(MONTH(E538)='IN-NX'!$J$5,'IN-NX'!$D$7=D538),"x","")</f>
        <v/>
      </c>
      <c r="AE538" s="87" t="str">
        <f>IF(AND(OR(LEFT(TH!N538,2)="15",LEFT(TH!O538,2)="15"),'152-CT'!$J$8=TH!F538),"x","")</f>
        <v/>
      </c>
      <c r="AF538" s="87" t="str">
        <f>IF(AND(OR(LEFT(TH!N538,2)="15",LEFT(TH!O538,2)="15"),'THE KHO'!$E$7=TH!F538),"x","")</f>
        <v/>
      </c>
      <c r="AG538" s="87" t="str">
        <f>IF(AND(N538="1521",MONTH(C538)='BK NL'!$M$11),"x","")</f>
        <v/>
      </c>
    </row>
    <row r="539" spans="1:33" ht="15.75" customHeight="1">
      <c r="A539" s="399" t="str">
        <f>IF(B539&lt;&gt;"",IF(AND(B539&gt;=_TM1,B539&lt;=_TM2,OR(TH!N539="1111",TH!O539="1111")),TH!D539,""),"")</f>
        <v/>
      </c>
      <c r="B539" s="63" t="str">
        <f t="shared" si="13"/>
        <v/>
      </c>
      <c r="C539" s="64"/>
      <c r="D539" s="64"/>
      <c r="E539" s="64"/>
      <c r="F539" s="67"/>
      <c r="G539" s="362"/>
      <c r="H539" s="75"/>
      <c r="I539" s="518"/>
      <c r="J539" s="518"/>
      <c r="K539" s="509"/>
      <c r="L539" s="518"/>
      <c r="M539" s="65"/>
      <c r="N539" s="66"/>
      <c r="O539" s="66"/>
      <c r="P539" s="87" t="str">
        <f>IF(AND('331-CT'!$E$7=TH!H539,OR(N539="331",O539="331")),"x","")</f>
        <v/>
      </c>
      <c r="Q539" s="87" t="str">
        <f>IF(AND(B539='111'!$L$11,OR($N539=$Q$7,$O539=$Q$7)),"x","")</f>
        <v/>
      </c>
      <c r="R539" s="87" t="str">
        <f>IF(AND($N539=$Q$7,$B539&lt;'111'!$L$11),"x","")</f>
        <v/>
      </c>
      <c r="S539" s="87" t="str">
        <f>IF(AND($O539=$Q$7,$B539&lt;'111'!$L$11),"x","")</f>
        <v/>
      </c>
      <c r="T539" s="87" t="str">
        <f>IF(ISERROR(FIND('112'!$M$9,G539,1)),"",IF((AND(FIND('112'!$M$9,G539,1)&gt;=1,B539='112'!$K$9,OR($N539='112'!$I$6,$O539='112'!$I$6))),"x",""))</f>
        <v/>
      </c>
      <c r="U539" s="87" t="str">
        <f>IF(ISERROR(FIND('112'!$M$9,G539,1)),"",IF((AND(FIND('112'!$M$9,G539,1)&gt;=1,B539&lt;'112'!$K$9,$N539='112'!$I$6)),"x",""))</f>
        <v/>
      </c>
      <c r="V539" s="87" t="str">
        <f>IF(ISERROR(FIND('112'!$M$9,G539,1)),"",IF((AND(FIND('112'!$M$9,G539,1)&gt;=1,B539&lt;'112'!$K$9,$O539='112'!$I$6)),"x",""))</f>
        <v/>
      </c>
      <c r="W539" s="87" t="str">
        <f>IF(AND($B539&gt;='1331'!$I$9,$B539&lt;='1331'!$J$9,OR($N539=$W$7,$O539=$W$7)),"x","")</f>
        <v/>
      </c>
      <c r="X539" s="87" t="str">
        <f>IF(AND($N539=$W$7,$B539&lt;'1331'!$I$9),"x","")</f>
        <v/>
      </c>
      <c r="Y539" s="87" t="str">
        <f>IF(AND($O539=$W$7,$B539&lt;'1331'!$I$9),"x","")</f>
        <v/>
      </c>
      <c r="Z539" s="87" t="str">
        <f>IF(AND('341-CT'!$H$9=H539,OR(LEFT(N539,3)=$Z$7,LEFT(O539,3)=$Z$7)),"x","")</f>
        <v/>
      </c>
      <c r="AA539" s="87" t="str">
        <f>IF(OR(TH!N539=TH!$AA$7,O539=TH!$AA$7),"x","")</f>
        <v/>
      </c>
      <c r="AB539" s="87" t="str">
        <f>IF(AND(OR(N539="131",O539="131"),H539='131-CT'!$H$9),"x","")</f>
        <v/>
      </c>
      <c r="AC539" s="87"/>
      <c r="AD539" s="87" t="str">
        <f>IF(AND(MONTH(E539)='IN-NX'!$J$5,'IN-NX'!$D$7=D539),"x","")</f>
        <v/>
      </c>
      <c r="AE539" s="87" t="str">
        <f>IF(AND(OR(LEFT(TH!N539,2)="15",LEFT(TH!O539,2)="15"),'152-CT'!$J$8=TH!F539),"x","")</f>
        <v/>
      </c>
      <c r="AF539" s="87" t="str">
        <f>IF(AND(OR(LEFT(TH!N539,2)="15",LEFT(TH!O539,2)="15"),'THE KHO'!$E$7=TH!F539),"x","")</f>
        <v/>
      </c>
      <c r="AG539" s="87" t="str">
        <f>IF(AND(N539="1521",MONTH(C539)='BK NL'!$M$11),"x","")</f>
        <v/>
      </c>
    </row>
    <row r="540" spans="1:33" ht="15.75" customHeight="1">
      <c r="A540" s="399" t="str">
        <f>IF(B540&lt;&gt;"",IF(AND(B540&gt;=_TM1,B540&lt;=_TM2,OR(TH!N540="1111",TH!O540="1111")),TH!D540,""),"")</f>
        <v/>
      </c>
      <c r="B540" s="63" t="str">
        <f t="shared" si="13"/>
        <v/>
      </c>
      <c r="C540" s="64"/>
      <c r="D540" s="64"/>
      <c r="E540" s="64"/>
      <c r="F540" s="67"/>
      <c r="G540" s="362"/>
      <c r="H540" s="75"/>
      <c r="I540" s="518"/>
      <c r="J540" s="518"/>
      <c r="K540" s="509"/>
      <c r="L540" s="518"/>
      <c r="M540" s="65"/>
      <c r="N540" s="66"/>
      <c r="O540" s="66"/>
      <c r="P540" s="87" t="str">
        <f>IF(AND('331-CT'!$E$7=TH!H540,OR(N540="331",O540="331")),"x","")</f>
        <v/>
      </c>
      <c r="Q540" s="87" t="str">
        <f>IF(AND(B540='111'!$L$11,OR($N540=$Q$7,$O540=$Q$7)),"x","")</f>
        <v/>
      </c>
      <c r="R540" s="87" t="str">
        <f>IF(AND($N540=$Q$7,$B540&lt;'111'!$L$11),"x","")</f>
        <v/>
      </c>
      <c r="S540" s="87" t="str">
        <f>IF(AND($O540=$Q$7,$B540&lt;'111'!$L$11),"x","")</f>
        <v/>
      </c>
      <c r="T540" s="87" t="str">
        <f>IF(ISERROR(FIND('112'!$M$9,G540,1)),"",IF((AND(FIND('112'!$M$9,G540,1)&gt;=1,B540='112'!$K$9,OR($N540='112'!$I$6,$O540='112'!$I$6))),"x",""))</f>
        <v/>
      </c>
      <c r="U540" s="87" t="str">
        <f>IF(ISERROR(FIND('112'!$M$9,G540,1)),"",IF((AND(FIND('112'!$M$9,G540,1)&gt;=1,B540&lt;'112'!$K$9,$N540='112'!$I$6)),"x",""))</f>
        <v/>
      </c>
      <c r="V540" s="87" t="str">
        <f>IF(ISERROR(FIND('112'!$M$9,G540,1)),"",IF((AND(FIND('112'!$M$9,G540,1)&gt;=1,B540&lt;'112'!$K$9,$O540='112'!$I$6)),"x",""))</f>
        <v/>
      </c>
      <c r="W540" s="87" t="str">
        <f>IF(AND($B540&gt;='1331'!$I$9,$B540&lt;='1331'!$J$9,OR($N540=$W$7,$O540=$W$7)),"x","")</f>
        <v/>
      </c>
      <c r="X540" s="87" t="str">
        <f>IF(AND($N540=$W$7,$B540&lt;'1331'!$I$9),"x","")</f>
        <v/>
      </c>
      <c r="Y540" s="87" t="str">
        <f>IF(AND($O540=$W$7,$B540&lt;'1331'!$I$9),"x","")</f>
        <v/>
      </c>
      <c r="Z540" s="87" t="str">
        <f>IF(AND('341-CT'!$H$9=H540,OR(LEFT(N540,3)=$Z$7,LEFT(O540,3)=$Z$7)),"x","")</f>
        <v/>
      </c>
      <c r="AA540" s="87" t="str">
        <f>IF(OR(TH!N540=TH!$AA$7,O540=TH!$AA$7),"x","")</f>
        <v/>
      </c>
      <c r="AB540" s="87" t="str">
        <f>IF(AND(OR(N540="131",O540="131"),H540='131-CT'!$H$9),"x","")</f>
        <v/>
      </c>
      <c r="AC540" s="87"/>
      <c r="AD540" s="87" t="str">
        <f>IF(AND(MONTH(E540)='IN-NX'!$J$5,'IN-NX'!$D$7=D540),"x","")</f>
        <v/>
      </c>
      <c r="AE540" s="87" t="str">
        <f>IF(AND(OR(LEFT(TH!N540,2)="15",LEFT(TH!O540,2)="15"),'152-CT'!$J$8=TH!F540),"x","")</f>
        <v/>
      </c>
      <c r="AF540" s="87" t="str">
        <f>IF(AND(OR(LEFT(TH!N540,2)="15",LEFT(TH!O540,2)="15"),'THE KHO'!$E$7=TH!F540),"x","")</f>
        <v/>
      </c>
      <c r="AG540" s="87" t="str">
        <f>IF(AND(N540="1521",MONTH(C540)='BK NL'!$M$11),"x","")</f>
        <v/>
      </c>
    </row>
    <row r="541" spans="1:33" ht="15.75" customHeight="1">
      <c r="A541" s="399" t="str">
        <f>IF(B541&lt;&gt;"",IF(AND(B541&gt;=_TM1,B541&lt;=_TM2,OR(TH!N541="1111",TH!O541="1111")),TH!D541,""),"")</f>
        <v/>
      </c>
      <c r="B541" s="63" t="str">
        <f t="shared" si="13"/>
        <v/>
      </c>
      <c r="C541" s="64"/>
      <c r="D541" s="64"/>
      <c r="E541" s="64"/>
      <c r="F541" s="67"/>
      <c r="G541" s="362"/>
      <c r="H541" s="75"/>
      <c r="I541" s="518"/>
      <c r="J541" s="518"/>
      <c r="K541" s="509"/>
      <c r="L541" s="518"/>
      <c r="M541" s="65"/>
      <c r="N541" s="66"/>
      <c r="O541" s="66"/>
      <c r="P541" s="87" t="str">
        <f>IF(AND('331-CT'!$E$7=TH!H541,OR(N541="331",O541="331")),"x","")</f>
        <v/>
      </c>
      <c r="Q541" s="87" t="str">
        <f>IF(AND(B541='111'!$L$11,OR($N541=$Q$7,$O541=$Q$7)),"x","")</f>
        <v/>
      </c>
      <c r="R541" s="87" t="str">
        <f>IF(AND($N541=$Q$7,$B541&lt;'111'!$L$11),"x","")</f>
        <v/>
      </c>
      <c r="S541" s="87" t="str">
        <f>IF(AND($O541=$Q$7,$B541&lt;'111'!$L$11),"x","")</f>
        <v/>
      </c>
      <c r="T541" s="87" t="str">
        <f>IF(ISERROR(FIND('112'!$M$9,G541,1)),"",IF((AND(FIND('112'!$M$9,G541,1)&gt;=1,B541='112'!$K$9,OR($N541='112'!$I$6,$O541='112'!$I$6))),"x",""))</f>
        <v/>
      </c>
      <c r="U541" s="87" t="str">
        <f>IF(ISERROR(FIND('112'!$M$9,G541,1)),"",IF((AND(FIND('112'!$M$9,G541,1)&gt;=1,B541&lt;'112'!$K$9,$N541='112'!$I$6)),"x",""))</f>
        <v/>
      </c>
      <c r="V541" s="87" t="str">
        <f>IF(ISERROR(FIND('112'!$M$9,G541,1)),"",IF((AND(FIND('112'!$M$9,G541,1)&gt;=1,B541&lt;'112'!$K$9,$O541='112'!$I$6)),"x",""))</f>
        <v/>
      </c>
      <c r="W541" s="87" t="str">
        <f>IF(AND($B541&gt;='1331'!$I$9,$B541&lt;='1331'!$J$9,OR($N541=$W$7,$O541=$W$7)),"x","")</f>
        <v/>
      </c>
      <c r="X541" s="87" t="str">
        <f>IF(AND($N541=$W$7,$B541&lt;'1331'!$I$9),"x","")</f>
        <v/>
      </c>
      <c r="Y541" s="87" t="str">
        <f>IF(AND($O541=$W$7,$B541&lt;'1331'!$I$9),"x","")</f>
        <v/>
      </c>
      <c r="Z541" s="87" t="str">
        <f>IF(AND('341-CT'!$H$9=H541,OR(LEFT(N541,3)=$Z$7,LEFT(O541,3)=$Z$7)),"x","")</f>
        <v/>
      </c>
      <c r="AA541" s="87" t="str">
        <f>IF(OR(TH!N541=TH!$AA$7,O541=TH!$AA$7),"x","")</f>
        <v/>
      </c>
      <c r="AB541" s="87" t="str">
        <f>IF(AND(OR(N541="131",O541="131"),H541='131-CT'!$H$9),"x","")</f>
        <v/>
      </c>
      <c r="AC541" s="87"/>
      <c r="AD541" s="87" t="str">
        <f>IF(AND(MONTH(E541)='IN-NX'!$J$5,'IN-NX'!$D$7=D541),"x","")</f>
        <v/>
      </c>
      <c r="AE541" s="87" t="str">
        <f>IF(AND(OR(LEFT(TH!N541,2)="15",LEFT(TH!O541,2)="15"),'152-CT'!$J$8=TH!F541),"x","")</f>
        <v/>
      </c>
      <c r="AF541" s="87" t="str">
        <f>IF(AND(OR(LEFT(TH!N541,2)="15",LEFT(TH!O541,2)="15"),'THE KHO'!$E$7=TH!F541),"x","")</f>
        <v/>
      </c>
      <c r="AG541" s="87" t="str">
        <f>IF(AND(N541="1521",MONTH(C541)='BK NL'!$M$11),"x","")</f>
        <v/>
      </c>
    </row>
    <row r="542" spans="1:33" ht="15.75" customHeight="1">
      <c r="A542" s="399" t="str">
        <f>IF(B542&lt;&gt;"",IF(AND(B542&gt;=_TM1,B542&lt;=_TM2,OR(TH!N542="1111",TH!O542="1111")),TH!D542,""),"")</f>
        <v/>
      </c>
      <c r="B542" s="63" t="str">
        <f t="shared" si="13"/>
        <v/>
      </c>
      <c r="C542" s="64"/>
      <c r="D542" s="64"/>
      <c r="E542" s="64"/>
      <c r="F542" s="67"/>
      <c r="G542" s="362"/>
      <c r="H542" s="75"/>
      <c r="I542" s="518"/>
      <c r="J542" s="518"/>
      <c r="K542" s="509"/>
      <c r="L542" s="518"/>
      <c r="M542" s="65"/>
      <c r="N542" s="66"/>
      <c r="O542" s="66"/>
      <c r="P542" s="87" t="str">
        <f>IF(AND('331-CT'!$E$7=TH!H542,OR(N542="331",O542="331")),"x","")</f>
        <v/>
      </c>
      <c r="Q542" s="87" t="str">
        <f>IF(AND(B542='111'!$L$11,OR($N542=$Q$7,$O542=$Q$7)),"x","")</f>
        <v/>
      </c>
      <c r="R542" s="87" t="str">
        <f>IF(AND($N542=$Q$7,$B542&lt;'111'!$L$11),"x","")</f>
        <v/>
      </c>
      <c r="S542" s="87" t="str">
        <f>IF(AND($O542=$Q$7,$B542&lt;'111'!$L$11),"x","")</f>
        <v/>
      </c>
      <c r="T542" s="87" t="str">
        <f>IF(ISERROR(FIND('112'!$M$9,G542,1)),"",IF((AND(FIND('112'!$M$9,G542,1)&gt;=1,B542='112'!$K$9,OR($N542='112'!$I$6,$O542='112'!$I$6))),"x",""))</f>
        <v/>
      </c>
      <c r="U542" s="87" t="str">
        <f>IF(ISERROR(FIND('112'!$M$9,G542,1)),"",IF((AND(FIND('112'!$M$9,G542,1)&gt;=1,B542&lt;'112'!$K$9,$N542='112'!$I$6)),"x",""))</f>
        <v/>
      </c>
      <c r="V542" s="87" t="str">
        <f>IF(ISERROR(FIND('112'!$M$9,G542,1)),"",IF((AND(FIND('112'!$M$9,G542,1)&gt;=1,B542&lt;'112'!$K$9,$O542='112'!$I$6)),"x",""))</f>
        <v/>
      </c>
      <c r="W542" s="87" t="str">
        <f>IF(AND($B542&gt;='1331'!$I$9,$B542&lt;='1331'!$J$9,OR($N542=$W$7,$O542=$W$7)),"x","")</f>
        <v/>
      </c>
      <c r="X542" s="87" t="str">
        <f>IF(AND($N542=$W$7,$B542&lt;'1331'!$I$9),"x","")</f>
        <v/>
      </c>
      <c r="Y542" s="87" t="str">
        <f>IF(AND($O542=$W$7,$B542&lt;'1331'!$I$9),"x","")</f>
        <v/>
      </c>
      <c r="Z542" s="87" t="str">
        <f>IF(AND('341-CT'!$H$9=H542,OR(LEFT(N542,3)=$Z$7,LEFT(O542,3)=$Z$7)),"x","")</f>
        <v/>
      </c>
      <c r="AA542" s="87" t="str">
        <f>IF(OR(TH!N542=TH!$AA$7,O542=TH!$AA$7),"x","")</f>
        <v/>
      </c>
      <c r="AB542" s="87" t="str">
        <f>IF(AND(OR(N542="131",O542="131"),H542='131-CT'!$H$9),"x","")</f>
        <v/>
      </c>
      <c r="AC542" s="87"/>
      <c r="AD542" s="87" t="str">
        <f>IF(AND(MONTH(E542)='IN-NX'!$J$5,'IN-NX'!$D$7=D542),"x","")</f>
        <v/>
      </c>
      <c r="AE542" s="87" t="str">
        <f>IF(AND(OR(LEFT(TH!N542,2)="15",LEFT(TH!O542,2)="15"),'152-CT'!$J$8=TH!F542),"x","")</f>
        <v/>
      </c>
      <c r="AF542" s="87" t="str">
        <f>IF(AND(OR(LEFT(TH!N542,2)="15",LEFT(TH!O542,2)="15"),'THE KHO'!$E$7=TH!F542),"x","")</f>
        <v/>
      </c>
      <c r="AG542" s="87" t="str">
        <f>IF(AND(N542="1521",MONTH(C542)='BK NL'!$M$11),"x","")</f>
        <v/>
      </c>
    </row>
    <row r="543" spans="1:33" ht="15.75" customHeight="1">
      <c r="A543" s="399" t="str">
        <f>IF(B543&lt;&gt;"",IF(AND(B543&gt;=_TM1,B543&lt;=_TM2,OR(TH!N543="1111",TH!O543="1111")),TH!D543,""),"")</f>
        <v/>
      </c>
      <c r="B543" s="63" t="str">
        <f t="shared" si="13"/>
        <v/>
      </c>
      <c r="C543" s="64"/>
      <c r="D543" s="64"/>
      <c r="E543" s="64"/>
      <c r="F543" s="67"/>
      <c r="G543" s="362"/>
      <c r="H543" s="75"/>
      <c r="I543" s="518"/>
      <c r="J543" s="518"/>
      <c r="K543" s="509"/>
      <c r="L543" s="518"/>
      <c r="M543" s="65"/>
      <c r="N543" s="66"/>
      <c r="O543" s="66"/>
      <c r="P543" s="87" t="str">
        <f>IF(AND('331-CT'!$E$7=TH!H543,OR(N543="331",O543="331")),"x","")</f>
        <v/>
      </c>
      <c r="Q543" s="87" t="str">
        <f>IF(AND(B543='111'!$L$11,OR($N543=$Q$7,$O543=$Q$7)),"x","")</f>
        <v/>
      </c>
      <c r="R543" s="87" t="str">
        <f>IF(AND($N543=$Q$7,$B543&lt;'111'!$L$11),"x","")</f>
        <v/>
      </c>
      <c r="S543" s="87" t="str">
        <f>IF(AND($O543=$Q$7,$B543&lt;'111'!$L$11),"x","")</f>
        <v/>
      </c>
      <c r="T543" s="87" t="str">
        <f>IF(ISERROR(FIND('112'!$M$9,G543,1)),"",IF((AND(FIND('112'!$M$9,G543,1)&gt;=1,B543='112'!$K$9,OR($N543='112'!$I$6,$O543='112'!$I$6))),"x",""))</f>
        <v/>
      </c>
      <c r="U543" s="87" t="str">
        <f>IF(ISERROR(FIND('112'!$M$9,G543,1)),"",IF((AND(FIND('112'!$M$9,G543,1)&gt;=1,B543&lt;'112'!$K$9,$N543='112'!$I$6)),"x",""))</f>
        <v/>
      </c>
      <c r="V543" s="87" t="str">
        <f>IF(ISERROR(FIND('112'!$M$9,G543,1)),"",IF((AND(FIND('112'!$M$9,G543,1)&gt;=1,B543&lt;'112'!$K$9,$O543='112'!$I$6)),"x",""))</f>
        <v/>
      </c>
      <c r="W543" s="87" t="str">
        <f>IF(AND($B543&gt;='1331'!$I$9,$B543&lt;='1331'!$J$9,OR($N543=$W$7,$O543=$W$7)),"x","")</f>
        <v/>
      </c>
      <c r="X543" s="87" t="str">
        <f>IF(AND($N543=$W$7,$B543&lt;'1331'!$I$9),"x","")</f>
        <v/>
      </c>
      <c r="Y543" s="87" t="str">
        <f>IF(AND($O543=$W$7,$B543&lt;'1331'!$I$9),"x","")</f>
        <v/>
      </c>
      <c r="Z543" s="87" t="str">
        <f>IF(AND('341-CT'!$H$9=H543,OR(LEFT(N543,3)=$Z$7,LEFT(O543,3)=$Z$7)),"x","")</f>
        <v/>
      </c>
      <c r="AA543" s="87" t="str">
        <f>IF(OR(TH!N543=TH!$AA$7,O543=TH!$AA$7),"x","")</f>
        <v/>
      </c>
      <c r="AB543" s="87" t="str">
        <f>IF(AND(OR(N543="131",O543="131"),H543='131-CT'!$H$9),"x","")</f>
        <v/>
      </c>
      <c r="AC543" s="87"/>
      <c r="AD543" s="87" t="str">
        <f>IF(AND(MONTH(E543)='IN-NX'!$J$5,'IN-NX'!$D$7=D543),"x","")</f>
        <v/>
      </c>
      <c r="AE543" s="87" t="str">
        <f>IF(AND(OR(LEFT(TH!N543,2)="15",LEFT(TH!O543,2)="15"),'152-CT'!$J$8=TH!F543),"x","")</f>
        <v/>
      </c>
      <c r="AF543" s="87" t="str">
        <f>IF(AND(OR(LEFT(TH!N543,2)="15",LEFT(TH!O543,2)="15"),'THE KHO'!$E$7=TH!F543),"x","")</f>
        <v/>
      </c>
      <c r="AG543" s="87" t="str">
        <f>IF(AND(N543="1521",MONTH(C543)='BK NL'!$M$11),"x","")</f>
        <v/>
      </c>
    </row>
    <row r="544" spans="1:33" ht="15.75" customHeight="1">
      <c r="A544" s="399" t="str">
        <f>IF(B544&lt;&gt;"",IF(AND(B544&gt;=_TM1,B544&lt;=_TM2,OR(TH!N544="1111",TH!O544="1111")),TH!D544,""),"")</f>
        <v/>
      </c>
      <c r="B544" s="63" t="str">
        <f t="shared" si="13"/>
        <v/>
      </c>
      <c r="C544" s="64"/>
      <c r="D544" s="64"/>
      <c r="E544" s="64"/>
      <c r="F544" s="67"/>
      <c r="G544" s="362"/>
      <c r="H544" s="75"/>
      <c r="I544" s="518"/>
      <c r="J544" s="518"/>
      <c r="K544" s="509"/>
      <c r="L544" s="518"/>
      <c r="M544" s="65"/>
      <c r="N544" s="66"/>
      <c r="O544" s="66"/>
      <c r="P544" s="87" t="str">
        <f>IF(AND('331-CT'!$E$7=TH!H544,OR(N544="331",O544="331")),"x","")</f>
        <v/>
      </c>
      <c r="Q544" s="87" t="str">
        <f>IF(AND(B544='111'!$L$11,OR($N544=$Q$7,$O544=$Q$7)),"x","")</f>
        <v/>
      </c>
      <c r="R544" s="87" t="str">
        <f>IF(AND($N544=$Q$7,$B544&lt;'111'!$L$11),"x","")</f>
        <v/>
      </c>
      <c r="S544" s="87" t="str">
        <f>IF(AND($O544=$Q$7,$B544&lt;'111'!$L$11),"x","")</f>
        <v/>
      </c>
      <c r="T544" s="87" t="str">
        <f>IF(ISERROR(FIND('112'!$M$9,G544,1)),"",IF((AND(FIND('112'!$M$9,G544,1)&gt;=1,B544='112'!$K$9,OR($N544='112'!$I$6,$O544='112'!$I$6))),"x",""))</f>
        <v/>
      </c>
      <c r="U544" s="87" t="str">
        <f>IF(ISERROR(FIND('112'!$M$9,G544,1)),"",IF((AND(FIND('112'!$M$9,G544,1)&gt;=1,B544&lt;'112'!$K$9,$N544='112'!$I$6)),"x",""))</f>
        <v/>
      </c>
      <c r="V544" s="87" t="str">
        <f>IF(ISERROR(FIND('112'!$M$9,G544,1)),"",IF((AND(FIND('112'!$M$9,G544,1)&gt;=1,B544&lt;'112'!$K$9,$O544='112'!$I$6)),"x",""))</f>
        <v/>
      </c>
      <c r="W544" s="87" t="str">
        <f>IF(AND($B544&gt;='1331'!$I$9,$B544&lt;='1331'!$J$9,OR($N544=$W$7,$O544=$W$7)),"x","")</f>
        <v/>
      </c>
      <c r="X544" s="87" t="str">
        <f>IF(AND($N544=$W$7,$B544&lt;'1331'!$I$9),"x","")</f>
        <v/>
      </c>
      <c r="Y544" s="87" t="str">
        <f>IF(AND($O544=$W$7,$B544&lt;'1331'!$I$9),"x","")</f>
        <v/>
      </c>
      <c r="Z544" s="87" t="str">
        <f>IF(AND('341-CT'!$H$9=H544,OR(LEFT(N544,3)=$Z$7,LEFT(O544,3)=$Z$7)),"x","")</f>
        <v/>
      </c>
      <c r="AA544" s="87" t="str">
        <f>IF(OR(TH!N544=TH!$AA$7,O544=TH!$AA$7),"x","")</f>
        <v/>
      </c>
      <c r="AB544" s="87" t="str">
        <f>IF(AND(OR(N544="131",O544="131"),H544='131-CT'!$H$9),"x","")</f>
        <v/>
      </c>
      <c r="AC544" s="87"/>
      <c r="AD544" s="87" t="str">
        <f>IF(AND(MONTH(E544)='IN-NX'!$J$5,'IN-NX'!$D$7=D544),"x","")</f>
        <v/>
      </c>
      <c r="AE544" s="87" t="str">
        <f>IF(AND(OR(LEFT(TH!N544,2)="15",LEFT(TH!O544,2)="15"),'152-CT'!$J$8=TH!F544),"x","")</f>
        <v/>
      </c>
      <c r="AF544" s="87" t="str">
        <f>IF(AND(OR(LEFT(TH!N544,2)="15",LEFT(TH!O544,2)="15"),'THE KHO'!$E$7=TH!F544),"x","")</f>
        <v/>
      </c>
      <c r="AG544" s="87" t="str">
        <f>IF(AND(N544="1521",MONTH(C544)='BK NL'!$M$11),"x","")</f>
        <v/>
      </c>
    </row>
    <row r="545" spans="1:33" ht="15.75" customHeight="1">
      <c r="A545" s="399" t="str">
        <f>IF(B545&lt;&gt;"",IF(AND(B545&gt;=_TM1,B545&lt;=_TM2,OR(TH!N545="1111",TH!O545="1111")),TH!D545,""),"")</f>
        <v/>
      </c>
      <c r="B545" s="63" t="str">
        <f t="shared" si="13"/>
        <v/>
      </c>
      <c r="C545" s="64"/>
      <c r="D545" s="64"/>
      <c r="E545" s="64"/>
      <c r="F545" s="67"/>
      <c r="G545" s="362"/>
      <c r="H545" s="75"/>
      <c r="I545" s="518"/>
      <c r="J545" s="518"/>
      <c r="K545" s="509"/>
      <c r="L545" s="518"/>
      <c r="M545" s="65"/>
      <c r="N545" s="66"/>
      <c r="O545" s="66"/>
      <c r="P545" s="87" t="str">
        <f>IF(AND('331-CT'!$E$7=TH!H545,OR(N545="331",O545="331")),"x","")</f>
        <v/>
      </c>
      <c r="Q545" s="87" t="str">
        <f>IF(AND(B545='111'!$L$11,OR($N545=$Q$7,$O545=$Q$7)),"x","")</f>
        <v/>
      </c>
      <c r="R545" s="87" t="str">
        <f>IF(AND($N545=$Q$7,$B545&lt;'111'!$L$11),"x","")</f>
        <v/>
      </c>
      <c r="S545" s="87" t="str">
        <f>IF(AND($O545=$Q$7,$B545&lt;'111'!$L$11),"x","")</f>
        <v/>
      </c>
      <c r="T545" s="87" t="str">
        <f>IF(ISERROR(FIND('112'!$M$9,G545,1)),"",IF((AND(FIND('112'!$M$9,G545,1)&gt;=1,B545='112'!$K$9,OR($N545='112'!$I$6,$O545='112'!$I$6))),"x",""))</f>
        <v/>
      </c>
      <c r="U545" s="87" t="str">
        <f>IF(ISERROR(FIND('112'!$M$9,G545,1)),"",IF((AND(FIND('112'!$M$9,G545,1)&gt;=1,B545&lt;'112'!$K$9,$N545='112'!$I$6)),"x",""))</f>
        <v/>
      </c>
      <c r="V545" s="87" t="str">
        <f>IF(ISERROR(FIND('112'!$M$9,G545,1)),"",IF((AND(FIND('112'!$M$9,G545,1)&gt;=1,B545&lt;'112'!$K$9,$O545='112'!$I$6)),"x",""))</f>
        <v/>
      </c>
      <c r="W545" s="87" t="str">
        <f>IF(AND($B545&gt;='1331'!$I$9,$B545&lt;='1331'!$J$9,OR($N545=$W$7,$O545=$W$7)),"x","")</f>
        <v/>
      </c>
      <c r="X545" s="87" t="str">
        <f>IF(AND($N545=$W$7,$B545&lt;'1331'!$I$9),"x","")</f>
        <v/>
      </c>
      <c r="Y545" s="87" t="str">
        <f>IF(AND($O545=$W$7,$B545&lt;'1331'!$I$9),"x","")</f>
        <v/>
      </c>
      <c r="Z545" s="87" t="str">
        <f>IF(AND('341-CT'!$H$9=H545,OR(LEFT(N545,3)=$Z$7,LEFT(O545,3)=$Z$7)),"x","")</f>
        <v/>
      </c>
      <c r="AA545" s="87" t="str">
        <f>IF(OR(TH!N545=TH!$AA$7,O545=TH!$AA$7),"x","")</f>
        <v/>
      </c>
      <c r="AB545" s="87" t="str">
        <f>IF(AND(OR(N545="131",O545="131"),H545='131-CT'!$H$9),"x","")</f>
        <v/>
      </c>
      <c r="AC545" s="87"/>
      <c r="AD545" s="87" t="str">
        <f>IF(AND(MONTH(E545)='IN-NX'!$J$5,'IN-NX'!$D$7=D545),"x","")</f>
        <v/>
      </c>
      <c r="AE545" s="87" t="str">
        <f>IF(AND(OR(LEFT(TH!N545,2)="15",LEFT(TH!O545,2)="15"),'152-CT'!$J$8=TH!F545),"x","")</f>
        <v/>
      </c>
      <c r="AF545" s="87" t="str">
        <f>IF(AND(OR(LEFT(TH!N545,2)="15",LEFT(TH!O545,2)="15"),'THE KHO'!$E$7=TH!F545),"x","")</f>
        <v/>
      </c>
      <c r="AG545" s="87" t="str">
        <f>IF(AND(N545="1521",MONTH(C545)='BK NL'!$M$11),"x","")</f>
        <v/>
      </c>
    </row>
    <row r="546" spans="1:33" ht="15.75" customHeight="1">
      <c r="A546" s="399" t="str">
        <f>IF(B546&lt;&gt;"",IF(AND(B546&gt;=_TM1,B546&lt;=_TM2,OR(TH!N546="1111",TH!O546="1111")),TH!D546,""),"")</f>
        <v/>
      </c>
      <c r="B546" s="63" t="str">
        <f t="shared" si="13"/>
        <v/>
      </c>
      <c r="C546" s="64"/>
      <c r="D546" s="64"/>
      <c r="E546" s="64"/>
      <c r="F546" s="67"/>
      <c r="G546" s="362"/>
      <c r="H546" s="75"/>
      <c r="I546" s="518"/>
      <c r="J546" s="518"/>
      <c r="K546" s="509"/>
      <c r="L546" s="518"/>
      <c r="M546" s="65"/>
      <c r="N546" s="66"/>
      <c r="O546" s="66"/>
      <c r="P546" s="87" t="str">
        <f>IF(AND('331-CT'!$E$7=TH!H546,OR(N546="331",O546="331")),"x","")</f>
        <v/>
      </c>
      <c r="Q546" s="87" t="str">
        <f>IF(AND(B546='111'!$L$11,OR($N546=$Q$7,$O546=$Q$7)),"x","")</f>
        <v/>
      </c>
      <c r="R546" s="87" t="str">
        <f>IF(AND($N546=$Q$7,$B546&lt;'111'!$L$11),"x","")</f>
        <v/>
      </c>
      <c r="S546" s="87" t="str">
        <f>IF(AND($O546=$Q$7,$B546&lt;'111'!$L$11),"x","")</f>
        <v/>
      </c>
      <c r="T546" s="87" t="str">
        <f>IF(ISERROR(FIND('112'!$M$9,G546,1)),"",IF((AND(FIND('112'!$M$9,G546,1)&gt;=1,B546='112'!$K$9,OR($N546='112'!$I$6,$O546='112'!$I$6))),"x",""))</f>
        <v/>
      </c>
      <c r="U546" s="87" t="str">
        <f>IF(ISERROR(FIND('112'!$M$9,G546,1)),"",IF((AND(FIND('112'!$M$9,G546,1)&gt;=1,B546&lt;'112'!$K$9,$N546='112'!$I$6)),"x",""))</f>
        <v/>
      </c>
      <c r="V546" s="87" t="str">
        <f>IF(ISERROR(FIND('112'!$M$9,G546,1)),"",IF((AND(FIND('112'!$M$9,G546,1)&gt;=1,B546&lt;'112'!$K$9,$O546='112'!$I$6)),"x",""))</f>
        <v/>
      </c>
      <c r="W546" s="87" t="str">
        <f>IF(AND($B546&gt;='1331'!$I$9,$B546&lt;='1331'!$J$9,OR($N546=$W$7,$O546=$W$7)),"x","")</f>
        <v/>
      </c>
      <c r="X546" s="87" t="str">
        <f>IF(AND($N546=$W$7,$B546&lt;'1331'!$I$9),"x","")</f>
        <v/>
      </c>
      <c r="Y546" s="87" t="str">
        <f>IF(AND($O546=$W$7,$B546&lt;'1331'!$I$9),"x","")</f>
        <v/>
      </c>
      <c r="Z546" s="87" t="str">
        <f>IF(AND('341-CT'!$H$9=H546,OR(LEFT(N546,3)=$Z$7,LEFT(O546,3)=$Z$7)),"x","")</f>
        <v/>
      </c>
      <c r="AA546" s="87" t="str">
        <f>IF(OR(TH!N546=TH!$AA$7,O546=TH!$AA$7),"x","")</f>
        <v/>
      </c>
      <c r="AB546" s="87" t="str">
        <f>IF(AND(OR(N546="131",O546="131"),H546='131-CT'!$H$9),"x","")</f>
        <v/>
      </c>
      <c r="AC546" s="87"/>
      <c r="AD546" s="87" t="str">
        <f>IF(AND(MONTH(E546)='IN-NX'!$J$5,'IN-NX'!$D$7=D546),"x","")</f>
        <v/>
      </c>
      <c r="AE546" s="87" t="str">
        <f>IF(AND(OR(LEFT(TH!N546,2)="15",LEFT(TH!O546,2)="15"),'152-CT'!$J$8=TH!F546),"x","")</f>
        <v/>
      </c>
      <c r="AF546" s="87" t="str">
        <f>IF(AND(OR(LEFT(TH!N546,2)="15",LEFT(TH!O546,2)="15"),'THE KHO'!$E$7=TH!F546),"x","")</f>
        <v/>
      </c>
      <c r="AG546" s="87" t="str">
        <f>IF(AND(N546="1521",MONTH(C546)='BK NL'!$M$11),"x","")</f>
        <v/>
      </c>
    </row>
    <row r="547" spans="1:33" ht="15.75" customHeight="1">
      <c r="A547" s="399" t="str">
        <f>IF(B547&lt;&gt;"",IF(AND(B547&gt;=_TM1,B547&lt;=_TM2,OR(TH!N547="1111",TH!O547="1111")),TH!D547,""),"")</f>
        <v/>
      </c>
      <c r="B547" s="63" t="str">
        <f t="shared" si="13"/>
        <v/>
      </c>
      <c r="C547" s="64"/>
      <c r="D547" s="64"/>
      <c r="E547" s="64"/>
      <c r="F547" s="67"/>
      <c r="G547" s="362"/>
      <c r="H547" s="75"/>
      <c r="I547" s="518"/>
      <c r="J547" s="518"/>
      <c r="K547" s="509"/>
      <c r="L547" s="518"/>
      <c r="M547" s="65"/>
      <c r="N547" s="66"/>
      <c r="O547" s="66"/>
      <c r="P547" s="87" t="str">
        <f>IF(AND('331-CT'!$E$7=TH!H547,OR(N547="331",O547="331")),"x","")</f>
        <v/>
      </c>
      <c r="Q547" s="87" t="str">
        <f>IF(AND(B547='111'!$L$11,OR($N547=$Q$7,$O547=$Q$7)),"x","")</f>
        <v/>
      </c>
      <c r="R547" s="87" t="str">
        <f>IF(AND($N547=$Q$7,$B547&lt;'111'!$L$11),"x","")</f>
        <v/>
      </c>
      <c r="S547" s="87" t="str">
        <f>IF(AND($O547=$Q$7,$B547&lt;'111'!$L$11),"x","")</f>
        <v/>
      </c>
      <c r="T547" s="87" t="str">
        <f>IF(ISERROR(FIND('112'!$M$9,G547,1)),"",IF((AND(FIND('112'!$M$9,G547,1)&gt;=1,B547='112'!$K$9,OR($N547='112'!$I$6,$O547='112'!$I$6))),"x",""))</f>
        <v/>
      </c>
      <c r="U547" s="87" t="str">
        <f>IF(ISERROR(FIND('112'!$M$9,G547,1)),"",IF((AND(FIND('112'!$M$9,G547,1)&gt;=1,B547&lt;'112'!$K$9,$N547='112'!$I$6)),"x",""))</f>
        <v/>
      </c>
      <c r="V547" s="87" t="str">
        <f>IF(ISERROR(FIND('112'!$M$9,G547,1)),"",IF((AND(FIND('112'!$M$9,G547,1)&gt;=1,B547&lt;'112'!$K$9,$O547='112'!$I$6)),"x",""))</f>
        <v/>
      </c>
      <c r="W547" s="87" t="str">
        <f>IF(AND($B547&gt;='1331'!$I$9,$B547&lt;='1331'!$J$9,OR($N547=$W$7,$O547=$W$7)),"x","")</f>
        <v/>
      </c>
      <c r="X547" s="87" t="str">
        <f>IF(AND($N547=$W$7,$B547&lt;'1331'!$I$9),"x","")</f>
        <v/>
      </c>
      <c r="Y547" s="87" t="str">
        <f>IF(AND($O547=$W$7,$B547&lt;'1331'!$I$9),"x","")</f>
        <v/>
      </c>
      <c r="Z547" s="87" t="str">
        <f>IF(AND('341-CT'!$H$9=H547,OR(LEFT(N547,3)=$Z$7,LEFT(O547,3)=$Z$7)),"x","")</f>
        <v/>
      </c>
      <c r="AA547" s="87" t="str">
        <f>IF(OR(TH!N547=TH!$AA$7,O547=TH!$AA$7),"x","")</f>
        <v/>
      </c>
      <c r="AB547" s="87" t="str">
        <f>IF(AND(OR(N547="131",O547="131"),H547='131-CT'!$H$9),"x","")</f>
        <v/>
      </c>
      <c r="AC547" s="87"/>
      <c r="AD547" s="87" t="str">
        <f>IF(AND(MONTH(E547)='IN-NX'!$J$5,'IN-NX'!$D$7=D547),"x","")</f>
        <v/>
      </c>
      <c r="AE547" s="87" t="str">
        <f>IF(AND(OR(LEFT(TH!N547,2)="15",LEFT(TH!O547,2)="15"),'152-CT'!$J$8=TH!F547),"x","")</f>
        <v/>
      </c>
      <c r="AF547" s="87" t="str">
        <f>IF(AND(OR(LEFT(TH!N547,2)="15",LEFT(TH!O547,2)="15"),'THE KHO'!$E$7=TH!F547),"x","")</f>
        <v/>
      </c>
      <c r="AG547" s="87" t="str">
        <f>IF(AND(N547="1521",MONTH(C547)='BK NL'!$M$11),"x","")</f>
        <v/>
      </c>
    </row>
    <row r="548" spans="1:33" ht="15.75" customHeight="1">
      <c r="A548" s="399" t="str">
        <f>IF(B548&lt;&gt;"",IF(AND(B548&gt;=_TM1,B548&lt;=_TM2,OR(TH!N548="1111",TH!O548="1111")),TH!D548,""),"")</f>
        <v/>
      </c>
      <c r="B548" s="63" t="str">
        <f t="shared" si="13"/>
        <v/>
      </c>
      <c r="C548" s="64"/>
      <c r="D548" s="64"/>
      <c r="E548" s="64"/>
      <c r="F548" s="67"/>
      <c r="G548" s="362"/>
      <c r="H548" s="75"/>
      <c r="I548" s="518"/>
      <c r="J548" s="518"/>
      <c r="K548" s="509"/>
      <c r="L548" s="518"/>
      <c r="M548" s="65"/>
      <c r="N548" s="66"/>
      <c r="O548" s="66"/>
      <c r="P548" s="87" t="str">
        <f>IF(AND('331-CT'!$E$7=TH!H548,OR(N548="331",O548="331")),"x","")</f>
        <v/>
      </c>
      <c r="Q548" s="87" t="str">
        <f>IF(AND(B548='111'!$L$11,OR($N548=$Q$7,$O548=$Q$7)),"x","")</f>
        <v/>
      </c>
      <c r="R548" s="87" t="str">
        <f>IF(AND($N548=$Q$7,$B548&lt;'111'!$L$11),"x","")</f>
        <v/>
      </c>
      <c r="S548" s="87" t="str">
        <f>IF(AND($O548=$Q$7,$B548&lt;'111'!$L$11),"x","")</f>
        <v/>
      </c>
      <c r="T548" s="87" t="str">
        <f>IF(ISERROR(FIND('112'!$M$9,G548,1)),"",IF((AND(FIND('112'!$M$9,G548,1)&gt;=1,B548='112'!$K$9,OR($N548='112'!$I$6,$O548='112'!$I$6))),"x",""))</f>
        <v/>
      </c>
      <c r="U548" s="87" t="str">
        <f>IF(ISERROR(FIND('112'!$M$9,G548,1)),"",IF((AND(FIND('112'!$M$9,G548,1)&gt;=1,B548&lt;'112'!$K$9,$N548='112'!$I$6)),"x",""))</f>
        <v/>
      </c>
      <c r="V548" s="87" t="str">
        <f>IF(ISERROR(FIND('112'!$M$9,G548,1)),"",IF((AND(FIND('112'!$M$9,G548,1)&gt;=1,B548&lt;'112'!$K$9,$O548='112'!$I$6)),"x",""))</f>
        <v/>
      </c>
      <c r="W548" s="87" t="str">
        <f>IF(AND($B548&gt;='1331'!$I$9,$B548&lt;='1331'!$J$9,OR($N548=$W$7,$O548=$W$7)),"x","")</f>
        <v/>
      </c>
      <c r="X548" s="87" t="str">
        <f>IF(AND($N548=$W$7,$B548&lt;'1331'!$I$9),"x","")</f>
        <v/>
      </c>
      <c r="Y548" s="87" t="str">
        <f>IF(AND($O548=$W$7,$B548&lt;'1331'!$I$9),"x","")</f>
        <v/>
      </c>
      <c r="Z548" s="87" t="str">
        <f>IF(AND('341-CT'!$H$9=H548,OR(LEFT(N548,3)=$Z$7,LEFT(O548,3)=$Z$7)),"x","")</f>
        <v/>
      </c>
      <c r="AA548" s="87" t="str">
        <f>IF(OR(TH!N548=TH!$AA$7,O548=TH!$AA$7),"x","")</f>
        <v/>
      </c>
      <c r="AB548" s="87" t="str">
        <f>IF(AND(OR(N548="131",O548="131"),H548='131-CT'!$H$9),"x","")</f>
        <v/>
      </c>
      <c r="AC548" s="87"/>
      <c r="AD548" s="87" t="str">
        <f>IF(AND(MONTH(E548)='IN-NX'!$J$5,'IN-NX'!$D$7=D548),"x","")</f>
        <v/>
      </c>
      <c r="AE548" s="87" t="str">
        <f>IF(AND(OR(LEFT(TH!N548,2)="15",LEFT(TH!O548,2)="15"),'152-CT'!$J$8=TH!F548),"x","")</f>
        <v/>
      </c>
      <c r="AF548" s="87" t="str">
        <f>IF(AND(OR(LEFT(TH!N548,2)="15",LEFT(TH!O548,2)="15"),'THE KHO'!$E$7=TH!F548),"x","")</f>
        <v/>
      </c>
      <c r="AG548" s="87" t="str">
        <f>IF(AND(N548="1521",MONTH(C548)='BK NL'!$M$11),"x","")</f>
        <v/>
      </c>
    </row>
    <row r="549" spans="1:33" ht="15.75" customHeight="1">
      <c r="A549" s="399" t="str">
        <f>IF(B549&lt;&gt;"",IF(AND(B549&gt;=_TM1,B549&lt;=_TM2,OR(TH!N549="1111",TH!O549="1111")),TH!D549,""),"")</f>
        <v/>
      </c>
      <c r="B549" s="63" t="str">
        <f t="shared" si="13"/>
        <v/>
      </c>
      <c r="C549" s="64"/>
      <c r="D549" s="64"/>
      <c r="E549" s="64"/>
      <c r="F549" s="67"/>
      <c r="G549" s="362"/>
      <c r="H549" s="75"/>
      <c r="I549" s="518"/>
      <c r="J549" s="518"/>
      <c r="K549" s="509"/>
      <c r="L549" s="518"/>
      <c r="M549" s="65"/>
      <c r="N549" s="66"/>
      <c r="O549" s="66"/>
      <c r="P549" s="87" t="str">
        <f>IF(AND('331-CT'!$E$7=TH!H549,OR(N549="331",O549="331")),"x","")</f>
        <v/>
      </c>
      <c r="Q549" s="87" t="str">
        <f>IF(AND(B549='111'!$L$11,OR($N549=$Q$7,$O549=$Q$7)),"x","")</f>
        <v/>
      </c>
      <c r="R549" s="87" t="str">
        <f>IF(AND($N549=$Q$7,$B549&lt;'111'!$L$11),"x","")</f>
        <v/>
      </c>
      <c r="S549" s="87" t="str">
        <f>IF(AND($O549=$Q$7,$B549&lt;'111'!$L$11),"x","")</f>
        <v/>
      </c>
      <c r="T549" s="87" t="str">
        <f>IF(ISERROR(FIND('112'!$M$9,G549,1)),"",IF((AND(FIND('112'!$M$9,G549,1)&gt;=1,B549='112'!$K$9,OR($N549='112'!$I$6,$O549='112'!$I$6))),"x",""))</f>
        <v/>
      </c>
      <c r="U549" s="87" t="str">
        <f>IF(ISERROR(FIND('112'!$M$9,G549,1)),"",IF((AND(FIND('112'!$M$9,G549,1)&gt;=1,B549&lt;'112'!$K$9,$N549='112'!$I$6)),"x",""))</f>
        <v/>
      </c>
      <c r="V549" s="87" t="str">
        <f>IF(ISERROR(FIND('112'!$M$9,G549,1)),"",IF((AND(FIND('112'!$M$9,G549,1)&gt;=1,B549&lt;'112'!$K$9,$O549='112'!$I$6)),"x",""))</f>
        <v/>
      </c>
      <c r="W549" s="87" t="str">
        <f>IF(AND($B549&gt;='1331'!$I$9,$B549&lt;='1331'!$J$9,OR($N549=$W$7,$O549=$W$7)),"x","")</f>
        <v/>
      </c>
      <c r="X549" s="87" t="str">
        <f>IF(AND($N549=$W$7,$B549&lt;'1331'!$I$9),"x","")</f>
        <v/>
      </c>
      <c r="Y549" s="87" t="str">
        <f>IF(AND($O549=$W$7,$B549&lt;'1331'!$I$9),"x","")</f>
        <v/>
      </c>
      <c r="Z549" s="87" t="str">
        <f>IF(AND('341-CT'!$H$9=H549,OR(LEFT(N549,3)=$Z$7,LEFT(O549,3)=$Z$7)),"x","")</f>
        <v/>
      </c>
      <c r="AA549" s="87" t="str">
        <f>IF(OR(TH!N549=TH!$AA$7,O549=TH!$AA$7),"x","")</f>
        <v/>
      </c>
      <c r="AB549" s="87" t="str">
        <f>IF(AND(OR(N549="131",O549="131"),H549='131-CT'!$H$9),"x","")</f>
        <v/>
      </c>
      <c r="AC549" s="87"/>
      <c r="AD549" s="87" t="str">
        <f>IF(AND(MONTH(E549)='IN-NX'!$J$5,'IN-NX'!$D$7=D549),"x","")</f>
        <v/>
      </c>
      <c r="AE549" s="87" t="str">
        <f>IF(AND(OR(LEFT(TH!N549,2)="15",LEFT(TH!O549,2)="15"),'152-CT'!$J$8=TH!F549),"x","")</f>
        <v/>
      </c>
      <c r="AF549" s="87" t="str">
        <f>IF(AND(OR(LEFT(TH!N549,2)="15",LEFT(TH!O549,2)="15"),'THE KHO'!$E$7=TH!F549),"x","")</f>
        <v/>
      </c>
      <c r="AG549" s="87" t="str">
        <f>IF(AND(N549="1521",MONTH(C549)='BK NL'!$M$11),"x","")</f>
        <v/>
      </c>
    </row>
    <row r="550" spans="1:33" s="414" customFormat="1" ht="15.75" customHeight="1">
      <c r="A550" s="399" t="str">
        <f>IF(B550&lt;&gt;"",IF(AND(B550&gt;=_TM1,B550&lt;=_TM2,OR(TH!N550="1111",TH!O550="1111")),TH!D550,""),"")</f>
        <v/>
      </c>
      <c r="B550" s="63" t="str">
        <f t="shared" si="13"/>
        <v/>
      </c>
      <c r="C550" s="64"/>
      <c r="D550" s="64"/>
      <c r="E550" s="64"/>
      <c r="F550" s="67"/>
      <c r="G550" s="376"/>
      <c r="H550" s="75"/>
      <c r="I550" s="518"/>
      <c r="J550" s="518"/>
      <c r="K550" s="509"/>
      <c r="L550" s="518"/>
      <c r="M550" s="65"/>
      <c r="N550" s="66"/>
      <c r="O550" s="66"/>
      <c r="P550" s="87" t="str">
        <f>IF(AND('331-CT'!$E$7=TH!H550,OR(N550="331",O550="331")),"x","")</f>
        <v/>
      </c>
      <c r="Q550" s="87" t="str">
        <f>IF(AND(B550='111'!$L$11,OR($N550=$Q$7,$O550=$Q$7)),"x","")</f>
        <v/>
      </c>
      <c r="R550" s="87" t="str">
        <f>IF(AND($N550=$Q$7,$B550&lt;'111'!$L$11),"x","")</f>
        <v/>
      </c>
      <c r="S550" s="87" t="str">
        <f>IF(AND($O550=$Q$7,$B550&lt;'111'!$L$11),"x","")</f>
        <v/>
      </c>
      <c r="T550" s="87" t="str">
        <f>IF(ISERROR(FIND('112'!$M$9,G550,1)),"",IF((AND(FIND('112'!$M$9,G550,1)&gt;=1,B550='112'!$K$9,OR($N550='112'!$I$6,$O550='112'!$I$6))),"x",""))</f>
        <v/>
      </c>
      <c r="U550" s="87" t="str">
        <f>IF(ISERROR(FIND('112'!$M$9,G550,1)),"",IF((AND(FIND('112'!$M$9,G550,1)&gt;=1,B550&lt;'112'!$K$9,$N550='112'!$I$6)),"x",""))</f>
        <v/>
      </c>
      <c r="V550" s="87" t="str">
        <f>IF(ISERROR(FIND('112'!$M$9,G550,1)),"",IF((AND(FIND('112'!$M$9,G550,1)&gt;=1,B550&lt;'112'!$K$9,$O550='112'!$I$6)),"x",""))</f>
        <v/>
      </c>
      <c r="W550" s="87" t="str">
        <f>IF(AND($B550&gt;='1331'!$I$9,$B550&lt;='1331'!$J$9,OR($N550=$W$7,$O550=$W$7)),"x","")</f>
        <v/>
      </c>
      <c r="X550" s="87" t="str">
        <f>IF(AND($N550=$W$7,$B550&lt;'1331'!$I$9),"x","")</f>
        <v/>
      </c>
      <c r="Y550" s="87" t="str">
        <f>IF(AND($O550=$W$7,$B550&lt;'1331'!$I$9),"x","")</f>
        <v/>
      </c>
      <c r="Z550" s="87" t="str">
        <f>IF(AND('341-CT'!$H$9=H550,OR(LEFT(N550,3)=$Z$7,LEFT(O550,3)=$Z$7)),"x","")</f>
        <v/>
      </c>
      <c r="AA550" s="87" t="str">
        <f>IF(OR(TH!N550=TH!$AA$7,O550=TH!$AA$7),"x","")</f>
        <v/>
      </c>
      <c r="AB550" s="87" t="str">
        <f>IF(AND(OR(N550="131",O550="131"),H550='131-CT'!$H$9),"x","")</f>
        <v/>
      </c>
      <c r="AC550" s="87"/>
      <c r="AD550" s="87" t="str">
        <f>IF(AND(MONTH(E550)='IN-NX'!$J$5,'IN-NX'!$D$7=D550),"x","")</f>
        <v/>
      </c>
      <c r="AE550" s="87" t="str">
        <f>IF(AND(OR(LEFT(TH!N550,2)="15",LEFT(TH!O550,2)="15"),'152-CT'!$J$8=TH!F550),"x","")</f>
        <v/>
      </c>
      <c r="AF550" s="87" t="str">
        <f>IF(AND(OR(LEFT(TH!N550,2)="15",LEFT(TH!O550,2)="15"),'THE KHO'!$E$7=TH!F550),"x","")</f>
        <v/>
      </c>
      <c r="AG550" s="87" t="str">
        <f>IF(AND(N550="1521",MONTH(C550)='BK NL'!$M$11),"x","")</f>
        <v/>
      </c>
    </row>
    <row r="551" spans="1:33" ht="15.75" customHeight="1">
      <c r="A551" s="399" t="str">
        <f>IF(B551&lt;&gt;"",IF(AND(B551&gt;=_TM1,B551&lt;=_TM2,OR(TH!N551="1111",TH!O551="1111")),TH!D551,""),"")</f>
        <v/>
      </c>
      <c r="B551" s="63" t="str">
        <f t="shared" si="13"/>
        <v/>
      </c>
      <c r="C551" s="64"/>
      <c r="D551" s="64"/>
      <c r="E551" s="64"/>
      <c r="F551" s="67"/>
      <c r="G551" s="376"/>
      <c r="H551" s="75"/>
      <c r="I551" s="518"/>
      <c r="J551" s="518"/>
      <c r="K551" s="509"/>
      <c r="L551" s="518"/>
      <c r="M551" s="65"/>
      <c r="N551" s="66"/>
      <c r="O551" s="66"/>
      <c r="P551" s="87" t="str">
        <f>IF(AND('331-CT'!$E$7=TH!H551,OR(N551="331",O551="331")),"x","")</f>
        <v/>
      </c>
      <c r="Q551" s="87" t="str">
        <f>IF(AND(B551='111'!$L$11,OR($N551=$Q$7,$O551=$Q$7)),"x","")</f>
        <v/>
      </c>
      <c r="R551" s="87" t="str">
        <f>IF(AND($N551=$Q$7,$B551&lt;'111'!$L$11),"x","")</f>
        <v/>
      </c>
      <c r="S551" s="87" t="str">
        <f>IF(AND($O551=$Q$7,$B551&lt;'111'!$L$11),"x","")</f>
        <v/>
      </c>
      <c r="T551" s="87" t="str">
        <f>IF(ISERROR(FIND('112'!$M$9,G551,1)),"",IF((AND(FIND('112'!$M$9,G551,1)&gt;=1,B551='112'!$K$9,OR($N551='112'!$I$6,$O551='112'!$I$6))),"x",""))</f>
        <v/>
      </c>
      <c r="U551" s="87" t="str">
        <f>IF(ISERROR(FIND('112'!$M$9,G551,1)),"",IF((AND(FIND('112'!$M$9,G551,1)&gt;=1,B551&lt;'112'!$K$9,$N551='112'!$I$6)),"x",""))</f>
        <v/>
      </c>
      <c r="V551" s="87" t="str">
        <f>IF(ISERROR(FIND('112'!$M$9,G551,1)),"",IF((AND(FIND('112'!$M$9,G551,1)&gt;=1,B551&lt;'112'!$K$9,$O551='112'!$I$6)),"x",""))</f>
        <v/>
      </c>
      <c r="W551" s="87" t="str">
        <f>IF(AND($B551&gt;='1331'!$I$9,$B551&lt;='1331'!$J$9,OR($N551=$W$7,$O551=$W$7)),"x","")</f>
        <v/>
      </c>
      <c r="X551" s="87" t="str">
        <f>IF(AND($N551=$W$7,$B551&lt;'1331'!$I$9),"x","")</f>
        <v/>
      </c>
      <c r="Y551" s="87" t="str">
        <f>IF(AND($O551=$W$7,$B551&lt;'1331'!$I$9),"x","")</f>
        <v/>
      </c>
      <c r="Z551" s="87" t="str">
        <f>IF(AND('341-CT'!$H$9=H551,OR(LEFT(N551,3)=$Z$7,LEFT(O551,3)=$Z$7)),"x","")</f>
        <v/>
      </c>
      <c r="AA551" s="87" t="str">
        <f>IF(OR(TH!N551=TH!$AA$7,O551=TH!$AA$7),"x","")</f>
        <v/>
      </c>
      <c r="AB551" s="87" t="str">
        <f>IF(AND(OR(N551="131",O551="131"),H551='131-CT'!$H$9),"x","")</f>
        <v/>
      </c>
      <c r="AC551" s="87"/>
      <c r="AD551" s="87" t="str">
        <f>IF(AND(MONTH(E551)='IN-NX'!$J$5,'IN-NX'!$D$7=D551),"x","")</f>
        <v/>
      </c>
      <c r="AE551" s="87" t="str">
        <f>IF(AND(OR(LEFT(TH!N551,2)="15",LEFT(TH!O551,2)="15"),'152-CT'!$J$8=TH!F551),"x","")</f>
        <v/>
      </c>
      <c r="AF551" s="87" t="str">
        <f>IF(AND(OR(LEFT(TH!N551,2)="15",LEFT(TH!O551,2)="15"),'THE KHO'!$E$7=TH!F551),"x","")</f>
        <v/>
      </c>
      <c r="AG551" s="87" t="str">
        <f>IF(AND(N551="1521",MONTH(C551)='BK NL'!$M$11),"x","")</f>
        <v/>
      </c>
    </row>
    <row r="552" spans="1:33" ht="15.75" customHeight="1">
      <c r="A552" s="399" t="str">
        <f>IF(B552&lt;&gt;"",IF(AND(B552&gt;=_TM1,B552&lt;=_TM2,OR(TH!N552="1111",TH!O552="1111")),TH!D552,""),"")</f>
        <v/>
      </c>
      <c r="B552" s="63" t="str">
        <f t="shared" si="13"/>
        <v/>
      </c>
      <c r="C552" s="64"/>
      <c r="D552" s="64"/>
      <c r="E552" s="64"/>
      <c r="F552" s="67"/>
      <c r="G552" s="362"/>
      <c r="H552" s="75"/>
      <c r="I552" s="518"/>
      <c r="J552" s="518"/>
      <c r="K552" s="509"/>
      <c r="L552" s="518"/>
      <c r="M552" s="65"/>
      <c r="N552" s="66"/>
      <c r="O552" s="66"/>
      <c r="P552" s="87" t="str">
        <f>IF(AND('331-CT'!$E$7=TH!H552,OR(N552="331",O552="331")),"x","")</f>
        <v/>
      </c>
      <c r="Q552" s="87" t="str">
        <f>IF(AND(B552='111'!$L$11,OR($N552=$Q$7,$O552=$Q$7)),"x","")</f>
        <v/>
      </c>
      <c r="R552" s="87" t="str">
        <f>IF(AND($N552=$Q$7,$B552&lt;'111'!$L$11),"x","")</f>
        <v/>
      </c>
      <c r="S552" s="87" t="str">
        <f>IF(AND($O552=$Q$7,$B552&lt;'111'!$L$11),"x","")</f>
        <v/>
      </c>
      <c r="T552" s="87" t="str">
        <f>IF(ISERROR(FIND('112'!$M$9,G552,1)),"",IF((AND(FIND('112'!$M$9,G552,1)&gt;=1,B552='112'!$K$9,OR($N552='112'!$I$6,$O552='112'!$I$6))),"x",""))</f>
        <v/>
      </c>
      <c r="U552" s="87" t="str">
        <f>IF(ISERROR(FIND('112'!$M$9,G552,1)),"",IF((AND(FIND('112'!$M$9,G552,1)&gt;=1,B552&lt;'112'!$K$9,$N552='112'!$I$6)),"x",""))</f>
        <v/>
      </c>
      <c r="V552" s="87" t="str">
        <f>IF(ISERROR(FIND('112'!$M$9,G552,1)),"",IF((AND(FIND('112'!$M$9,G552,1)&gt;=1,B552&lt;'112'!$K$9,$O552='112'!$I$6)),"x",""))</f>
        <v/>
      </c>
      <c r="W552" s="87" t="str">
        <f>IF(AND($B552&gt;='1331'!$I$9,$B552&lt;='1331'!$J$9,OR($N552=$W$7,$O552=$W$7)),"x","")</f>
        <v/>
      </c>
      <c r="X552" s="87" t="str">
        <f>IF(AND($N552=$W$7,$B552&lt;'1331'!$I$9),"x","")</f>
        <v/>
      </c>
      <c r="Y552" s="87" t="str">
        <f>IF(AND($O552=$W$7,$B552&lt;'1331'!$I$9),"x","")</f>
        <v/>
      </c>
      <c r="Z552" s="87" t="str">
        <f>IF(AND('341-CT'!$H$9=H552,OR(LEFT(N552,3)=$Z$7,LEFT(O552,3)=$Z$7)),"x","")</f>
        <v/>
      </c>
      <c r="AA552" s="87" t="str">
        <f>IF(OR(TH!N552=TH!$AA$7,O552=TH!$AA$7),"x","")</f>
        <v/>
      </c>
      <c r="AB552" s="87" t="str">
        <f>IF(AND(OR(N552="131",O552="131"),H552='131-CT'!$H$9),"x","")</f>
        <v/>
      </c>
      <c r="AC552" s="87"/>
      <c r="AD552" s="87" t="str">
        <f>IF(AND(MONTH(E552)='IN-NX'!$J$5,'IN-NX'!$D$7=D552),"x","")</f>
        <v/>
      </c>
      <c r="AE552" s="87" t="str">
        <f>IF(AND(OR(LEFT(TH!N552,2)="15",LEFT(TH!O552,2)="15"),'152-CT'!$J$8=TH!F552),"x","")</f>
        <v/>
      </c>
      <c r="AF552" s="87" t="str">
        <f>IF(AND(OR(LEFT(TH!N552,2)="15",LEFT(TH!O552,2)="15"),'THE KHO'!$E$7=TH!F552),"x","")</f>
        <v/>
      </c>
      <c r="AG552" s="87" t="str">
        <f>IF(AND(N552="1521",MONTH(C552)='BK NL'!$M$11),"x","")</f>
        <v/>
      </c>
    </row>
    <row r="553" spans="1:33" ht="15.75" customHeight="1">
      <c r="A553" s="399" t="str">
        <f>IF(B553&lt;&gt;"",IF(AND(B553&gt;=_TM1,B553&lt;=_TM2,OR(TH!N553="1111",TH!O553="1111")),TH!D553,""),"")</f>
        <v/>
      </c>
      <c r="B553" s="63" t="str">
        <f t="shared" si="13"/>
        <v/>
      </c>
      <c r="C553" s="64"/>
      <c r="D553" s="64"/>
      <c r="E553" s="64"/>
      <c r="F553" s="67"/>
      <c r="G553" s="362"/>
      <c r="H553" s="75"/>
      <c r="I553" s="518"/>
      <c r="J553" s="518"/>
      <c r="K553" s="509"/>
      <c r="L553" s="518"/>
      <c r="M553" s="65"/>
      <c r="N553" s="66"/>
      <c r="O553" s="66"/>
      <c r="P553" s="87" t="str">
        <f>IF(AND('331-CT'!$E$7=TH!H553,OR(N553="331",O553="331")),"x","")</f>
        <v/>
      </c>
      <c r="Q553" s="87" t="str">
        <f>IF(AND(B553='111'!$L$11,OR($N553=$Q$7,$O553=$Q$7)),"x","")</f>
        <v/>
      </c>
      <c r="R553" s="87" t="str">
        <f>IF(AND($N553=$Q$7,$B553&lt;'111'!$L$11),"x","")</f>
        <v/>
      </c>
      <c r="S553" s="87" t="str">
        <f>IF(AND($O553=$Q$7,$B553&lt;'111'!$L$11),"x","")</f>
        <v/>
      </c>
      <c r="T553" s="87" t="str">
        <f>IF(ISERROR(FIND('112'!$M$9,G553,1)),"",IF((AND(FIND('112'!$M$9,G553,1)&gt;=1,B553='112'!$K$9,OR($N553='112'!$I$6,$O553='112'!$I$6))),"x",""))</f>
        <v/>
      </c>
      <c r="U553" s="87" t="str">
        <f>IF(ISERROR(FIND('112'!$M$9,G553,1)),"",IF((AND(FIND('112'!$M$9,G553,1)&gt;=1,B553&lt;'112'!$K$9,$N553='112'!$I$6)),"x",""))</f>
        <v/>
      </c>
      <c r="V553" s="87" t="str">
        <f>IF(ISERROR(FIND('112'!$M$9,G553,1)),"",IF((AND(FIND('112'!$M$9,G553,1)&gt;=1,B553&lt;'112'!$K$9,$O553='112'!$I$6)),"x",""))</f>
        <v/>
      </c>
      <c r="W553" s="87" t="str">
        <f>IF(AND($B553&gt;='1331'!$I$9,$B553&lt;='1331'!$J$9,OR($N553=$W$7,$O553=$W$7)),"x","")</f>
        <v/>
      </c>
      <c r="X553" s="87" t="str">
        <f>IF(AND($N553=$W$7,$B553&lt;'1331'!$I$9),"x","")</f>
        <v/>
      </c>
      <c r="Y553" s="87" t="str">
        <f>IF(AND($O553=$W$7,$B553&lt;'1331'!$I$9),"x","")</f>
        <v/>
      </c>
      <c r="Z553" s="87" t="str">
        <f>IF(AND('341-CT'!$H$9=H553,OR(LEFT(N553,3)=$Z$7,LEFT(O553,3)=$Z$7)),"x","")</f>
        <v/>
      </c>
      <c r="AA553" s="87" t="str">
        <f>IF(OR(TH!N553=TH!$AA$7,O553=TH!$AA$7),"x","")</f>
        <v/>
      </c>
      <c r="AB553" s="87" t="str">
        <f>IF(AND(OR(N553="131",O553="131"),H553='131-CT'!$H$9),"x","")</f>
        <v/>
      </c>
      <c r="AC553" s="87"/>
      <c r="AD553" s="87" t="str">
        <f>IF(AND(MONTH(E553)='IN-NX'!$J$5,'IN-NX'!$D$7=D553),"x","")</f>
        <v/>
      </c>
      <c r="AE553" s="87" t="str">
        <f>IF(AND(OR(LEFT(TH!N553,2)="15",LEFT(TH!O553,2)="15"),'152-CT'!$J$8=TH!F553),"x","")</f>
        <v/>
      </c>
      <c r="AF553" s="87" t="str">
        <f>IF(AND(OR(LEFT(TH!N553,2)="15",LEFT(TH!O553,2)="15"),'THE KHO'!$E$7=TH!F553),"x","")</f>
        <v/>
      </c>
      <c r="AG553" s="87" t="str">
        <f>IF(AND(N553="1521",MONTH(C553)='BK NL'!$M$11),"x","")</f>
        <v/>
      </c>
    </row>
    <row r="554" spans="1:33" ht="15.75" customHeight="1">
      <c r="A554" s="399" t="str">
        <f>IF(B554&lt;&gt;"",IF(AND(B554&gt;=_TM1,B554&lt;=_TM2,OR(TH!N554="1111",TH!O554="1111")),TH!D554,""),"")</f>
        <v/>
      </c>
      <c r="B554" s="63" t="str">
        <f t="shared" si="13"/>
        <v/>
      </c>
      <c r="C554" s="64"/>
      <c r="D554" s="64"/>
      <c r="E554" s="64"/>
      <c r="F554" s="67"/>
      <c r="G554" s="362"/>
      <c r="H554" s="75"/>
      <c r="I554" s="518"/>
      <c r="J554" s="518"/>
      <c r="K554" s="509"/>
      <c r="L554" s="518"/>
      <c r="M554" s="65"/>
      <c r="N554" s="66"/>
      <c r="O554" s="66"/>
      <c r="P554" s="87" t="str">
        <f>IF(AND('331-CT'!$E$7=TH!H554,OR(N554="331",O554="331")),"x","")</f>
        <v/>
      </c>
      <c r="Q554" s="87" t="str">
        <f>IF(AND(B554='111'!$L$11,OR($N554=$Q$7,$O554=$Q$7)),"x","")</f>
        <v/>
      </c>
      <c r="R554" s="87" t="str">
        <f>IF(AND($N554=$Q$7,$B554&lt;'111'!$L$11),"x","")</f>
        <v/>
      </c>
      <c r="S554" s="87" t="str">
        <f>IF(AND($O554=$Q$7,$B554&lt;'111'!$L$11),"x","")</f>
        <v/>
      </c>
      <c r="T554" s="87" t="str">
        <f>IF(ISERROR(FIND('112'!$M$9,G554,1)),"",IF((AND(FIND('112'!$M$9,G554,1)&gt;=1,B554='112'!$K$9,OR($N554='112'!$I$6,$O554='112'!$I$6))),"x",""))</f>
        <v/>
      </c>
      <c r="U554" s="87" t="str">
        <f>IF(ISERROR(FIND('112'!$M$9,G554,1)),"",IF((AND(FIND('112'!$M$9,G554,1)&gt;=1,B554&lt;'112'!$K$9,$N554='112'!$I$6)),"x",""))</f>
        <v/>
      </c>
      <c r="V554" s="87" t="str">
        <f>IF(ISERROR(FIND('112'!$M$9,G554,1)),"",IF((AND(FIND('112'!$M$9,G554,1)&gt;=1,B554&lt;'112'!$K$9,$O554='112'!$I$6)),"x",""))</f>
        <v/>
      </c>
      <c r="W554" s="87" t="str">
        <f>IF(AND($B554&gt;='1331'!$I$9,$B554&lt;='1331'!$J$9,OR($N554=$W$7,$O554=$W$7)),"x","")</f>
        <v/>
      </c>
      <c r="X554" s="87" t="str">
        <f>IF(AND($N554=$W$7,$B554&lt;'1331'!$I$9),"x","")</f>
        <v/>
      </c>
      <c r="Y554" s="87" t="str">
        <f>IF(AND($O554=$W$7,$B554&lt;'1331'!$I$9),"x","")</f>
        <v/>
      </c>
      <c r="Z554" s="87" t="str">
        <f>IF(AND('341-CT'!$H$9=H554,OR(LEFT(N554,3)=$Z$7,LEFT(O554,3)=$Z$7)),"x","")</f>
        <v/>
      </c>
      <c r="AA554" s="87" t="str">
        <f>IF(OR(TH!N554=TH!$AA$7,O554=TH!$AA$7),"x","")</f>
        <v/>
      </c>
      <c r="AB554" s="87" t="str">
        <f>IF(AND(OR(N554="131",O554="131"),H554='131-CT'!$H$9),"x","")</f>
        <v/>
      </c>
      <c r="AC554" s="87"/>
      <c r="AD554" s="87" t="str">
        <f>IF(AND(MONTH(E554)='IN-NX'!$J$5,'IN-NX'!$D$7=D554),"x","")</f>
        <v/>
      </c>
      <c r="AE554" s="87" t="str">
        <f>IF(AND(OR(LEFT(TH!N554,2)="15",LEFT(TH!O554,2)="15"),'152-CT'!$J$8=TH!F554),"x","")</f>
        <v/>
      </c>
      <c r="AF554" s="87" t="str">
        <f>IF(AND(OR(LEFT(TH!N554,2)="15",LEFT(TH!O554,2)="15"),'THE KHO'!$E$7=TH!F554),"x","")</f>
        <v/>
      </c>
      <c r="AG554" s="87" t="str">
        <f>IF(AND(N554="1521",MONTH(C554)='BK NL'!$M$11),"x","")</f>
        <v/>
      </c>
    </row>
    <row r="555" spans="1:33" ht="15.75" customHeight="1">
      <c r="A555" s="399" t="str">
        <f>IF(B555&lt;&gt;"",IF(AND(B555&gt;=_TM1,B555&lt;=_TM2,OR(TH!N555="1111",TH!O555="1111")),TH!D555,""),"")</f>
        <v/>
      </c>
      <c r="B555" s="63" t="str">
        <f t="shared" si="13"/>
        <v/>
      </c>
      <c r="C555" s="64"/>
      <c r="D555" s="64"/>
      <c r="E555" s="64"/>
      <c r="F555" s="67"/>
      <c r="G555" s="376"/>
      <c r="H555" s="75"/>
      <c r="I555" s="518"/>
      <c r="J555" s="518"/>
      <c r="K555" s="509"/>
      <c r="L555" s="518"/>
      <c r="M555" s="65"/>
      <c r="N555" s="66"/>
      <c r="O555" s="66"/>
      <c r="P555" s="87" t="str">
        <f>IF(AND('331-CT'!$E$7=TH!H555,OR(N555="331",O555="331")),"x","")</f>
        <v/>
      </c>
      <c r="Q555" s="87" t="str">
        <f>IF(AND(B555='111'!$L$11,OR($N555=$Q$7,$O555=$Q$7)),"x","")</f>
        <v/>
      </c>
      <c r="R555" s="87" t="str">
        <f>IF(AND($N555=$Q$7,$B555&lt;'111'!$L$11),"x","")</f>
        <v/>
      </c>
      <c r="S555" s="87" t="str">
        <f>IF(AND($O555=$Q$7,$B555&lt;'111'!$L$11),"x","")</f>
        <v/>
      </c>
      <c r="T555" s="87" t="str">
        <f>IF(ISERROR(FIND('112'!$M$9,G555,1)),"",IF((AND(FIND('112'!$M$9,G555,1)&gt;=1,B555='112'!$K$9,OR($N555='112'!$I$6,$O555='112'!$I$6))),"x",""))</f>
        <v/>
      </c>
      <c r="U555" s="87" t="str">
        <f>IF(ISERROR(FIND('112'!$M$9,G555,1)),"",IF((AND(FIND('112'!$M$9,G555,1)&gt;=1,B555&lt;'112'!$K$9,$N555='112'!$I$6)),"x",""))</f>
        <v/>
      </c>
      <c r="V555" s="87" t="str">
        <f>IF(ISERROR(FIND('112'!$M$9,G555,1)),"",IF((AND(FIND('112'!$M$9,G555,1)&gt;=1,B555&lt;'112'!$K$9,$O555='112'!$I$6)),"x",""))</f>
        <v/>
      </c>
      <c r="W555" s="87" t="str">
        <f>IF(AND($B555&gt;='1331'!$I$9,$B555&lt;='1331'!$J$9,OR($N555=$W$7,$O555=$W$7)),"x","")</f>
        <v/>
      </c>
      <c r="X555" s="87" t="str">
        <f>IF(AND($N555=$W$7,$B555&lt;'1331'!$I$9),"x","")</f>
        <v/>
      </c>
      <c r="Y555" s="87" t="str">
        <f>IF(AND($O555=$W$7,$B555&lt;'1331'!$I$9),"x","")</f>
        <v/>
      </c>
      <c r="Z555" s="87" t="str">
        <f>IF(AND('341-CT'!$H$9=H555,OR(LEFT(N555,3)=$Z$7,LEFT(O555,3)=$Z$7)),"x","")</f>
        <v/>
      </c>
      <c r="AA555" s="87" t="str">
        <f>IF(OR(TH!N555=TH!$AA$7,O555=TH!$AA$7),"x","")</f>
        <v/>
      </c>
      <c r="AB555" s="87" t="str">
        <f>IF(AND(OR(N555="131",O555="131"),H555='131-CT'!$H$9),"x","")</f>
        <v/>
      </c>
      <c r="AC555" s="87"/>
      <c r="AD555" s="87" t="str">
        <f>IF(AND(MONTH(E555)='IN-NX'!$J$5,'IN-NX'!$D$7=D555),"x","")</f>
        <v/>
      </c>
      <c r="AE555" s="87" t="str">
        <f>IF(AND(OR(LEFT(TH!N555,2)="15",LEFT(TH!O555,2)="15"),'152-CT'!$J$8=TH!F555),"x","")</f>
        <v/>
      </c>
      <c r="AF555" s="87" t="str">
        <f>IF(AND(OR(LEFT(TH!N555,2)="15",LEFT(TH!O555,2)="15"),'THE KHO'!$E$7=TH!F555),"x","")</f>
        <v/>
      </c>
      <c r="AG555" s="87" t="str">
        <f>IF(AND(N555="1521",MONTH(C555)='BK NL'!$M$11),"x","")</f>
        <v/>
      </c>
    </row>
    <row r="556" spans="1:33" ht="15.75" customHeight="1">
      <c r="A556" s="399" t="str">
        <f>IF(B556&lt;&gt;"",IF(AND(B556&gt;=_TM1,B556&lt;=_TM2,OR(TH!N556="1111",TH!O556="1111")),TH!D556,""),"")</f>
        <v/>
      </c>
      <c r="B556" s="63" t="str">
        <f t="shared" si="13"/>
        <v/>
      </c>
      <c r="C556" s="64"/>
      <c r="D556" s="64"/>
      <c r="E556" s="64"/>
      <c r="F556" s="67"/>
      <c r="G556" s="376"/>
      <c r="H556" s="75"/>
      <c r="I556" s="518"/>
      <c r="J556" s="518"/>
      <c r="K556" s="509"/>
      <c r="L556" s="518"/>
      <c r="M556" s="65"/>
      <c r="N556" s="66"/>
      <c r="O556" s="66"/>
      <c r="P556" s="87" t="str">
        <f>IF(AND('331-CT'!$E$7=TH!H556,OR(N556="331",O556="331")),"x","")</f>
        <v/>
      </c>
      <c r="Q556" s="87" t="str">
        <f>IF(AND(B556='111'!$L$11,OR($N556=$Q$7,$O556=$Q$7)),"x","")</f>
        <v/>
      </c>
      <c r="R556" s="87" t="str">
        <f>IF(AND($N556=$Q$7,$B556&lt;'111'!$L$11),"x","")</f>
        <v/>
      </c>
      <c r="S556" s="87" t="str">
        <f>IF(AND($O556=$Q$7,$B556&lt;'111'!$L$11),"x","")</f>
        <v/>
      </c>
      <c r="T556" s="87" t="str">
        <f>IF(ISERROR(FIND('112'!$M$9,G556,1)),"",IF((AND(FIND('112'!$M$9,G556,1)&gt;=1,B556='112'!$K$9,OR($N556='112'!$I$6,$O556='112'!$I$6))),"x",""))</f>
        <v/>
      </c>
      <c r="U556" s="87" t="str">
        <f>IF(ISERROR(FIND('112'!$M$9,G556,1)),"",IF((AND(FIND('112'!$M$9,G556,1)&gt;=1,B556&lt;'112'!$K$9,$N556='112'!$I$6)),"x",""))</f>
        <v/>
      </c>
      <c r="V556" s="87" t="str">
        <f>IF(ISERROR(FIND('112'!$M$9,G556,1)),"",IF((AND(FIND('112'!$M$9,G556,1)&gt;=1,B556&lt;'112'!$K$9,$O556='112'!$I$6)),"x",""))</f>
        <v/>
      </c>
      <c r="W556" s="87" t="str">
        <f>IF(AND($B556&gt;='1331'!$I$9,$B556&lt;='1331'!$J$9,OR($N556=$W$7,$O556=$W$7)),"x","")</f>
        <v/>
      </c>
      <c r="X556" s="87" t="str">
        <f>IF(AND($N556=$W$7,$B556&lt;'1331'!$I$9),"x","")</f>
        <v/>
      </c>
      <c r="Y556" s="87" t="str">
        <f>IF(AND($O556=$W$7,$B556&lt;'1331'!$I$9),"x","")</f>
        <v/>
      </c>
      <c r="Z556" s="87" t="str">
        <f>IF(AND('341-CT'!$H$9=H556,OR(LEFT(N556,3)=$Z$7,LEFT(O556,3)=$Z$7)),"x","")</f>
        <v/>
      </c>
      <c r="AA556" s="87" t="str">
        <f>IF(OR(TH!N556=TH!$AA$7,O556=TH!$AA$7),"x","")</f>
        <v/>
      </c>
      <c r="AB556" s="87" t="str">
        <f>IF(AND(OR(N556="131",O556="131"),H556='131-CT'!$H$9),"x","")</f>
        <v/>
      </c>
      <c r="AC556" s="87"/>
      <c r="AD556" s="87" t="str">
        <f>IF(AND(MONTH(E556)='IN-NX'!$J$5,'IN-NX'!$D$7=D556),"x","")</f>
        <v/>
      </c>
      <c r="AE556" s="87" t="str">
        <f>IF(AND(OR(LEFT(TH!N556,2)="15",LEFT(TH!O556,2)="15"),'152-CT'!$J$8=TH!F556),"x","")</f>
        <v/>
      </c>
      <c r="AF556" s="87" t="str">
        <f>IF(AND(OR(LEFT(TH!N556,2)="15",LEFT(TH!O556,2)="15"),'THE KHO'!$E$7=TH!F556),"x","")</f>
        <v/>
      </c>
      <c r="AG556" s="87" t="str">
        <f>IF(AND(N556="1521",MONTH(C556)='BK NL'!$M$11),"x","")</f>
        <v/>
      </c>
    </row>
    <row r="557" spans="1:33" ht="15.75" customHeight="1">
      <c r="A557" s="399" t="str">
        <f>IF(B557&lt;&gt;"",IF(AND(B557&gt;=_TM1,B557&lt;=_TM2,OR(TH!N557="1111",TH!O557="1111")),TH!D557,""),"")</f>
        <v/>
      </c>
      <c r="B557" s="63" t="str">
        <f t="shared" si="13"/>
        <v/>
      </c>
      <c r="C557" s="64"/>
      <c r="D557" s="64"/>
      <c r="E557" s="64"/>
      <c r="F557" s="67"/>
      <c r="G557" s="376"/>
      <c r="H557" s="75"/>
      <c r="I557" s="518"/>
      <c r="J557" s="518"/>
      <c r="K557" s="509"/>
      <c r="L557" s="518"/>
      <c r="M557" s="65"/>
      <c r="N557" s="66"/>
      <c r="O557" s="66"/>
      <c r="P557" s="87" t="str">
        <f>IF(AND('331-CT'!$E$7=TH!H557,OR(N557="331",O557="331")),"x","")</f>
        <v/>
      </c>
      <c r="Q557" s="87" t="str">
        <f>IF(AND(B557='111'!$L$11,OR($N557=$Q$7,$O557=$Q$7)),"x","")</f>
        <v/>
      </c>
      <c r="R557" s="87" t="str">
        <f>IF(AND($N557=$Q$7,$B557&lt;'111'!$L$11),"x","")</f>
        <v/>
      </c>
      <c r="S557" s="87" t="str">
        <f>IF(AND($O557=$Q$7,$B557&lt;'111'!$L$11),"x","")</f>
        <v/>
      </c>
      <c r="T557" s="87" t="str">
        <f>IF(ISERROR(FIND('112'!$M$9,G557,1)),"",IF((AND(FIND('112'!$M$9,G557,1)&gt;=1,B557='112'!$K$9,OR($N557='112'!$I$6,$O557='112'!$I$6))),"x",""))</f>
        <v/>
      </c>
      <c r="U557" s="87" t="str">
        <f>IF(ISERROR(FIND('112'!$M$9,G557,1)),"",IF((AND(FIND('112'!$M$9,G557,1)&gt;=1,B557&lt;'112'!$K$9,$N557='112'!$I$6)),"x",""))</f>
        <v/>
      </c>
      <c r="V557" s="87" t="str">
        <f>IF(ISERROR(FIND('112'!$M$9,G557,1)),"",IF((AND(FIND('112'!$M$9,G557,1)&gt;=1,B557&lt;'112'!$K$9,$O557='112'!$I$6)),"x",""))</f>
        <v/>
      </c>
      <c r="W557" s="87" t="str">
        <f>IF(AND($B557&gt;='1331'!$I$9,$B557&lt;='1331'!$J$9,OR($N557=$W$7,$O557=$W$7)),"x","")</f>
        <v/>
      </c>
      <c r="X557" s="87" t="str">
        <f>IF(AND($N557=$W$7,$B557&lt;'1331'!$I$9),"x","")</f>
        <v/>
      </c>
      <c r="Y557" s="87" t="str">
        <f>IF(AND($O557=$W$7,$B557&lt;'1331'!$I$9),"x","")</f>
        <v/>
      </c>
      <c r="Z557" s="87" t="str">
        <f>IF(AND('341-CT'!$H$9=H557,OR(LEFT(N557,3)=$Z$7,LEFT(O557,3)=$Z$7)),"x","")</f>
        <v/>
      </c>
      <c r="AA557" s="87" t="str">
        <f>IF(OR(TH!N557=TH!$AA$7,O557=TH!$AA$7),"x","")</f>
        <v/>
      </c>
      <c r="AB557" s="87" t="str">
        <f>IF(AND(OR(N557="131",O557="131"),H557='131-CT'!$H$9),"x","")</f>
        <v/>
      </c>
      <c r="AC557" s="87"/>
      <c r="AD557" s="87" t="str">
        <f>IF(AND(MONTH(E557)='IN-NX'!$J$5,'IN-NX'!$D$7=D557),"x","")</f>
        <v/>
      </c>
      <c r="AE557" s="87" t="str">
        <f>IF(AND(OR(LEFT(TH!N557,2)="15",LEFT(TH!O557,2)="15"),'152-CT'!$J$8=TH!F557),"x","")</f>
        <v/>
      </c>
      <c r="AF557" s="87" t="str">
        <f>IF(AND(OR(LEFT(TH!N557,2)="15",LEFT(TH!O557,2)="15"),'THE KHO'!$E$7=TH!F557),"x","")</f>
        <v/>
      </c>
      <c r="AG557" s="87" t="str">
        <f>IF(AND(N557="1521",MONTH(C557)='BK NL'!$M$11),"x","")</f>
        <v/>
      </c>
    </row>
    <row r="558" spans="1:33" ht="15.75" customHeight="1">
      <c r="A558" s="399" t="str">
        <f>IF(B558&lt;&gt;"",IF(AND(B558&gt;=_TM1,B558&lt;=_TM2,OR(TH!N558="1111",TH!O558="1111")),TH!D558,""),"")</f>
        <v/>
      </c>
      <c r="B558" s="63" t="str">
        <f t="shared" ref="B558:B621" si="14">IF(C558&lt;&gt;"",MONTH(C558),"")</f>
        <v/>
      </c>
      <c r="C558" s="64"/>
      <c r="D558" s="64"/>
      <c r="E558" s="64"/>
      <c r="F558" s="67"/>
      <c r="G558" s="376"/>
      <c r="H558" s="75"/>
      <c r="I558" s="518"/>
      <c r="J558" s="518"/>
      <c r="K558" s="509"/>
      <c r="L558" s="518"/>
      <c r="M558" s="65"/>
      <c r="N558" s="66"/>
      <c r="O558" s="66"/>
      <c r="P558" s="87" t="str">
        <f>IF(AND('331-CT'!$E$7=TH!H558,OR(N558="331",O558="331")),"x","")</f>
        <v/>
      </c>
      <c r="Q558" s="87" t="str">
        <f>IF(AND(B558='111'!$L$11,OR($N558=$Q$7,$O558=$Q$7)),"x","")</f>
        <v/>
      </c>
      <c r="R558" s="87" t="str">
        <f>IF(AND($N558=$Q$7,$B558&lt;'111'!$L$11),"x","")</f>
        <v/>
      </c>
      <c r="S558" s="87" t="str">
        <f>IF(AND($O558=$Q$7,$B558&lt;'111'!$L$11),"x","")</f>
        <v/>
      </c>
      <c r="T558" s="87" t="str">
        <f>IF(ISERROR(FIND('112'!$M$9,G558,1)),"",IF((AND(FIND('112'!$M$9,G558,1)&gt;=1,B558='112'!$K$9,OR($N558='112'!$I$6,$O558='112'!$I$6))),"x",""))</f>
        <v/>
      </c>
      <c r="U558" s="87" t="str">
        <f>IF(ISERROR(FIND('112'!$M$9,G558,1)),"",IF((AND(FIND('112'!$M$9,G558,1)&gt;=1,B558&lt;'112'!$K$9,$N558='112'!$I$6)),"x",""))</f>
        <v/>
      </c>
      <c r="V558" s="87" t="str">
        <f>IF(ISERROR(FIND('112'!$M$9,G558,1)),"",IF((AND(FIND('112'!$M$9,G558,1)&gt;=1,B558&lt;'112'!$K$9,$O558='112'!$I$6)),"x",""))</f>
        <v/>
      </c>
      <c r="W558" s="87" t="str">
        <f>IF(AND($B558&gt;='1331'!$I$9,$B558&lt;='1331'!$J$9,OR($N558=$W$7,$O558=$W$7)),"x","")</f>
        <v/>
      </c>
      <c r="X558" s="87" t="str">
        <f>IF(AND($N558=$W$7,$B558&lt;'1331'!$I$9),"x","")</f>
        <v/>
      </c>
      <c r="Y558" s="87" t="str">
        <f>IF(AND($O558=$W$7,$B558&lt;'1331'!$I$9),"x","")</f>
        <v/>
      </c>
      <c r="Z558" s="87" t="str">
        <f>IF(AND('341-CT'!$H$9=H558,OR(LEFT(N558,3)=$Z$7,LEFT(O558,3)=$Z$7)),"x","")</f>
        <v/>
      </c>
      <c r="AA558" s="87" t="str">
        <f>IF(OR(TH!N558=TH!$AA$7,O558=TH!$AA$7),"x","")</f>
        <v/>
      </c>
      <c r="AB558" s="87" t="str">
        <f>IF(AND(OR(N558="131",O558="131"),H558='131-CT'!$H$9),"x","")</f>
        <v/>
      </c>
      <c r="AC558" s="87"/>
      <c r="AD558" s="87" t="str">
        <f>IF(AND(MONTH(E558)='IN-NX'!$J$5,'IN-NX'!$D$7=D558),"x","")</f>
        <v/>
      </c>
      <c r="AE558" s="87" t="str">
        <f>IF(AND(OR(LEFT(TH!N558,2)="15",LEFT(TH!O558,2)="15"),'152-CT'!$J$8=TH!F558),"x","")</f>
        <v/>
      </c>
      <c r="AF558" s="87" t="str">
        <f>IF(AND(OR(LEFT(TH!N558,2)="15",LEFT(TH!O558,2)="15"),'THE KHO'!$E$7=TH!F558),"x","")</f>
        <v/>
      </c>
      <c r="AG558" s="87" t="str">
        <f>IF(AND(N558="1521",MONTH(C558)='BK NL'!$M$11),"x","")</f>
        <v/>
      </c>
    </row>
    <row r="559" spans="1:33" ht="15.75" customHeight="1">
      <c r="A559" s="399" t="str">
        <f>IF(B559&lt;&gt;"",IF(AND(B559&gt;=_TM1,B559&lt;=_TM2,OR(TH!N559="1111",TH!O559="1111")),TH!D559,""),"")</f>
        <v/>
      </c>
      <c r="B559" s="63" t="str">
        <f t="shared" si="14"/>
        <v/>
      </c>
      <c r="C559" s="64"/>
      <c r="D559" s="64"/>
      <c r="E559" s="64"/>
      <c r="F559" s="67"/>
      <c r="G559" s="362"/>
      <c r="H559" s="75"/>
      <c r="I559" s="518"/>
      <c r="J559" s="518"/>
      <c r="K559" s="509"/>
      <c r="L559" s="518"/>
      <c r="M559" s="65"/>
      <c r="N559" s="66"/>
      <c r="O559" s="66"/>
      <c r="P559" s="87" t="str">
        <f>IF(AND('331-CT'!$E$7=TH!H559,OR(N559="331",O559="331")),"x","")</f>
        <v/>
      </c>
      <c r="Q559" s="87" t="str">
        <f>IF(AND(B559='111'!$L$11,OR($N559=$Q$7,$O559=$Q$7)),"x","")</f>
        <v/>
      </c>
      <c r="R559" s="87" t="str">
        <f>IF(AND($N559=$Q$7,$B559&lt;'111'!$L$11),"x","")</f>
        <v/>
      </c>
      <c r="S559" s="87" t="str">
        <f>IF(AND($O559=$Q$7,$B559&lt;'111'!$L$11),"x","")</f>
        <v/>
      </c>
      <c r="T559" s="87" t="str">
        <f>IF(ISERROR(FIND('112'!$M$9,G559,1)),"",IF((AND(FIND('112'!$M$9,G559,1)&gt;=1,B559='112'!$K$9,OR($N559='112'!$I$6,$O559='112'!$I$6))),"x",""))</f>
        <v/>
      </c>
      <c r="U559" s="87" t="str">
        <f>IF(ISERROR(FIND('112'!$M$9,G559,1)),"",IF((AND(FIND('112'!$M$9,G559,1)&gt;=1,B559&lt;'112'!$K$9,$N559='112'!$I$6)),"x",""))</f>
        <v/>
      </c>
      <c r="V559" s="87" t="str">
        <f>IF(ISERROR(FIND('112'!$M$9,G559,1)),"",IF((AND(FIND('112'!$M$9,G559,1)&gt;=1,B559&lt;'112'!$K$9,$O559='112'!$I$6)),"x",""))</f>
        <v/>
      </c>
      <c r="W559" s="87" t="str">
        <f>IF(AND($B559&gt;='1331'!$I$9,$B559&lt;='1331'!$J$9,OR($N559=$W$7,$O559=$W$7)),"x","")</f>
        <v/>
      </c>
      <c r="X559" s="87" t="str">
        <f>IF(AND($N559=$W$7,$B559&lt;'1331'!$I$9),"x","")</f>
        <v/>
      </c>
      <c r="Y559" s="87" t="str">
        <f>IF(AND($O559=$W$7,$B559&lt;'1331'!$I$9),"x","")</f>
        <v/>
      </c>
      <c r="Z559" s="87" t="str">
        <f>IF(AND('341-CT'!$H$9=H559,OR(LEFT(N559,3)=$Z$7,LEFT(O559,3)=$Z$7)),"x","")</f>
        <v/>
      </c>
      <c r="AA559" s="87" t="str">
        <f>IF(OR(TH!N559=TH!$AA$7,O559=TH!$AA$7),"x","")</f>
        <v/>
      </c>
      <c r="AB559" s="87" t="str">
        <f>IF(AND(OR(N559="131",O559="131"),H559='131-CT'!$H$9),"x","")</f>
        <v/>
      </c>
      <c r="AC559" s="87"/>
      <c r="AD559" s="87" t="str">
        <f>IF(AND(MONTH(E559)='IN-NX'!$J$5,'IN-NX'!$D$7=D559),"x","")</f>
        <v/>
      </c>
      <c r="AE559" s="87" t="str">
        <f>IF(AND(OR(LEFT(TH!N559,2)="15",LEFT(TH!O559,2)="15"),'152-CT'!$J$8=TH!F559),"x","")</f>
        <v/>
      </c>
      <c r="AF559" s="87" t="str">
        <f>IF(AND(OR(LEFT(TH!N559,2)="15",LEFT(TH!O559,2)="15"),'THE KHO'!$E$7=TH!F559),"x","")</f>
        <v/>
      </c>
      <c r="AG559" s="87" t="str">
        <f>IF(AND(N559="1521",MONTH(C559)='BK NL'!$M$11),"x","")</f>
        <v/>
      </c>
    </row>
    <row r="560" spans="1:33" ht="15.75" customHeight="1">
      <c r="A560" s="399" t="str">
        <f>IF(B560&lt;&gt;"",IF(AND(B560&gt;=_TM1,B560&lt;=_TM2,OR(TH!N560="1111",TH!O560="1111")),TH!D560,""),"")</f>
        <v/>
      </c>
      <c r="B560" s="63" t="str">
        <f t="shared" si="14"/>
        <v/>
      </c>
      <c r="C560" s="64"/>
      <c r="D560" s="64"/>
      <c r="E560" s="64"/>
      <c r="F560" s="67"/>
      <c r="G560" s="362"/>
      <c r="H560" s="75"/>
      <c r="I560" s="518"/>
      <c r="J560" s="518"/>
      <c r="K560" s="509"/>
      <c r="L560" s="518"/>
      <c r="M560" s="65"/>
      <c r="N560" s="66"/>
      <c r="O560" s="66"/>
      <c r="P560" s="87" t="str">
        <f>IF(AND('331-CT'!$E$7=TH!H560,OR(N560="331",O560="331")),"x","")</f>
        <v/>
      </c>
      <c r="Q560" s="87" t="str">
        <f>IF(AND(B560='111'!$L$11,OR($N560=$Q$7,$O560=$Q$7)),"x","")</f>
        <v/>
      </c>
      <c r="R560" s="87" t="str">
        <f>IF(AND($N560=$Q$7,$B560&lt;'111'!$L$11),"x","")</f>
        <v/>
      </c>
      <c r="S560" s="87" t="str">
        <f>IF(AND($O560=$Q$7,$B560&lt;'111'!$L$11),"x","")</f>
        <v/>
      </c>
      <c r="T560" s="87" t="str">
        <f>IF(ISERROR(FIND('112'!$M$9,G560,1)),"",IF((AND(FIND('112'!$M$9,G560,1)&gt;=1,B560='112'!$K$9,OR($N560='112'!$I$6,$O560='112'!$I$6))),"x",""))</f>
        <v/>
      </c>
      <c r="U560" s="87" t="str">
        <f>IF(ISERROR(FIND('112'!$M$9,G560,1)),"",IF((AND(FIND('112'!$M$9,G560,1)&gt;=1,B560&lt;'112'!$K$9,$N560='112'!$I$6)),"x",""))</f>
        <v/>
      </c>
      <c r="V560" s="87" t="str">
        <f>IF(ISERROR(FIND('112'!$M$9,G560,1)),"",IF((AND(FIND('112'!$M$9,G560,1)&gt;=1,B560&lt;'112'!$K$9,$O560='112'!$I$6)),"x",""))</f>
        <v/>
      </c>
      <c r="W560" s="87" t="str">
        <f>IF(AND($B560&gt;='1331'!$I$9,$B560&lt;='1331'!$J$9,OR($N560=$W$7,$O560=$W$7)),"x","")</f>
        <v/>
      </c>
      <c r="X560" s="87" t="str">
        <f>IF(AND($N560=$W$7,$B560&lt;'1331'!$I$9),"x","")</f>
        <v/>
      </c>
      <c r="Y560" s="87" t="str">
        <f>IF(AND($O560=$W$7,$B560&lt;'1331'!$I$9),"x","")</f>
        <v/>
      </c>
      <c r="Z560" s="87" t="str">
        <f>IF(AND('341-CT'!$H$9=H560,OR(LEFT(N560,3)=$Z$7,LEFT(O560,3)=$Z$7)),"x","")</f>
        <v/>
      </c>
      <c r="AA560" s="87" t="str">
        <f>IF(OR(TH!N560=TH!$AA$7,O560=TH!$AA$7),"x","")</f>
        <v/>
      </c>
      <c r="AB560" s="87" t="str">
        <f>IF(AND(OR(N560="131",O560="131"),H560='131-CT'!$H$9),"x","")</f>
        <v/>
      </c>
      <c r="AC560" s="87"/>
      <c r="AD560" s="87" t="str">
        <f>IF(AND(MONTH(E560)='IN-NX'!$J$5,'IN-NX'!$D$7=D560),"x","")</f>
        <v/>
      </c>
      <c r="AE560" s="87" t="str">
        <f>IF(AND(OR(LEFT(TH!N560,2)="15",LEFT(TH!O560,2)="15"),'152-CT'!$J$8=TH!F560),"x","")</f>
        <v/>
      </c>
      <c r="AF560" s="87" t="str">
        <f>IF(AND(OR(LEFT(TH!N560,2)="15",LEFT(TH!O560,2)="15"),'THE KHO'!$E$7=TH!F560),"x","")</f>
        <v/>
      </c>
      <c r="AG560" s="87" t="str">
        <f>IF(AND(N560="1521",MONTH(C560)='BK NL'!$M$11),"x","")</f>
        <v/>
      </c>
    </row>
    <row r="561" spans="1:33" ht="15.75" customHeight="1">
      <c r="A561" s="399" t="str">
        <f>IF(B561&lt;&gt;"",IF(AND(B561&gt;=_TM1,B561&lt;=_TM2,OR(TH!N561="1111",TH!O561="1111")),TH!D561,""),"")</f>
        <v/>
      </c>
      <c r="B561" s="63" t="str">
        <f t="shared" si="14"/>
        <v/>
      </c>
      <c r="C561" s="64"/>
      <c r="D561" s="64"/>
      <c r="E561" s="64"/>
      <c r="F561" s="67"/>
      <c r="G561" s="362"/>
      <c r="H561" s="75"/>
      <c r="I561" s="518"/>
      <c r="J561" s="518"/>
      <c r="K561" s="509"/>
      <c r="L561" s="518"/>
      <c r="M561" s="65"/>
      <c r="N561" s="66"/>
      <c r="O561" s="66"/>
      <c r="P561" s="87" t="str">
        <f>IF(AND('331-CT'!$E$7=TH!H561,OR(N561="331",O561="331")),"x","")</f>
        <v/>
      </c>
      <c r="Q561" s="87" t="str">
        <f>IF(AND(B561='111'!$L$11,OR($N561=$Q$7,$O561=$Q$7)),"x","")</f>
        <v/>
      </c>
      <c r="R561" s="87" t="str">
        <f>IF(AND($N561=$Q$7,$B561&lt;'111'!$L$11),"x","")</f>
        <v/>
      </c>
      <c r="S561" s="87" t="str">
        <f>IF(AND($O561=$Q$7,$B561&lt;'111'!$L$11),"x","")</f>
        <v/>
      </c>
      <c r="T561" s="87" t="str">
        <f>IF(ISERROR(FIND('112'!$M$9,G561,1)),"",IF((AND(FIND('112'!$M$9,G561,1)&gt;=1,B561='112'!$K$9,OR($N561='112'!$I$6,$O561='112'!$I$6))),"x",""))</f>
        <v/>
      </c>
      <c r="U561" s="87" t="str">
        <f>IF(ISERROR(FIND('112'!$M$9,G561,1)),"",IF((AND(FIND('112'!$M$9,G561,1)&gt;=1,B561&lt;'112'!$K$9,$N561='112'!$I$6)),"x",""))</f>
        <v/>
      </c>
      <c r="V561" s="87" t="str">
        <f>IF(ISERROR(FIND('112'!$M$9,G561,1)),"",IF((AND(FIND('112'!$M$9,G561,1)&gt;=1,B561&lt;'112'!$K$9,$O561='112'!$I$6)),"x",""))</f>
        <v/>
      </c>
      <c r="W561" s="87" t="str">
        <f>IF(AND($B561&gt;='1331'!$I$9,$B561&lt;='1331'!$J$9,OR($N561=$W$7,$O561=$W$7)),"x","")</f>
        <v/>
      </c>
      <c r="X561" s="87" t="str">
        <f>IF(AND($N561=$W$7,$B561&lt;'1331'!$I$9),"x","")</f>
        <v/>
      </c>
      <c r="Y561" s="87" t="str">
        <f>IF(AND($O561=$W$7,$B561&lt;'1331'!$I$9),"x","")</f>
        <v/>
      </c>
      <c r="Z561" s="87" t="str">
        <f>IF(AND('341-CT'!$H$9=H561,OR(LEFT(N561,3)=$Z$7,LEFT(O561,3)=$Z$7)),"x","")</f>
        <v/>
      </c>
      <c r="AA561" s="87" t="str">
        <f>IF(OR(TH!N561=TH!$AA$7,O561=TH!$AA$7),"x","")</f>
        <v/>
      </c>
      <c r="AB561" s="87" t="str">
        <f>IF(AND(OR(N561="131",O561="131"),H561='131-CT'!$H$9),"x","")</f>
        <v/>
      </c>
      <c r="AC561" s="87"/>
      <c r="AD561" s="87" t="str">
        <f>IF(AND(MONTH(E561)='IN-NX'!$J$5,'IN-NX'!$D$7=D561),"x","")</f>
        <v/>
      </c>
      <c r="AE561" s="87" t="str">
        <f>IF(AND(OR(LEFT(TH!N561,2)="15",LEFT(TH!O561,2)="15"),'152-CT'!$J$8=TH!F561),"x","")</f>
        <v/>
      </c>
      <c r="AF561" s="87" t="str">
        <f>IF(AND(OR(LEFT(TH!N561,2)="15",LEFT(TH!O561,2)="15"),'THE KHO'!$E$7=TH!F561),"x","")</f>
        <v/>
      </c>
      <c r="AG561" s="87" t="str">
        <f>IF(AND(N561="1521",MONTH(C561)='BK NL'!$M$11),"x","")</f>
        <v/>
      </c>
    </row>
    <row r="562" spans="1:33" ht="15.75" customHeight="1">
      <c r="A562" s="399" t="str">
        <f>IF(B562&lt;&gt;"",IF(AND(B562&gt;=_TM1,B562&lt;=_TM2,OR(TH!N562="1111",TH!O562="1111")),TH!D562,""),"")</f>
        <v/>
      </c>
      <c r="B562" s="63" t="str">
        <f t="shared" si="14"/>
        <v/>
      </c>
      <c r="C562" s="64"/>
      <c r="D562" s="64"/>
      <c r="E562" s="64"/>
      <c r="F562" s="67"/>
      <c r="G562" s="376"/>
      <c r="H562" s="75"/>
      <c r="I562" s="518"/>
      <c r="J562" s="518"/>
      <c r="K562" s="509"/>
      <c r="L562" s="518"/>
      <c r="M562" s="65"/>
      <c r="N562" s="66"/>
      <c r="O562" s="66"/>
      <c r="P562" s="87" t="str">
        <f>IF(AND('331-CT'!$E$7=TH!H562,OR(N562="331",O562="331")),"x","")</f>
        <v/>
      </c>
      <c r="Q562" s="87" t="str">
        <f>IF(AND(B562='111'!$L$11,OR($N562=$Q$7,$O562=$Q$7)),"x","")</f>
        <v/>
      </c>
      <c r="R562" s="87" t="str">
        <f>IF(AND($N562=$Q$7,$B562&lt;'111'!$L$11),"x","")</f>
        <v/>
      </c>
      <c r="S562" s="87" t="str">
        <f>IF(AND($O562=$Q$7,$B562&lt;'111'!$L$11),"x","")</f>
        <v/>
      </c>
      <c r="T562" s="87" t="str">
        <f>IF(ISERROR(FIND('112'!$M$9,G562,1)),"",IF((AND(FIND('112'!$M$9,G562,1)&gt;=1,B562='112'!$K$9,OR($N562='112'!$I$6,$O562='112'!$I$6))),"x",""))</f>
        <v/>
      </c>
      <c r="U562" s="87" t="str">
        <f>IF(ISERROR(FIND('112'!$M$9,G562,1)),"",IF((AND(FIND('112'!$M$9,G562,1)&gt;=1,B562&lt;'112'!$K$9,$N562='112'!$I$6)),"x",""))</f>
        <v/>
      </c>
      <c r="V562" s="87" t="str">
        <f>IF(ISERROR(FIND('112'!$M$9,G562,1)),"",IF((AND(FIND('112'!$M$9,G562,1)&gt;=1,B562&lt;'112'!$K$9,$O562='112'!$I$6)),"x",""))</f>
        <v/>
      </c>
      <c r="W562" s="87" t="str">
        <f>IF(AND($B562&gt;='1331'!$I$9,$B562&lt;='1331'!$J$9,OR($N562=$W$7,$O562=$W$7)),"x","")</f>
        <v/>
      </c>
      <c r="X562" s="87" t="str">
        <f>IF(AND($N562=$W$7,$B562&lt;'1331'!$I$9),"x","")</f>
        <v/>
      </c>
      <c r="Y562" s="87" t="str">
        <f>IF(AND($O562=$W$7,$B562&lt;'1331'!$I$9),"x","")</f>
        <v/>
      </c>
      <c r="Z562" s="87" t="str">
        <f>IF(AND('341-CT'!$H$9=H562,OR(LEFT(N562,3)=$Z$7,LEFT(O562,3)=$Z$7)),"x","")</f>
        <v/>
      </c>
      <c r="AA562" s="87" t="str">
        <f>IF(OR(TH!N562=TH!$AA$7,O562=TH!$AA$7),"x","")</f>
        <v/>
      </c>
      <c r="AB562" s="87" t="str">
        <f>IF(AND(OR(N562="131",O562="131"),H562='131-CT'!$H$9),"x","")</f>
        <v/>
      </c>
      <c r="AC562" s="87"/>
      <c r="AD562" s="87" t="str">
        <f>IF(AND(MONTH(E562)='IN-NX'!$J$5,'IN-NX'!$D$7=D562),"x","")</f>
        <v/>
      </c>
      <c r="AE562" s="87" t="str">
        <f>IF(AND(OR(LEFT(TH!N562,2)="15",LEFT(TH!O562,2)="15"),'152-CT'!$J$8=TH!F562),"x","")</f>
        <v/>
      </c>
      <c r="AF562" s="87" t="str">
        <f>IF(AND(OR(LEFT(TH!N562,2)="15",LEFT(TH!O562,2)="15"),'THE KHO'!$E$7=TH!F562),"x","")</f>
        <v/>
      </c>
      <c r="AG562" s="87" t="str">
        <f>IF(AND(N562="1521",MONTH(C562)='BK NL'!$M$11),"x","")</f>
        <v/>
      </c>
    </row>
    <row r="563" spans="1:33" ht="15.75" customHeight="1">
      <c r="A563" s="399" t="str">
        <f>IF(B563&lt;&gt;"",IF(AND(B563&gt;=_TM1,B563&lt;=_TM2,OR(TH!N563="1111",TH!O563="1111")),TH!D563,""),"")</f>
        <v/>
      </c>
      <c r="B563" s="63" t="str">
        <f t="shared" si="14"/>
        <v/>
      </c>
      <c r="C563" s="64"/>
      <c r="D563" s="64"/>
      <c r="E563" s="64"/>
      <c r="F563" s="67"/>
      <c r="G563" s="376"/>
      <c r="H563" s="75"/>
      <c r="I563" s="518"/>
      <c r="J563" s="518"/>
      <c r="K563" s="509"/>
      <c r="L563" s="518"/>
      <c r="M563" s="65"/>
      <c r="N563" s="66"/>
      <c r="O563" s="66"/>
      <c r="P563" s="87" t="str">
        <f>IF(AND('331-CT'!$E$7=TH!H563,OR(N563="331",O563="331")),"x","")</f>
        <v/>
      </c>
      <c r="Q563" s="87" t="str">
        <f>IF(AND(B563='111'!$L$11,OR($N563=$Q$7,$O563=$Q$7)),"x","")</f>
        <v/>
      </c>
      <c r="R563" s="87" t="str">
        <f>IF(AND($N563=$Q$7,$B563&lt;'111'!$L$11),"x","")</f>
        <v/>
      </c>
      <c r="S563" s="87" t="str">
        <f>IF(AND($O563=$Q$7,$B563&lt;'111'!$L$11),"x","")</f>
        <v/>
      </c>
      <c r="T563" s="87" t="str">
        <f>IF(ISERROR(FIND('112'!$M$9,G563,1)),"",IF((AND(FIND('112'!$M$9,G563,1)&gt;=1,B563='112'!$K$9,OR($N563='112'!$I$6,$O563='112'!$I$6))),"x",""))</f>
        <v/>
      </c>
      <c r="U563" s="87" t="str">
        <f>IF(ISERROR(FIND('112'!$M$9,G563,1)),"",IF((AND(FIND('112'!$M$9,G563,1)&gt;=1,B563&lt;'112'!$K$9,$N563='112'!$I$6)),"x",""))</f>
        <v/>
      </c>
      <c r="V563" s="87" t="str">
        <f>IF(ISERROR(FIND('112'!$M$9,G563,1)),"",IF((AND(FIND('112'!$M$9,G563,1)&gt;=1,B563&lt;'112'!$K$9,$O563='112'!$I$6)),"x",""))</f>
        <v/>
      </c>
      <c r="W563" s="87" t="str">
        <f>IF(AND($B563&gt;='1331'!$I$9,$B563&lt;='1331'!$J$9,OR($N563=$W$7,$O563=$W$7)),"x","")</f>
        <v/>
      </c>
      <c r="X563" s="87" t="str">
        <f>IF(AND($N563=$W$7,$B563&lt;'1331'!$I$9),"x","")</f>
        <v/>
      </c>
      <c r="Y563" s="87" t="str">
        <f>IF(AND($O563=$W$7,$B563&lt;'1331'!$I$9),"x","")</f>
        <v/>
      </c>
      <c r="Z563" s="87" t="str">
        <f>IF(AND('341-CT'!$H$9=H563,OR(LEFT(N563,3)=$Z$7,LEFT(O563,3)=$Z$7)),"x","")</f>
        <v/>
      </c>
      <c r="AA563" s="87" t="str">
        <f>IF(OR(TH!N563=TH!$AA$7,O563=TH!$AA$7),"x","")</f>
        <v/>
      </c>
      <c r="AB563" s="87" t="str">
        <f>IF(AND(OR(N563="131",O563="131"),H563='131-CT'!$H$9),"x","")</f>
        <v/>
      </c>
      <c r="AC563" s="87"/>
      <c r="AD563" s="87" t="str">
        <f>IF(AND(MONTH(E563)='IN-NX'!$J$5,'IN-NX'!$D$7=D563),"x","")</f>
        <v/>
      </c>
      <c r="AE563" s="87" t="str">
        <f>IF(AND(OR(LEFT(TH!N563,2)="15",LEFT(TH!O563,2)="15"),'152-CT'!$J$8=TH!F563),"x","")</f>
        <v/>
      </c>
      <c r="AF563" s="87" t="str">
        <f>IF(AND(OR(LEFT(TH!N563,2)="15",LEFT(TH!O563,2)="15"),'THE KHO'!$E$7=TH!F563),"x","")</f>
        <v/>
      </c>
      <c r="AG563" s="87" t="str">
        <f>IF(AND(N563="1521",MONTH(C563)='BK NL'!$M$11),"x","")</f>
        <v/>
      </c>
    </row>
    <row r="564" spans="1:33" ht="15.75" customHeight="1">
      <c r="A564" s="399" t="str">
        <f>IF(B564&lt;&gt;"",IF(AND(B564&gt;=_TM1,B564&lt;=_TM2,OR(TH!N564="1111",TH!O564="1111")),TH!D564,""),"")</f>
        <v/>
      </c>
      <c r="B564" s="63" t="str">
        <f t="shared" si="14"/>
        <v/>
      </c>
      <c r="C564" s="64"/>
      <c r="D564" s="64"/>
      <c r="E564" s="64"/>
      <c r="F564" s="67"/>
      <c r="G564" s="376"/>
      <c r="H564" s="75"/>
      <c r="I564" s="518"/>
      <c r="J564" s="518"/>
      <c r="K564" s="509"/>
      <c r="L564" s="518"/>
      <c r="M564" s="65"/>
      <c r="N564" s="66"/>
      <c r="O564" s="66"/>
      <c r="P564" s="87" t="str">
        <f>IF(AND('331-CT'!$E$7=TH!H564,OR(N564="331",O564="331")),"x","")</f>
        <v/>
      </c>
      <c r="Q564" s="87" t="str">
        <f>IF(AND(B564='111'!$L$11,OR($N564=$Q$7,$O564=$Q$7)),"x","")</f>
        <v/>
      </c>
      <c r="R564" s="87" t="str">
        <f>IF(AND($N564=$Q$7,$B564&lt;'111'!$L$11),"x","")</f>
        <v/>
      </c>
      <c r="S564" s="87" t="str">
        <f>IF(AND($O564=$Q$7,$B564&lt;'111'!$L$11),"x","")</f>
        <v/>
      </c>
      <c r="T564" s="87" t="str">
        <f>IF(ISERROR(FIND('112'!$M$9,G564,1)),"",IF((AND(FIND('112'!$M$9,G564,1)&gt;=1,B564='112'!$K$9,OR($N564='112'!$I$6,$O564='112'!$I$6))),"x",""))</f>
        <v/>
      </c>
      <c r="U564" s="87" t="str">
        <f>IF(ISERROR(FIND('112'!$M$9,G564,1)),"",IF((AND(FIND('112'!$M$9,G564,1)&gt;=1,B564&lt;'112'!$K$9,$N564='112'!$I$6)),"x",""))</f>
        <v/>
      </c>
      <c r="V564" s="87" t="str">
        <f>IF(ISERROR(FIND('112'!$M$9,G564,1)),"",IF((AND(FIND('112'!$M$9,G564,1)&gt;=1,B564&lt;'112'!$K$9,$O564='112'!$I$6)),"x",""))</f>
        <v/>
      </c>
      <c r="W564" s="87" t="str">
        <f>IF(AND($B564&gt;='1331'!$I$9,$B564&lt;='1331'!$J$9,OR($N564=$W$7,$O564=$W$7)),"x","")</f>
        <v/>
      </c>
      <c r="X564" s="87" t="str">
        <f>IF(AND($N564=$W$7,$B564&lt;'1331'!$I$9),"x","")</f>
        <v/>
      </c>
      <c r="Y564" s="87" t="str">
        <f>IF(AND($O564=$W$7,$B564&lt;'1331'!$I$9),"x","")</f>
        <v/>
      </c>
      <c r="Z564" s="87" t="str">
        <f>IF(AND('341-CT'!$H$9=H564,OR(LEFT(N564,3)=$Z$7,LEFT(O564,3)=$Z$7)),"x","")</f>
        <v/>
      </c>
      <c r="AA564" s="87" t="str">
        <f>IF(OR(TH!N564=TH!$AA$7,O564=TH!$AA$7),"x","")</f>
        <v/>
      </c>
      <c r="AB564" s="87" t="str">
        <f>IF(AND(OR(N564="131",O564="131"),H564='131-CT'!$H$9),"x","")</f>
        <v/>
      </c>
      <c r="AC564" s="87"/>
      <c r="AD564" s="87" t="str">
        <f>IF(AND(MONTH(E564)='IN-NX'!$J$5,'IN-NX'!$D$7=D564),"x","")</f>
        <v/>
      </c>
      <c r="AE564" s="87" t="str">
        <f>IF(AND(OR(LEFT(TH!N564,2)="15",LEFT(TH!O564,2)="15"),'152-CT'!$J$8=TH!F564),"x","")</f>
        <v/>
      </c>
      <c r="AF564" s="87" t="str">
        <f>IF(AND(OR(LEFT(TH!N564,2)="15",LEFT(TH!O564,2)="15"),'THE KHO'!$E$7=TH!F564),"x","")</f>
        <v/>
      </c>
      <c r="AG564" s="87" t="str">
        <f>IF(AND(N564="1521",MONTH(C564)='BK NL'!$M$11),"x","")</f>
        <v/>
      </c>
    </row>
    <row r="565" spans="1:33" ht="15.75" customHeight="1">
      <c r="A565" s="399" t="str">
        <f>IF(B565&lt;&gt;"",IF(AND(B565&gt;=_TM1,B565&lt;=_TM2,OR(TH!N565="1111",TH!O565="1111")),TH!D565,""),"")</f>
        <v/>
      </c>
      <c r="B565" s="63" t="str">
        <f t="shared" si="14"/>
        <v/>
      </c>
      <c r="C565" s="64"/>
      <c r="D565" s="64"/>
      <c r="E565" s="64"/>
      <c r="F565" s="67"/>
      <c r="G565" s="376"/>
      <c r="H565" s="75"/>
      <c r="I565" s="518"/>
      <c r="J565" s="518"/>
      <c r="K565" s="509"/>
      <c r="L565" s="518"/>
      <c r="M565" s="65"/>
      <c r="N565" s="66"/>
      <c r="O565" s="66"/>
      <c r="P565" s="87" t="str">
        <f>IF(AND('331-CT'!$E$7=TH!H565,OR(N565="331",O565="331")),"x","")</f>
        <v/>
      </c>
      <c r="Q565" s="87" t="str">
        <f>IF(AND(B565='111'!$L$11,OR($N565=$Q$7,$O565=$Q$7)),"x","")</f>
        <v/>
      </c>
      <c r="R565" s="87" t="str">
        <f>IF(AND($N565=$Q$7,$B565&lt;'111'!$L$11),"x","")</f>
        <v/>
      </c>
      <c r="S565" s="87" t="str">
        <f>IF(AND($O565=$Q$7,$B565&lt;'111'!$L$11),"x","")</f>
        <v/>
      </c>
      <c r="T565" s="87" t="str">
        <f>IF(ISERROR(FIND('112'!$M$9,G565,1)),"",IF((AND(FIND('112'!$M$9,G565,1)&gt;=1,B565='112'!$K$9,OR($N565='112'!$I$6,$O565='112'!$I$6))),"x",""))</f>
        <v/>
      </c>
      <c r="U565" s="87" t="str">
        <f>IF(ISERROR(FIND('112'!$M$9,G565,1)),"",IF((AND(FIND('112'!$M$9,G565,1)&gt;=1,B565&lt;'112'!$K$9,$N565='112'!$I$6)),"x",""))</f>
        <v/>
      </c>
      <c r="V565" s="87" t="str">
        <f>IF(ISERROR(FIND('112'!$M$9,G565,1)),"",IF((AND(FIND('112'!$M$9,G565,1)&gt;=1,B565&lt;'112'!$K$9,$O565='112'!$I$6)),"x",""))</f>
        <v/>
      </c>
      <c r="W565" s="87" t="str">
        <f>IF(AND($B565&gt;='1331'!$I$9,$B565&lt;='1331'!$J$9,OR($N565=$W$7,$O565=$W$7)),"x","")</f>
        <v/>
      </c>
      <c r="X565" s="87" t="str">
        <f>IF(AND($N565=$W$7,$B565&lt;'1331'!$I$9),"x","")</f>
        <v/>
      </c>
      <c r="Y565" s="87" t="str">
        <f>IF(AND($O565=$W$7,$B565&lt;'1331'!$I$9),"x","")</f>
        <v/>
      </c>
      <c r="Z565" s="87" t="str">
        <f>IF(AND('341-CT'!$H$9=H565,OR(LEFT(N565,3)=$Z$7,LEFT(O565,3)=$Z$7)),"x","")</f>
        <v/>
      </c>
      <c r="AA565" s="87" t="str">
        <f>IF(OR(TH!N565=TH!$AA$7,O565=TH!$AA$7),"x","")</f>
        <v/>
      </c>
      <c r="AB565" s="87" t="str">
        <f>IF(AND(OR(N565="131",O565="131"),H565='131-CT'!$H$9),"x","")</f>
        <v/>
      </c>
      <c r="AC565" s="87"/>
      <c r="AD565" s="87" t="str">
        <f>IF(AND(MONTH(E565)='IN-NX'!$J$5,'IN-NX'!$D$7=D565),"x","")</f>
        <v/>
      </c>
      <c r="AE565" s="87" t="str">
        <f>IF(AND(OR(LEFT(TH!N565,2)="15",LEFT(TH!O565,2)="15"),'152-CT'!$J$8=TH!F565),"x","")</f>
        <v/>
      </c>
      <c r="AF565" s="87" t="str">
        <f>IF(AND(OR(LEFT(TH!N565,2)="15",LEFT(TH!O565,2)="15"),'THE KHO'!$E$7=TH!F565),"x","")</f>
        <v/>
      </c>
      <c r="AG565" s="87" t="str">
        <f>IF(AND(N565="1521",MONTH(C565)='BK NL'!$M$11),"x","")</f>
        <v/>
      </c>
    </row>
    <row r="566" spans="1:33" ht="15.75" customHeight="1">
      <c r="A566" s="399" t="str">
        <f>IF(B566&lt;&gt;"",IF(AND(B566&gt;=_TM1,B566&lt;=_TM2,OR(TH!N566="1111",TH!O566="1111")),TH!D566,""),"")</f>
        <v/>
      </c>
      <c r="B566" s="63" t="str">
        <f t="shared" si="14"/>
        <v/>
      </c>
      <c r="C566" s="64"/>
      <c r="D566" s="64"/>
      <c r="E566" s="64"/>
      <c r="F566" s="67"/>
      <c r="G566" s="362"/>
      <c r="H566" s="75"/>
      <c r="I566" s="518"/>
      <c r="J566" s="518"/>
      <c r="K566" s="509"/>
      <c r="L566" s="518"/>
      <c r="M566" s="65"/>
      <c r="N566" s="66"/>
      <c r="O566" s="66"/>
      <c r="P566" s="87" t="str">
        <f>IF(AND('331-CT'!$E$7=TH!H566,OR(N566="331",O566="331")),"x","")</f>
        <v/>
      </c>
      <c r="Q566" s="87" t="str">
        <f>IF(AND(B566='111'!$L$11,OR($N566=$Q$7,$O566=$Q$7)),"x","")</f>
        <v/>
      </c>
      <c r="R566" s="87" t="str">
        <f>IF(AND($N566=$Q$7,$B566&lt;'111'!$L$11),"x","")</f>
        <v/>
      </c>
      <c r="S566" s="87" t="str">
        <f>IF(AND($O566=$Q$7,$B566&lt;'111'!$L$11),"x","")</f>
        <v/>
      </c>
      <c r="T566" s="87" t="str">
        <f>IF(ISERROR(FIND('112'!$M$9,G566,1)),"",IF((AND(FIND('112'!$M$9,G566,1)&gt;=1,B566='112'!$K$9,OR($N566='112'!$I$6,$O566='112'!$I$6))),"x",""))</f>
        <v/>
      </c>
      <c r="U566" s="87" t="str">
        <f>IF(ISERROR(FIND('112'!$M$9,G566,1)),"",IF((AND(FIND('112'!$M$9,G566,1)&gt;=1,B566&lt;'112'!$K$9,$N566='112'!$I$6)),"x",""))</f>
        <v/>
      </c>
      <c r="V566" s="87" t="str">
        <f>IF(ISERROR(FIND('112'!$M$9,G566,1)),"",IF((AND(FIND('112'!$M$9,G566,1)&gt;=1,B566&lt;'112'!$K$9,$O566='112'!$I$6)),"x",""))</f>
        <v/>
      </c>
      <c r="W566" s="87" t="str">
        <f>IF(AND($B566&gt;='1331'!$I$9,$B566&lt;='1331'!$J$9,OR($N566=$W$7,$O566=$W$7)),"x","")</f>
        <v/>
      </c>
      <c r="X566" s="87" t="str">
        <f>IF(AND($N566=$W$7,$B566&lt;'1331'!$I$9),"x","")</f>
        <v/>
      </c>
      <c r="Y566" s="87" t="str">
        <f>IF(AND($O566=$W$7,$B566&lt;'1331'!$I$9),"x","")</f>
        <v/>
      </c>
      <c r="Z566" s="87" t="str">
        <f>IF(AND('341-CT'!$H$9=H566,OR(LEFT(N566,3)=$Z$7,LEFT(O566,3)=$Z$7)),"x","")</f>
        <v/>
      </c>
      <c r="AA566" s="87" t="str">
        <f>IF(OR(TH!N566=TH!$AA$7,O566=TH!$AA$7),"x","")</f>
        <v/>
      </c>
      <c r="AB566" s="87" t="str">
        <f>IF(AND(OR(N566="131",O566="131"),H566='131-CT'!$H$9),"x","")</f>
        <v/>
      </c>
      <c r="AC566" s="87"/>
      <c r="AD566" s="87" t="str">
        <f>IF(AND(MONTH(E566)='IN-NX'!$J$5,'IN-NX'!$D$7=D566),"x","")</f>
        <v/>
      </c>
      <c r="AE566" s="87" t="str">
        <f>IF(AND(OR(LEFT(TH!N566,2)="15",LEFT(TH!O566,2)="15"),'152-CT'!$J$8=TH!F566),"x","")</f>
        <v/>
      </c>
      <c r="AF566" s="87" t="str">
        <f>IF(AND(OR(LEFT(TH!N566,2)="15",LEFT(TH!O566,2)="15"),'THE KHO'!$E$7=TH!F566),"x","")</f>
        <v/>
      </c>
      <c r="AG566" s="87" t="str">
        <f>IF(AND(N566="1521",MONTH(C566)='BK NL'!$M$11),"x","")</f>
        <v/>
      </c>
    </row>
    <row r="567" spans="1:33" ht="15.75" customHeight="1">
      <c r="A567" s="399" t="str">
        <f>IF(B567&lt;&gt;"",IF(AND(B567&gt;=_TM1,B567&lt;=_TM2,OR(TH!N567="1111",TH!O567="1111")),TH!D567,""),"")</f>
        <v/>
      </c>
      <c r="B567" s="63" t="str">
        <f t="shared" si="14"/>
        <v/>
      </c>
      <c r="C567" s="64"/>
      <c r="D567" s="64"/>
      <c r="E567" s="64"/>
      <c r="F567" s="67"/>
      <c r="G567" s="362"/>
      <c r="H567" s="75"/>
      <c r="I567" s="518"/>
      <c r="J567" s="518"/>
      <c r="K567" s="509"/>
      <c r="L567" s="518"/>
      <c r="M567" s="65"/>
      <c r="N567" s="66"/>
      <c r="O567" s="66"/>
      <c r="P567" s="87" t="str">
        <f>IF(AND('331-CT'!$E$7=TH!H567,OR(N567="331",O567="331")),"x","")</f>
        <v/>
      </c>
      <c r="Q567" s="87" t="str">
        <f>IF(AND(B567='111'!$L$11,OR($N567=$Q$7,$O567=$Q$7)),"x","")</f>
        <v/>
      </c>
      <c r="R567" s="87" t="str">
        <f>IF(AND($N567=$Q$7,$B567&lt;'111'!$L$11),"x","")</f>
        <v/>
      </c>
      <c r="S567" s="87" t="str">
        <f>IF(AND($O567=$Q$7,$B567&lt;'111'!$L$11),"x","")</f>
        <v/>
      </c>
      <c r="T567" s="87" t="str">
        <f>IF(ISERROR(FIND('112'!$M$9,G567,1)),"",IF((AND(FIND('112'!$M$9,G567,1)&gt;=1,B567='112'!$K$9,OR($N567='112'!$I$6,$O567='112'!$I$6))),"x",""))</f>
        <v/>
      </c>
      <c r="U567" s="87" t="str">
        <f>IF(ISERROR(FIND('112'!$M$9,G567,1)),"",IF((AND(FIND('112'!$M$9,G567,1)&gt;=1,B567&lt;'112'!$K$9,$N567='112'!$I$6)),"x",""))</f>
        <v/>
      </c>
      <c r="V567" s="87" t="str">
        <f>IF(ISERROR(FIND('112'!$M$9,G567,1)),"",IF((AND(FIND('112'!$M$9,G567,1)&gt;=1,B567&lt;'112'!$K$9,$O567='112'!$I$6)),"x",""))</f>
        <v/>
      </c>
      <c r="W567" s="87" t="str">
        <f>IF(AND($B567&gt;='1331'!$I$9,$B567&lt;='1331'!$J$9,OR($N567=$W$7,$O567=$W$7)),"x","")</f>
        <v/>
      </c>
      <c r="X567" s="87" t="str">
        <f>IF(AND($N567=$W$7,$B567&lt;'1331'!$I$9),"x","")</f>
        <v/>
      </c>
      <c r="Y567" s="87" t="str">
        <f>IF(AND($O567=$W$7,$B567&lt;'1331'!$I$9),"x","")</f>
        <v/>
      </c>
      <c r="Z567" s="87" t="str">
        <f>IF(AND('341-CT'!$H$9=H567,OR(LEFT(N567,3)=$Z$7,LEFT(O567,3)=$Z$7)),"x","")</f>
        <v/>
      </c>
      <c r="AA567" s="87" t="str">
        <f>IF(OR(TH!N567=TH!$AA$7,O567=TH!$AA$7),"x","")</f>
        <v/>
      </c>
      <c r="AB567" s="87" t="str">
        <f>IF(AND(OR(N567="131",O567="131"),H567='131-CT'!$H$9),"x","")</f>
        <v/>
      </c>
      <c r="AC567" s="87"/>
      <c r="AD567" s="87" t="str">
        <f>IF(AND(MONTH(E567)='IN-NX'!$J$5,'IN-NX'!$D$7=D567),"x","")</f>
        <v/>
      </c>
      <c r="AE567" s="87" t="str">
        <f>IF(AND(OR(LEFT(TH!N567,2)="15",LEFT(TH!O567,2)="15"),'152-CT'!$J$8=TH!F567),"x","")</f>
        <v/>
      </c>
      <c r="AF567" s="87" t="str">
        <f>IF(AND(OR(LEFT(TH!N567,2)="15",LEFT(TH!O567,2)="15"),'THE KHO'!$E$7=TH!F567),"x","")</f>
        <v/>
      </c>
      <c r="AG567" s="87" t="str">
        <f>IF(AND(N567="1521",MONTH(C567)='BK NL'!$M$11),"x","")</f>
        <v/>
      </c>
    </row>
    <row r="568" spans="1:33" ht="15.75" customHeight="1">
      <c r="A568" s="399" t="str">
        <f>IF(B568&lt;&gt;"",IF(AND(B568&gt;=_TM1,B568&lt;=_TM2,OR(TH!N568="1111",TH!O568="1111")),TH!D568,""),"")</f>
        <v/>
      </c>
      <c r="B568" s="63" t="str">
        <f t="shared" si="14"/>
        <v/>
      </c>
      <c r="C568" s="64"/>
      <c r="D568" s="64"/>
      <c r="E568" s="64"/>
      <c r="F568" s="67"/>
      <c r="G568" s="362"/>
      <c r="H568" s="75"/>
      <c r="I568" s="518"/>
      <c r="J568" s="518"/>
      <c r="K568" s="509"/>
      <c r="L568" s="518"/>
      <c r="M568" s="65"/>
      <c r="N568" s="66"/>
      <c r="O568" s="66"/>
      <c r="P568" s="87" t="str">
        <f>IF(AND('331-CT'!$E$7=TH!H568,OR(N568="331",O568="331")),"x","")</f>
        <v/>
      </c>
      <c r="Q568" s="87" t="str">
        <f>IF(AND(B568='111'!$L$11,OR($N568=$Q$7,$O568=$Q$7)),"x","")</f>
        <v/>
      </c>
      <c r="R568" s="87" t="str">
        <f>IF(AND($N568=$Q$7,$B568&lt;'111'!$L$11),"x","")</f>
        <v/>
      </c>
      <c r="S568" s="87" t="str">
        <f>IF(AND($O568=$Q$7,$B568&lt;'111'!$L$11),"x","")</f>
        <v/>
      </c>
      <c r="T568" s="87" t="str">
        <f>IF(ISERROR(FIND('112'!$M$9,G568,1)),"",IF((AND(FIND('112'!$M$9,G568,1)&gt;=1,B568='112'!$K$9,OR($N568='112'!$I$6,$O568='112'!$I$6))),"x",""))</f>
        <v/>
      </c>
      <c r="U568" s="87" t="str">
        <f>IF(ISERROR(FIND('112'!$M$9,G568,1)),"",IF((AND(FIND('112'!$M$9,G568,1)&gt;=1,B568&lt;'112'!$K$9,$N568='112'!$I$6)),"x",""))</f>
        <v/>
      </c>
      <c r="V568" s="87" t="str">
        <f>IF(ISERROR(FIND('112'!$M$9,G568,1)),"",IF((AND(FIND('112'!$M$9,G568,1)&gt;=1,B568&lt;'112'!$K$9,$O568='112'!$I$6)),"x",""))</f>
        <v/>
      </c>
      <c r="W568" s="87" t="str">
        <f>IF(AND($B568&gt;='1331'!$I$9,$B568&lt;='1331'!$J$9,OR($N568=$W$7,$O568=$W$7)),"x","")</f>
        <v/>
      </c>
      <c r="X568" s="87" t="str">
        <f>IF(AND($N568=$W$7,$B568&lt;'1331'!$I$9),"x","")</f>
        <v/>
      </c>
      <c r="Y568" s="87" t="str">
        <f>IF(AND($O568=$W$7,$B568&lt;'1331'!$I$9),"x","")</f>
        <v/>
      </c>
      <c r="Z568" s="87" t="str">
        <f>IF(AND('341-CT'!$H$9=H568,OR(LEFT(N568,3)=$Z$7,LEFT(O568,3)=$Z$7)),"x","")</f>
        <v/>
      </c>
      <c r="AA568" s="87" t="str">
        <f>IF(OR(TH!N568=TH!$AA$7,O568=TH!$AA$7),"x","")</f>
        <v/>
      </c>
      <c r="AB568" s="87" t="str">
        <f>IF(AND(OR(N568="131",O568="131"),H568='131-CT'!$H$9),"x","")</f>
        <v/>
      </c>
      <c r="AC568" s="87"/>
      <c r="AD568" s="87" t="str">
        <f>IF(AND(MONTH(E568)='IN-NX'!$J$5,'IN-NX'!$D$7=D568),"x","")</f>
        <v/>
      </c>
      <c r="AE568" s="87" t="str">
        <f>IF(AND(OR(LEFT(TH!N568,2)="15",LEFT(TH!O568,2)="15"),'152-CT'!$J$8=TH!F568),"x","")</f>
        <v/>
      </c>
      <c r="AF568" s="87" t="str">
        <f>IF(AND(OR(LEFT(TH!N568,2)="15",LEFT(TH!O568,2)="15"),'THE KHO'!$E$7=TH!F568),"x","")</f>
        <v/>
      </c>
      <c r="AG568" s="87" t="str">
        <f>IF(AND(N568="1521",MONTH(C568)='BK NL'!$M$11),"x","")</f>
        <v/>
      </c>
    </row>
    <row r="569" spans="1:33" ht="15.75" customHeight="1">
      <c r="A569" s="399" t="str">
        <f>IF(B569&lt;&gt;"",IF(AND(B569&gt;=_TM1,B569&lt;=_TM2,OR(TH!N569="1111",TH!O569="1111")),TH!D569,""),"")</f>
        <v/>
      </c>
      <c r="B569" s="63" t="str">
        <f t="shared" si="14"/>
        <v/>
      </c>
      <c r="C569" s="64"/>
      <c r="D569" s="64"/>
      <c r="E569" s="64"/>
      <c r="F569" s="67"/>
      <c r="G569" s="362"/>
      <c r="H569" s="75"/>
      <c r="I569" s="518"/>
      <c r="J569" s="518"/>
      <c r="K569" s="509"/>
      <c r="L569" s="518"/>
      <c r="M569" s="65"/>
      <c r="N569" s="66"/>
      <c r="O569" s="66"/>
      <c r="P569" s="87" t="str">
        <f>IF(AND('331-CT'!$E$7=TH!H569,OR(N569="331",O569="331")),"x","")</f>
        <v/>
      </c>
      <c r="Q569" s="87" t="str">
        <f>IF(AND(B569='111'!$L$11,OR($N569=$Q$7,$O569=$Q$7)),"x","")</f>
        <v/>
      </c>
      <c r="R569" s="87" t="str">
        <f>IF(AND($N569=$Q$7,$B569&lt;'111'!$L$11),"x","")</f>
        <v/>
      </c>
      <c r="S569" s="87" t="str">
        <f>IF(AND($O569=$Q$7,$B569&lt;'111'!$L$11),"x","")</f>
        <v/>
      </c>
      <c r="T569" s="87" t="str">
        <f>IF(ISERROR(FIND('112'!$M$9,G569,1)),"",IF((AND(FIND('112'!$M$9,G569,1)&gt;=1,B569='112'!$K$9,OR($N569='112'!$I$6,$O569='112'!$I$6))),"x",""))</f>
        <v/>
      </c>
      <c r="U569" s="87" t="str">
        <f>IF(ISERROR(FIND('112'!$M$9,G569,1)),"",IF((AND(FIND('112'!$M$9,G569,1)&gt;=1,B569&lt;'112'!$K$9,$N569='112'!$I$6)),"x",""))</f>
        <v/>
      </c>
      <c r="V569" s="87" t="str">
        <f>IF(ISERROR(FIND('112'!$M$9,G569,1)),"",IF((AND(FIND('112'!$M$9,G569,1)&gt;=1,B569&lt;'112'!$K$9,$O569='112'!$I$6)),"x",""))</f>
        <v/>
      </c>
      <c r="W569" s="87" t="str">
        <f>IF(AND($B569&gt;='1331'!$I$9,$B569&lt;='1331'!$J$9,OR($N569=$W$7,$O569=$W$7)),"x","")</f>
        <v/>
      </c>
      <c r="X569" s="87" t="str">
        <f>IF(AND($N569=$W$7,$B569&lt;'1331'!$I$9),"x","")</f>
        <v/>
      </c>
      <c r="Y569" s="87" t="str">
        <f>IF(AND($O569=$W$7,$B569&lt;'1331'!$I$9),"x","")</f>
        <v/>
      </c>
      <c r="Z569" s="87" t="str">
        <f>IF(AND('341-CT'!$H$9=H569,OR(LEFT(N569,3)=$Z$7,LEFT(O569,3)=$Z$7)),"x","")</f>
        <v/>
      </c>
      <c r="AA569" s="87" t="str">
        <f>IF(OR(TH!N569=TH!$AA$7,O569=TH!$AA$7),"x","")</f>
        <v/>
      </c>
      <c r="AB569" s="87" t="str">
        <f>IF(AND(OR(N569="131",O569="131"),H569='131-CT'!$H$9),"x","")</f>
        <v/>
      </c>
      <c r="AC569" s="87"/>
      <c r="AD569" s="87" t="str">
        <f>IF(AND(MONTH(E569)='IN-NX'!$J$5,'IN-NX'!$D$7=D569),"x","")</f>
        <v/>
      </c>
      <c r="AE569" s="87" t="str">
        <f>IF(AND(OR(LEFT(TH!N569,2)="15",LEFT(TH!O569,2)="15"),'152-CT'!$J$8=TH!F569),"x","")</f>
        <v/>
      </c>
      <c r="AF569" s="87" t="str">
        <f>IF(AND(OR(LEFT(TH!N569,2)="15",LEFT(TH!O569,2)="15"),'THE KHO'!$E$7=TH!F569),"x","")</f>
        <v/>
      </c>
      <c r="AG569" s="87" t="str">
        <f>IF(AND(N569="1521",MONTH(C569)='BK NL'!$M$11),"x","")</f>
        <v/>
      </c>
    </row>
    <row r="570" spans="1:33" ht="15.75" customHeight="1">
      <c r="A570" s="399" t="str">
        <f>IF(B570&lt;&gt;"",IF(AND(B570&gt;=_TM1,B570&lt;=_TM2,OR(TH!N570="1111",TH!O570="1111")),TH!D570,""),"")</f>
        <v/>
      </c>
      <c r="B570" s="63" t="str">
        <f t="shared" si="14"/>
        <v/>
      </c>
      <c r="C570" s="64"/>
      <c r="D570" s="64"/>
      <c r="E570" s="64"/>
      <c r="F570" s="67"/>
      <c r="G570" s="376"/>
      <c r="H570" s="75"/>
      <c r="I570" s="518"/>
      <c r="J570" s="518"/>
      <c r="K570" s="509"/>
      <c r="L570" s="518"/>
      <c r="M570" s="65"/>
      <c r="N570" s="66"/>
      <c r="O570" s="66"/>
      <c r="P570" s="87" t="str">
        <f>IF(AND('331-CT'!$E$7=TH!H570,OR(N570="331",O570="331")),"x","")</f>
        <v/>
      </c>
      <c r="Q570" s="87" t="str">
        <f>IF(AND(B570='111'!$L$11,OR($N570=$Q$7,$O570=$Q$7)),"x","")</f>
        <v/>
      </c>
      <c r="R570" s="87" t="str">
        <f>IF(AND($N570=$Q$7,$B570&lt;'111'!$L$11),"x","")</f>
        <v/>
      </c>
      <c r="S570" s="87" t="str">
        <f>IF(AND($O570=$Q$7,$B570&lt;'111'!$L$11),"x","")</f>
        <v/>
      </c>
      <c r="T570" s="87" t="str">
        <f>IF(ISERROR(FIND('112'!$M$9,G570,1)),"",IF((AND(FIND('112'!$M$9,G570,1)&gt;=1,B570='112'!$K$9,OR($N570='112'!$I$6,$O570='112'!$I$6))),"x",""))</f>
        <v/>
      </c>
      <c r="U570" s="87" t="str">
        <f>IF(ISERROR(FIND('112'!$M$9,G570,1)),"",IF((AND(FIND('112'!$M$9,G570,1)&gt;=1,B570&lt;'112'!$K$9,$N570='112'!$I$6)),"x",""))</f>
        <v/>
      </c>
      <c r="V570" s="87" t="str">
        <f>IF(ISERROR(FIND('112'!$M$9,G570,1)),"",IF((AND(FIND('112'!$M$9,G570,1)&gt;=1,B570&lt;'112'!$K$9,$O570='112'!$I$6)),"x",""))</f>
        <v/>
      </c>
      <c r="W570" s="87" t="str">
        <f>IF(AND($B570&gt;='1331'!$I$9,$B570&lt;='1331'!$J$9,OR($N570=$W$7,$O570=$W$7)),"x","")</f>
        <v/>
      </c>
      <c r="X570" s="87" t="str">
        <f>IF(AND($N570=$W$7,$B570&lt;'1331'!$I$9),"x","")</f>
        <v/>
      </c>
      <c r="Y570" s="87" t="str">
        <f>IF(AND($O570=$W$7,$B570&lt;'1331'!$I$9),"x","")</f>
        <v/>
      </c>
      <c r="Z570" s="87" t="str">
        <f>IF(AND('341-CT'!$H$9=H570,OR(LEFT(N570,3)=$Z$7,LEFT(O570,3)=$Z$7)),"x","")</f>
        <v/>
      </c>
      <c r="AA570" s="87" t="str">
        <f>IF(OR(TH!N570=TH!$AA$7,O570=TH!$AA$7),"x","")</f>
        <v/>
      </c>
      <c r="AB570" s="87" t="str">
        <f>IF(AND(OR(N570="131",O570="131"),H570='131-CT'!$H$9),"x","")</f>
        <v/>
      </c>
      <c r="AC570" s="87"/>
      <c r="AD570" s="87" t="str">
        <f>IF(AND(MONTH(E570)='IN-NX'!$J$5,'IN-NX'!$D$7=D570),"x","")</f>
        <v/>
      </c>
      <c r="AE570" s="87" t="str">
        <f>IF(AND(OR(LEFT(TH!N570,2)="15",LEFT(TH!O570,2)="15"),'152-CT'!$J$8=TH!F570),"x","")</f>
        <v/>
      </c>
      <c r="AF570" s="87" t="str">
        <f>IF(AND(OR(LEFT(TH!N570,2)="15",LEFT(TH!O570,2)="15"),'THE KHO'!$E$7=TH!F570),"x","")</f>
        <v/>
      </c>
      <c r="AG570" s="87" t="str">
        <f>IF(AND(N570="1521",MONTH(C570)='BK NL'!$M$11),"x","")</f>
        <v/>
      </c>
    </row>
    <row r="571" spans="1:33" ht="15.75" customHeight="1">
      <c r="A571" s="399" t="str">
        <f>IF(B571&lt;&gt;"",IF(AND(B571&gt;=_TM1,B571&lt;=_TM2,OR(TH!N571="1111",TH!O571="1111")),TH!D571,""),"")</f>
        <v/>
      </c>
      <c r="B571" s="63" t="str">
        <f t="shared" si="14"/>
        <v/>
      </c>
      <c r="C571" s="64"/>
      <c r="D571" s="64"/>
      <c r="E571" s="64"/>
      <c r="F571" s="67"/>
      <c r="G571" s="376"/>
      <c r="H571" s="75"/>
      <c r="I571" s="518"/>
      <c r="J571" s="518"/>
      <c r="K571" s="509"/>
      <c r="L571" s="518"/>
      <c r="M571" s="65"/>
      <c r="N571" s="66"/>
      <c r="O571" s="66"/>
      <c r="P571" s="87" t="str">
        <f>IF(AND('331-CT'!$E$7=TH!H571,OR(N571="331",O571="331")),"x","")</f>
        <v/>
      </c>
      <c r="Q571" s="87" t="str">
        <f>IF(AND(B571='111'!$L$11,OR($N571=$Q$7,$O571=$Q$7)),"x","")</f>
        <v/>
      </c>
      <c r="R571" s="87" t="str">
        <f>IF(AND($N571=$Q$7,$B571&lt;'111'!$L$11),"x","")</f>
        <v/>
      </c>
      <c r="S571" s="87" t="str">
        <f>IF(AND($O571=$Q$7,$B571&lt;'111'!$L$11),"x","")</f>
        <v/>
      </c>
      <c r="T571" s="87" t="str">
        <f>IF(ISERROR(FIND('112'!$M$9,G571,1)),"",IF((AND(FIND('112'!$M$9,G571,1)&gt;=1,B571='112'!$K$9,OR($N571='112'!$I$6,$O571='112'!$I$6))),"x",""))</f>
        <v/>
      </c>
      <c r="U571" s="87" t="str">
        <f>IF(ISERROR(FIND('112'!$M$9,G571,1)),"",IF((AND(FIND('112'!$M$9,G571,1)&gt;=1,B571&lt;'112'!$K$9,$N571='112'!$I$6)),"x",""))</f>
        <v/>
      </c>
      <c r="V571" s="87" t="str">
        <f>IF(ISERROR(FIND('112'!$M$9,G571,1)),"",IF((AND(FIND('112'!$M$9,G571,1)&gt;=1,B571&lt;'112'!$K$9,$O571='112'!$I$6)),"x",""))</f>
        <v/>
      </c>
      <c r="W571" s="87" t="str">
        <f>IF(AND($B571&gt;='1331'!$I$9,$B571&lt;='1331'!$J$9,OR($N571=$W$7,$O571=$W$7)),"x","")</f>
        <v/>
      </c>
      <c r="X571" s="87" t="str">
        <f>IF(AND($N571=$W$7,$B571&lt;'1331'!$I$9),"x","")</f>
        <v/>
      </c>
      <c r="Y571" s="87" t="str">
        <f>IF(AND($O571=$W$7,$B571&lt;'1331'!$I$9),"x","")</f>
        <v/>
      </c>
      <c r="Z571" s="87" t="str">
        <f>IF(AND('341-CT'!$H$9=H571,OR(LEFT(N571,3)=$Z$7,LEFT(O571,3)=$Z$7)),"x","")</f>
        <v/>
      </c>
      <c r="AA571" s="87" t="str">
        <f>IF(OR(TH!N571=TH!$AA$7,O571=TH!$AA$7),"x","")</f>
        <v/>
      </c>
      <c r="AB571" s="87" t="str">
        <f>IF(AND(OR(N571="131",O571="131"),H571='131-CT'!$H$9),"x","")</f>
        <v/>
      </c>
      <c r="AC571" s="87"/>
      <c r="AD571" s="87" t="str">
        <f>IF(AND(MONTH(E571)='IN-NX'!$J$5,'IN-NX'!$D$7=D571),"x","")</f>
        <v/>
      </c>
      <c r="AE571" s="87" t="str">
        <f>IF(AND(OR(LEFT(TH!N571,2)="15",LEFT(TH!O571,2)="15"),'152-CT'!$J$8=TH!F571),"x","")</f>
        <v/>
      </c>
      <c r="AF571" s="87" t="str">
        <f>IF(AND(OR(LEFT(TH!N571,2)="15",LEFT(TH!O571,2)="15"),'THE KHO'!$E$7=TH!F571),"x","")</f>
        <v/>
      </c>
      <c r="AG571" s="87" t="str">
        <f>IF(AND(N571="1521",MONTH(C571)='BK NL'!$M$11),"x","")</f>
        <v/>
      </c>
    </row>
    <row r="572" spans="1:33" ht="15.75" customHeight="1">
      <c r="A572" s="399" t="str">
        <f>IF(B572&lt;&gt;"",IF(AND(B572&gt;=_TM1,B572&lt;=_TM2,OR(TH!N572="1111",TH!O572="1111")),TH!D572,""),"")</f>
        <v/>
      </c>
      <c r="B572" s="63" t="str">
        <f t="shared" si="14"/>
        <v/>
      </c>
      <c r="C572" s="64"/>
      <c r="D572" s="64"/>
      <c r="E572" s="64"/>
      <c r="F572" s="67"/>
      <c r="G572" s="362"/>
      <c r="H572" s="75"/>
      <c r="I572" s="518"/>
      <c r="J572" s="518"/>
      <c r="K572" s="509"/>
      <c r="L572" s="518"/>
      <c r="M572" s="65"/>
      <c r="N572" s="66"/>
      <c r="O572" s="66"/>
      <c r="P572" s="87" t="str">
        <f>IF(AND('331-CT'!$E$7=TH!H572,OR(N572="331",O572="331")),"x","")</f>
        <v/>
      </c>
      <c r="Q572" s="87" t="str">
        <f>IF(AND(B572='111'!$L$11,OR($N572=$Q$7,$O572=$Q$7)),"x","")</f>
        <v/>
      </c>
      <c r="R572" s="87" t="str">
        <f>IF(AND($N572=$Q$7,$B572&lt;'111'!$L$11),"x","")</f>
        <v/>
      </c>
      <c r="S572" s="87" t="str">
        <f>IF(AND($O572=$Q$7,$B572&lt;'111'!$L$11),"x","")</f>
        <v/>
      </c>
      <c r="T572" s="87" t="str">
        <f>IF(ISERROR(FIND('112'!$M$9,G572,1)),"",IF((AND(FIND('112'!$M$9,G572,1)&gt;=1,B572='112'!$K$9,OR($N572='112'!$I$6,$O572='112'!$I$6))),"x",""))</f>
        <v/>
      </c>
      <c r="U572" s="87" t="str">
        <f>IF(ISERROR(FIND('112'!$M$9,G572,1)),"",IF((AND(FIND('112'!$M$9,G572,1)&gt;=1,B572&lt;'112'!$K$9,$N572='112'!$I$6)),"x",""))</f>
        <v/>
      </c>
      <c r="V572" s="87" t="str">
        <f>IF(ISERROR(FIND('112'!$M$9,G572,1)),"",IF((AND(FIND('112'!$M$9,G572,1)&gt;=1,B572&lt;'112'!$K$9,$O572='112'!$I$6)),"x",""))</f>
        <v/>
      </c>
      <c r="W572" s="87" t="str">
        <f>IF(AND($B572&gt;='1331'!$I$9,$B572&lt;='1331'!$J$9,OR($N572=$W$7,$O572=$W$7)),"x","")</f>
        <v/>
      </c>
      <c r="X572" s="87" t="str">
        <f>IF(AND($N572=$W$7,$B572&lt;'1331'!$I$9),"x","")</f>
        <v/>
      </c>
      <c r="Y572" s="87" t="str">
        <f>IF(AND($O572=$W$7,$B572&lt;'1331'!$I$9),"x","")</f>
        <v/>
      </c>
      <c r="Z572" s="87" t="str">
        <f>IF(AND('341-CT'!$H$9=H572,OR(LEFT(N572,3)=$Z$7,LEFT(O572,3)=$Z$7)),"x","")</f>
        <v/>
      </c>
      <c r="AA572" s="87" t="str">
        <f>IF(OR(TH!N572=TH!$AA$7,O572=TH!$AA$7),"x","")</f>
        <v/>
      </c>
      <c r="AB572" s="87" t="str">
        <f>IF(AND(OR(N572="131",O572="131"),H572='131-CT'!$H$9),"x","")</f>
        <v/>
      </c>
      <c r="AC572" s="87"/>
      <c r="AD572" s="87" t="str">
        <f>IF(AND(MONTH(E572)='IN-NX'!$J$5,'IN-NX'!$D$7=D572),"x","")</f>
        <v/>
      </c>
      <c r="AE572" s="87" t="str">
        <f>IF(AND(OR(LEFT(TH!N572,2)="15",LEFT(TH!O572,2)="15"),'152-CT'!$J$8=TH!F572),"x","")</f>
        <v/>
      </c>
      <c r="AF572" s="87" t="str">
        <f>IF(AND(OR(LEFT(TH!N572,2)="15",LEFT(TH!O572,2)="15"),'THE KHO'!$E$7=TH!F572),"x","")</f>
        <v/>
      </c>
      <c r="AG572" s="87" t="str">
        <f>IF(AND(N572="1521",MONTH(C572)='BK NL'!$M$11),"x","")</f>
        <v/>
      </c>
    </row>
    <row r="573" spans="1:33" ht="15.75" customHeight="1">
      <c r="A573" s="399" t="str">
        <f>IF(B573&lt;&gt;"",IF(AND(B573&gt;=_TM1,B573&lt;=_TM2,OR(TH!N573="1111",TH!O573="1111")),TH!D573,""),"")</f>
        <v/>
      </c>
      <c r="B573" s="63" t="str">
        <f t="shared" si="14"/>
        <v/>
      </c>
      <c r="C573" s="64"/>
      <c r="D573" s="64"/>
      <c r="E573" s="64"/>
      <c r="F573" s="67"/>
      <c r="G573" s="362"/>
      <c r="H573" s="75"/>
      <c r="I573" s="518"/>
      <c r="J573" s="518"/>
      <c r="K573" s="509"/>
      <c r="L573" s="518"/>
      <c r="M573" s="65"/>
      <c r="N573" s="66"/>
      <c r="O573" s="66"/>
      <c r="P573" s="87" t="str">
        <f>IF(AND('331-CT'!$E$7=TH!H573,OR(N573="331",O573="331")),"x","")</f>
        <v/>
      </c>
      <c r="Q573" s="87" t="str">
        <f>IF(AND(B573='111'!$L$11,OR($N573=$Q$7,$O573=$Q$7)),"x","")</f>
        <v/>
      </c>
      <c r="R573" s="87" t="str">
        <f>IF(AND($N573=$Q$7,$B573&lt;'111'!$L$11),"x","")</f>
        <v/>
      </c>
      <c r="S573" s="87" t="str">
        <f>IF(AND($O573=$Q$7,$B573&lt;'111'!$L$11),"x","")</f>
        <v/>
      </c>
      <c r="T573" s="87" t="str">
        <f>IF(ISERROR(FIND('112'!$M$9,G573,1)),"",IF((AND(FIND('112'!$M$9,G573,1)&gt;=1,B573='112'!$K$9,OR($N573='112'!$I$6,$O573='112'!$I$6))),"x",""))</f>
        <v/>
      </c>
      <c r="U573" s="87" t="str">
        <f>IF(ISERROR(FIND('112'!$M$9,G573,1)),"",IF((AND(FIND('112'!$M$9,G573,1)&gt;=1,B573&lt;'112'!$K$9,$N573='112'!$I$6)),"x",""))</f>
        <v/>
      </c>
      <c r="V573" s="87" t="str">
        <f>IF(ISERROR(FIND('112'!$M$9,G573,1)),"",IF((AND(FIND('112'!$M$9,G573,1)&gt;=1,B573&lt;'112'!$K$9,$O573='112'!$I$6)),"x",""))</f>
        <v/>
      </c>
      <c r="W573" s="87" t="str">
        <f>IF(AND($B573&gt;='1331'!$I$9,$B573&lt;='1331'!$J$9,OR($N573=$W$7,$O573=$W$7)),"x","")</f>
        <v/>
      </c>
      <c r="X573" s="87" t="str">
        <f>IF(AND($N573=$W$7,$B573&lt;'1331'!$I$9),"x","")</f>
        <v/>
      </c>
      <c r="Y573" s="87" t="str">
        <f>IF(AND($O573=$W$7,$B573&lt;'1331'!$I$9),"x","")</f>
        <v/>
      </c>
      <c r="Z573" s="87" t="str">
        <f>IF(AND('341-CT'!$H$9=H573,OR(LEFT(N573,3)=$Z$7,LEFT(O573,3)=$Z$7)),"x","")</f>
        <v/>
      </c>
      <c r="AA573" s="87" t="str">
        <f>IF(OR(TH!N573=TH!$AA$7,O573=TH!$AA$7),"x","")</f>
        <v/>
      </c>
      <c r="AB573" s="87" t="str">
        <f>IF(AND(OR(N573="131",O573="131"),H573='131-CT'!$H$9),"x","")</f>
        <v/>
      </c>
      <c r="AC573" s="87"/>
      <c r="AD573" s="87" t="str">
        <f>IF(AND(MONTH(E573)='IN-NX'!$J$5,'IN-NX'!$D$7=D573),"x","")</f>
        <v/>
      </c>
      <c r="AE573" s="87" t="str">
        <f>IF(AND(OR(LEFT(TH!N573,2)="15",LEFT(TH!O573,2)="15"),'152-CT'!$J$8=TH!F573),"x","")</f>
        <v/>
      </c>
      <c r="AF573" s="87" t="str">
        <f>IF(AND(OR(LEFT(TH!N573,2)="15",LEFT(TH!O573,2)="15"),'THE KHO'!$E$7=TH!F573),"x","")</f>
        <v/>
      </c>
      <c r="AG573" s="87" t="str">
        <f>IF(AND(N573="1521",MONTH(C573)='BK NL'!$M$11),"x","")</f>
        <v/>
      </c>
    </row>
    <row r="574" spans="1:33" ht="15.75" customHeight="1">
      <c r="A574" s="399" t="str">
        <f>IF(B574&lt;&gt;"",IF(AND(B574&gt;=_TM1,B574&lt;=_TM2,OR(TH!N574="1111",TH!O574="1111")),TH!D574,""),"")</f>
        <v/>
      </c>
      <c r="B574" s="63" t="str">
        <f t="shared" si="14"/>
        <v/>
      </c>
      <c r="C574" s="64"/>
      <c r="D574" s="64"/>
      <c r="E574" s="64"/>
      <c r="F574" s="67"/>
      <c r="G574" s="362"/>
      <c r="H574" s="75"/>
      <c r="I574" s="518"/>
      <c r="J574" s="518"/>
      <c r="K574" s="509"/>
      <c r="L574" s="518"/>
      <c r="M574" s="65"/>
      <c r="N574" s="66"/>
      <c r="O574" s="66"/>
      <c r="P574" s="87" t="str">
        <f>IF(AND('331-CT'!$E$7=TH!H574,OR(N574="331",O574="331")),"x","")</f>
        <v/>
      </c>
      <c r="Q574" s="87" t="str">
        <f>IF(AND(B574='111'!$L$11,OR($N574=$Q$7,$O574=$Q$7)),"x","")</f>
        <v/>
      </c>
      <c r="R574" s="87" t="str">
        <f>IF(AND($N574=$Q$7,$B574&lt;'111'!$L$11),"x","")</f>
        <v/>
      </c>
      <c r="S574" s="87" t="str">
        <f>IF(AND($O574=$Q$7,$B574&lt;'111'!$L$11),"x","")</f>
        <v/>
      </c>
      <c r="T574" s="87" t="str">
        <f>IF(ISERROR(FIND('112'!$M$9,G574,1)),"",IF((AND(FIND('112'!$M$9,G574,1)&gt;=1,B574='112'!$K$9,OR($N574='112'!$I$6,$O574='112'!$I$6))),"x",""))</f>
        <v/>
      </c>
      <c r="U574" s="87" t="str">
        <f>IF(ISERROR(FIND('112'!$M$9,G574,1)),"",IF((AND(FIND('112'!$M$9,G574,1)&gt;=1,B574&lt;'112'!$K$9,$N574='112'!$I$6)),"x",""))</f>
        <v/>
      </c>
      <c r="V574" s="87" t="str">
        <f>IF(ISERROR(FIND('112'!$M$9,G574,1)),"",IF((AND(FIND('112'!$M$9,G574,1)&gt;=1,B574&lt;'112'!$K$9,$O574='112'!$I$6)),"x",""))</f>
        <v/>
      </c>
      <c r="W574" s="87" t="str">
        <f>IF(AND($B574&gt;='1331'!$I$9,$B574&lt;='1331'!$J$9,OR($N574=$W$7,$O574=$W$7)),"x","")</f>
        <v/>
      </c>
      <c r="X574" s="87" t="str">
        <f>IF(AND($N574=$W$7,$B574&lt;'1331'!$I$9),"x","")</f>
        <v/>
      </c>
      <c r="Y574" s="87" t="str">
        <f>IF(AND($O574=$W$7,$B574&lt;'1331'!$I$9),"x","")</f>
        <v/>
      </c>
      <c r="Z574" s="87" t="str">
        <f>IF(AND('341-CT'!$H$9=H574,OR(LEFT(N574,3)=$Z$7,LEFT(O574,3)=$Z$7)),"x","")</f>
        <v/>
      </c>
      <c r="AA574" s="87" t="str">
        <f>IF(OR(TH!N574=TH!$AA$7,O574=TH!$AA$7),"x","")</f>
        <v/>
      </c>
      <c r="AB574" s="87" t="str">
        <f>IF(AND(OR(N574="131",O574="131"),H574='131-CT'!$H$9),"x","")</f>
        <v/>
      </c>
      <c r="AC574" s="87"/>
      <c r="AD574" s="87" t="str">
        <f>IF(AND(MONTH(E574)='IN-NX'!$J$5,'IN-NX'!$D$7=D574),"x","")</f>
        <v/>
      </c>
      <c r="AE574" s="87" t="str">
        <f>IF(AND(OR(LEFT(TH!N574,2)="15",LEFT(TH!O574,2)="15"),'152-CT'!$J$8=TH!F574),"x","")</f>
        <v/>
      </c>
      <c r="AF574" s="87" t="str">
        <f>IF(AND(OR(LEFT(TH!N574,2)="15",LEFT(TH!O574,2)="15"),'THE KHO'!$E$7=TH!F574),"x","")</f>
        <v/>
      </c>
      <c r="AG574" s="87" t="str">
        <f>IF(AND(N574="1521",MONTH(C574)='BK NL'!$M$11),"x","")</f>
        <v/>
      </c>
    </row>
    <row r="575" spans="1:33" ht="15.75" customHeight="1">
      <c r="A575" s="399" t="str">
        <f>IF(B575&lt;&gt;"",IF(AND(B575&gt;=_TM1,B575&lt;=_TM2,OR(TH!N575="1111",TH!O575="1111")),TH!D575,""),"")</f>
        <v/>
      </c>
      <c r="B575" s="63" t="str">
        <f t="shared" si="14"/>
        <v/>
      </c>
      <c r="C575" s="64"/>
      <c r="D575" s="64"/>
      <c r="E575" s="64"/>
      <c r="F575" s="67"/>
      <c r="G575" s="376"/>
      <c r="H575" s="75"/>
      <c r="I575" s="518"/>
      <c r="J575" s="518"/>
      <c r="K575" s="509"/>
      <c r="L575" s="518"/>
      <c r="M575" s="65"/>
      <c r="N575" s="66"/>
      <c r="O575" s="66"/>
      <c r="P575" s="87" t="str">
        <f>IF(AND('331-CT'!$E$7=TH!H575,OR(N575="331",O575="331")),"x","")</f>
        <v/>
      </c>
      <c r="Q575" s="87" t="str">
        <f>IF(AND(B575='111'!$L$11,OR($N575=$Q$7,$O575=$Q$7)),"x","")</f>
        <v/>
      </c>
      <c r="R575" s="87" t="str">
        <f>IF(AND($N575=$Q$7,$B575&lt;'111'!$L$11),"x","")</f>
        <v/>
      </c>
      <c r="S575" s="87" t="str">
        <f>IF(AND($O575=$Q$7,$B575&lt;'111'!$L$11),"x","")</f>
        <v/>
      </c>
      <c r="T575" s="87" t="str">
        <f>IF(ISERROR(FIND('112'!$M$9,G575,1)),"",IF((AND(FIND('112'!$M$9,G575,1)&gt;=1,B575='112'!$K$9,OR($N575='112'!$I$6,$O575='112'!$I$6))),"x",""))</f>
        <v/>
      </c>
      <c r="U575" s="87" t="str">
        <f>IF(ISERROR(FIND('112'!$M$9,G575,1)),"",IF((AND(FIND('112'!$M$9,G575,1)&gt;=1,B575&lt;'112'!$K$9,$N575='112'!$I$6)),"x",""))</f>
        <v/>
      </c>
      <c r="V575" s="87" t="str">
        <f>IF(ISERROR(FIND('112'!$M$9,G575,1)),"",IF((AND(FIND('112'!$M$9,G575,1)&gt;=1,B575&lt;'112'!$K$9,$O575='112'!$I$6)),"x",""))</f>
        <v/>
      </c>
      <c r="W575" s="87" t="str">
        <f>IF(AND($B575&gt;='1331'!$I$9,$B575&lt;='1331'!$J$9,OR($N575=$W$7,$O575=$W$7)),"x","")</f>
        <v/>
      </c>
      <c r="X575" s="87" t="str">
        <f>IF(AND($N575=$W$7,$B575&lt;'1331'!$I$9),"x","")</f>
        <v/>
      </c>
      <c r="Y575" s="87" t="str">
        <f>IF(AND($O575=$W$7,$B575&lt;'1331'!$I$9),"x","")</f>
        <v/>
      </c>
      <c r="Z575" s="87" t="str">
        <f>IF(AND('341-CT'!$H$9=H575,OR(LEFT(N575,3)=$Z$7,LEFT(O575,3)=$Z$7)),"x","")</f>
        <v/>
      </c>
      <c r="AA575" s="87" t="str">
        <f>IF(OR(TH!N575=TH!$AA$7,O575=TH!$AA$7),"x","")</f>
        <v/>
      </c>
      <c r="AB575" s="87" t="str">
        <f>IF(AND(OR(N575="131",O575="131"),H575='131-CT'!$H$9),"x","")</f>
        <v/>
      </c>
      <c r="AC575" s="87"/>
      <c r="AD575" s="87" t="str">
        <f>IF(AND(MONTH(E575)='IN-NX'!$J$5,'IN-NX'!$D$7=D575),"x","")</f>
        <v/>
      </c>
      <c r="AE575" s="87" t="str">
        <f>IF(AND(OR(LEFT(TH!N575,2)="15",LEFT(TH!O575,2)="15"),'152-CT'!$J$8=TH!F575),"x","")</f>
        <v/>
      </c>
      <c r="AF575" s="87" t="str">
        <f>IF(AND(OR(LEFT(TH!N575,2)="15",LEFT(TH!O575,2)="15"),'THE KHO'!$E$7=TH!F575),"x","")</f>
        <v/>
      </c>
      <c r="AG575" s="87" t="str">
        <f>IF(AND(N575="1521",MONTH(C575)='BK NL'!$M$11),"x","")</f>
        <v/>
      </c>
    </row>
    <row r="576" spans="1:33" ht="15.75" customHeight="1">
      <c r="A576" s="399" t="str">
        <f>IF(B576&lt;&gt;"",IF(AND(B576&gt;=_TM1,B576&lt;=_TM2,OR(TH!N576="1111",TH!O576="1111")),TH!D576,""),"")</f>
        <v/>
      </c>
      <c r="B576" s="63" t="str">
        <f t="shared" si="14"/>
        <v/>
      </c>
      <c r="C576" s="64"/>
      <c r="D576" s="64"/>
      <c r="E576" s="64"/>
      <c r="F576" s="67"/>
      <c r="G576" s="376"/>
      <c r="H576" s="75"/>
      <c r="I576" s="518"/>
      <c r="J576" s="518"/>
      <c r="K576" s="509"/>
      <c r="L576" s="518"/>
      <c r="M576" s="65"/>
      <c r="N576" s="66"/>
      <c r="O576" s="66"/>
      <c r="P576" s="87" t="str">
        <f>IF(AND('331-CT'!$E$7=TH!H576,OR(N576="331",O576="331")),"x","")</f>
        <v/>
      </c>
      <c r="Q576" s="87" t="str">
        <f>IF(AND(B576='111'!$L$11,OR($N576=$Q$7,$O576=$Q$7)),"x","")</f>
        <v/>
      </c>
      <c r="R576" s="87" t="str">
        <f>IF(AND($N576=$Q$7,$B576&lt;'111'!$L$11),"x","")</f>
        <v/>
      </c>
      <c r="S576" s="87" t="str">
        <f>IF(AND($O576=$Q$7,$B576&lt;'111'!$L$11),"x","")</f>
        <v/>
      </c>
      <c r="T576" s="87" t="str">
        <f>IF(ISERROR(FIND('112'!$M$9,G576,1)),"",IF((AND(FIND('112'!$M$9,G576,1)&gt;=1,B576='112'!$K$9,OR($N576='112'!$I$6,$O576='112'!$I$6))),"x",""))</f>
        <v/>
      </c>
      <c r="U576" s="87" t="str">
        <f>IF(ISERROR(FIND('112'!$M$9,G576,1)),"",IF((AND(FIND('112'!$M$9,G576,1)&gt;=1,B576&lt;'112'!$K$9,$N576='112'!$I$6)),"x",""))</f>
        <v/>
      </c>
      <c r="V576" s="87" t="str">
        <f>IF(ISERROR(FIND('112'!$M$9,G576,1)),"",IF((AND(FIND('112'!$M$9,G576,1)&gt;=1,B576&lt;'112'!$K$9,$O576='112'!$I$6)),"x",""))</f>
        <v/>
      </c>
      <c r="W576" s="87" t="str">
        <f>IF(AND($B576&gt;='1331'!$I$9,$B576&lt;='1331'!$J$9,OR($N576=$W$7,$O576=$W$7)),"x","")</f>
        <v/>
      </c>
      <c r="X576" s="87" t="str">
        <f>IF(AND($N576=$W$7,$B576&lt;'1331'!$I$9),"x","")</f>
        <v/>
      </c>
      <c r="Y576" s="87" t="str">
        <f>IF(AND($O576=$W$7,$B576&lt;'1331'!$I$9),"x","")</f>
        <v/>
      </c>
      <c r="Z576" s="87" t="str">
        <f>IF(AND('341-CT'!$H$9=H576,OR(LEFT(N576,3)=$Z$7,LEFT(O576,3)=$Z$7)),"x","")</f>
        <v/>
      </c>
      <c r="AA576" s="87" t="str">
        <f>IF(OR(TH!N576=TH!$AA$7,O576=TH!$AA$7),"x","")</f>
        <v/>
      </c>
      <c r="AB576" s="87" t="str">
        <f>IF(AND(OR(N576="131",O576="131"),H576='131-CT'!$H$9),"x","")</f>
        <v/>
      </c>
      <c r="AC576" s="87"/>
      <c r="AD576" s="87" t="str">
        <f>IF(AND(MONTH(E576)='IN-NX'!$J$5,'IN-NX'!$D$7=D576),"x","")</f>
        <v/>
      </c>
      <c r="AE576" s="87" t="str">
        <f>IF(AND(OR(LEFT(TH!N576,2)="15",LEFT(TH!O576,2)="15"),'152-CT'!$J$8=TH!F576),"x","")</f>
        <v/>
      </c>
      <c r="AF576" s="87" t="str">
        <f>IF(AND(OR(LEFT(TH!N576,2)="15",LEFT(TH!O576,2)="15"),'THE KHO'!$E$7=TH!F576),"x","")</f>
        <v/>
      </c>
      <c r="AG576" s="87" t="str">
        <f>IF(AND(N576="1521",MONTH(C576)='BK NL'!$M$11),"x","")</f>
        <v/>
      </c>
    </row>
    <row r="577" spans="1:33" ht="15.75" customHeight="1">
      <c r="A577" s="399" t="str">
        <f>IF(B577&lt;&gt;"",IF(AND(B577&gt;=_TM1,B577&lt;=_TM2,OR(TH!N577="1111",TH!O577="1111")),TH!D577,""),"")</f>
        <v/>
      </c>
      <c r="B577" s="63" t="str">
        <f t="shared" si="14"/>
        <v/>
      </c>
      <c r="C577" s="64"/>
      <c r="D577" s="64"/>
      <c r="E577" s="64"/>
      <c r="F577" s="67"/>
      <c r="G577" s="376"/>
      <c r="H577" s="75"/>
      <c r="I577" s="518"/>
      <c r="J577" s="518"/>
      <c r="K577" s="509"/>
      <c r="L577" s="518"/>
      <c r="M577" s="65"/>
      <c r="N577" s="66"/>
      <c r="O577" s="66"/>
      <c r="P577" s="87" t="str">
        <f>IF(AND('331-CT'!$E$7=TH!H577,OR(N577="331",O577="331")),"x","")</f>
        <v/>
      </c>
      <c r="Q577" s="87" t="str">
        <f>IF(AND(B577='111'!$L$11,OR($N577=$Q$7,$O577=$Q$7)),"x","")</f>
        <v/>
      </c>
      <c r="R577" s="87" t="str">
        <f>IF(AND($N577=$Q$7,$B577&lt;'111'!$L$11),"x","")</f>
        <v/>
      </c>
      <c r="S577" s="87" t="str">
        <f>IF(AND($O577=$Q$7,$B577&lt;'111'!$L$11),"x","")</f>
        <v/>
      </c>
      <c r="T577" s="87" t="str">
        <f>IF(ISERROR(FIND('112'!$M$9,G577,1)),"",IF((AND(FIND('112'!$M$9,G577,1)&gt;=1,B577='112'!$K$9,OR($N577='112'!$I$6,$O577='112'!$I$6))),"x",""))</f>
        <v/>
      </c>
      <c r="U577" s="87" t="str">
        <f>IF(ISERROR(FIND('112'!$M$9,G577,1)),"",IF((AND(FIND('112'!$M$9,G577,1)&gt;=1,B577&lt;'112'!$K$9,$N577='112'!$I$6)),"x",""))</f>
        <v/>
      </c>
      <c r="V577" s="87" t="str">
        <f>IF(ISERROR(FIND('112'!$M$9,G577,1)),"",IF((AND(FIND('112'!$M$9,G577,1)&gt;=1,B577&lt;'112'!$K$9,$O577='112'!$I$6)),"x",""))</f>
        <v/>
      </c>
      <c r="W577" s="87" t="str">
        <f>IF(AND($B577&gt;='1331'!$I$9,$B577&lt;='1331'!$J$9,OR($N577=$W$7,$O577=$W$7)),"x","")</f>
        <v/>
      </c>
      <c r="X577" s="87" t="str">
        <f>IF(AND($N577=$W$7,$B577&lt;'1331'!$I$9),"x","")</f>
        <v/>
      </c>
      <c r="Y577" s="87" t="str">
        <f>IF(AND($O577=$W$7,$B577&lt;'1331'!$I$9),"x","")</f>
        <v/>
      </c>
      <c r="Z577" s="87" t="str">
        <f>IF(AND('341-CT'!$H$9=H577,OR(LEFT(N577,3)=$Z$7,LEFT(O577,3)=$Z$7)),"x","")</f>
        <v/>
      </c>
      <c r="AA577" s="87" t="str">
        <f>IF(OR(TH!N577=TH!$AA$7,O577=TH!$AA$7),"x","")</f>
        <v/>
      </c>
      <c r="AB577" s="87" t="str">
        <f>IF(AND(OR(N577="131",O577="131"),H577='131-CT'!$H$9),"x","")</f>
        <v/>
      </c>
      <c r="AC577" s="87"/>
      <c r="AD577" s="87" t="str">
        <f>IF(AND(MONTH(E577)='IN-NX'!$J$5,'IN-NX'!$D$7=D577),"x","")</f>
        <v/>
      </c>
      <c r="AE577" s="87" t="str">
        <f>IF(AND(OR(LEFT(TH!N577,2)="15",LEFT(TH!O577,2)="15"),'152-CT'!$J$8=TH!F577),"x","")</f>
        <v/>
      </c>
      <c r="AF577" s="87" t="str">
        <f>IF(AND(OR(LEFT(TH!N577,2)="15",LEFT(TH!O577,2)="15"),'THE KHO'!$E$7=TH!F577),"x","")</f>
        <v/>
      </c>
      <c r="AG577" s="87" t="str">
        <f>IF(AND(N577="1521",MONTH(C577)='BK NL'!$M$11),"x","")</f>
        <v/>
      </c>
    </row>
    <row r="578" spans="1:33" ht="15.75" customHeight="1">
      <c r="A578" s="399" t="str">
        <f>IF(B578&lt;&gt;"",IF(AND(B578&gt;=_TM1,B578&lt;=_TM2,OR(TH!N578="1111",TH!O578="1111")),TH!D578,""),"")</f>
        <v/>
      </c>
      <c r="B578" s="63" t="str">
        <f t="shared" si="14"/>
        <v/>
      </c>
      <c r="C578" s="64"/>
      <c r="D578" s="64"/>
      <c r="E578" s="64"/>
      <c r="F578" s="67"/>
      <c r="G578" s="376"/>
      <c r="H578" s="75"/>
      <c r="I578" s="518"/>
      <c r="J578" s="518"/>
      <c r="K578" s="509"/>
      <c r="L578" s="518"/>
      <c r="M578" s="65"/>
      <c r="N578" s="66"/>
      <c r="O578" s="66"/>
      <c r="P578" s="87" t="str">
        <f>IF(AND('331-CT'!$E$7=TH!H578,OR(N578="331",O578="331")),"x","")</f>
        <v/>
      </c>
      <c r="Q578" s="87" t="str">
        <f>IF(AND(B578='111'!$L$11,OR($N578=$Q$7,$O578=$Q$7)),"x","")</f>
        <v/>
      </c>
      <c r="R578" s="87" t="str">
        <f>IF(AND($N578=$Q$7,$B578&lt;'111'!$L$11),"x","")</f>
        <v/>
      </c>
      <c r="S578" s="87" t="str">
        <f>IF(AND($O578=$Q$7,$B578&lt;'111'!$L$11),"x","")</f>
        <v/>
      </c>
      <c r="T578" s="87" t="str">
        <f>IF(ISERROR(FIND('112'!$M$9,G578,1)),"",IF((AND(FIND('112'!$M$9,G578,1)&gt;=1,B578='112'!$K$9,OR($N578='112'!$I$6,$O578='112'!$I$6))),"x",""))</f>
        <v/>
      </c>
      <c r="U578" s="87" t="str">
        <f>IF(ISERROR(FIND('112'!$M$9,G578,1)),"",IF((AND(FIND('112'!$M$9,G578,1)&gt;=1,B578&lt;'112'!$K$9,$N578='112'!$I$6)),"x",""))</f>
        <v/>
      </c>
      <c r="V578" s="87" t="str">
        <f>IF(ISERROR(FIND('112'!$M$9,G578,1)),"",IF((AND(FIND('112'!$M$9,G578,1)&gt;=1,B578&lt;'112'!$K$9,$O578='112'!$I$6)),"x",""))</f>
        <v/>
      </c>
      <c r="W578" s="87" t="str">
        <f>IF(AND($B578&gt;='1331'!$I$9,$B578&lt;='1331'!$J$9,OR($N578=$W$7,$O578=$W$7)),"x","")</f>
        <v/>
      </c>
      <c r="X578" s="87" t="str">
        <f>IF(AND($N578=$W$7,$B578&lt;'1331'!$I$9),"x","")</f>
        <v/>
      </c>
      <c r="Y578" s="87" t="str">
        <f>IF(AND($O578=$W$7,$B578&lt;'1331'!$I$9),"x","")</f>
        <v/>
      </c>
      <c r="Z578" s="87" t="str">
        <f>IF(AND('341-CT'!$H$9=H578,OR(LEFT(N578,3)=$Z$7,LEFT(O578,3)=$Z$7)),"x","")</f>
        <v/>
      </c>
      <c r="AA578" s="87" t="str">
        <f>IF(OR(TH!N578=TH!$AA$7,O578=TH!$AA$7),"x","")</f>
        <v/>
      </c>
      <c r="AB578" s="87" t="str">
        <f>IF(AND(OR(N578="131",O578="131"),H578='131-CT'!$H$9),"x","")</f>
        <v/>
      </c>
      <c r="AC578" s="87"/>
      <c r="AD578" s="87" t="str">
        <f>IF(AND(MONTH(E578)='IN-NX'!$J$5,'IN-NX'!$D$7=D578),"x","")</f>
        <v/>
      </c>
      <c r="AE578" s="87" t="str">
        <f>IF(AND(OR(LEFT(TH!N578,2)="15",LEFT(TH!O578,2)="15"),'152-CT'!$J$8=TH!F578),"x","")</f>
        <v/>
      </c>
      <c r="AF578" s="87" t="str">
        <f>IF(AND(OR(LEFT(TH!N578,2)="15",LEFT(TH!O578,2)="15"),'THE KHO'!$E$7=TH!F578),"x","")</f>
        <v/>
      </c>
      <c r="AG578" s="87" t="str">
        <f>IF(AND(N578="1521",MONTH(C578)='BK NL'!$M$11),"x","")</f>
        <v/>
      </c>
    </row>
    <row r="579" spans="1:33" ht="15.75" customHeight="1">
      <c r="A579" s="399" t="str">
        <f>IF(B579&lt;&gt;"",IF(AND(B579&gt;=_TM1,B579&lt;=_TM2,OR(TH!N579="1111",TH!O579="1111")),TH!D579,""),"")</f>
        <v/>
      </c>
      <c r="B579" s="63" t="str">
        <f t="shared" si="14"/>
        <v/>
      </c>
      <c r="C579" s="64"/>
      <c r="D579" s="64"/>
      <c r="E579" s="64"/>
      <c r="F579" s="67"/>
      <c r="G579" s="376"/>
      <c r="H579" s="75"/>
      <c r="I579" s="518"/>
      <c r="J579" s="518"/>
      <c r="K579" s="509"/>
      <c r="L579" s="518"/>
      <c r="M579" s="65"/>
      <c r="N579" s="66"/>
      <c r="O579" s="66"/>
      <c r="P579" s="87" t="str">
        <f>IF(AND('331-CT'!$E$7=TH!H579,OR(N579="331",O579="331")),"x","")</f>
        <v/>
      </c>
      <c r="Q579" s="87" t="str">
        <f>IF(AND(B579='111'!$L$11,OR($N579=$Q$7,$O579=$Q$7)),"x","")</f>
        <v/>
      </c>
      <c r="R579" s="87" t="str">
        <f>IF(AND($N579=$Q$7,$B579&lt;'111'!$L$11),"x","")</f>
        <v/>
      </c>
      <c r="S579" s="87" t="str">
        <f>IF(AND($O579=$Q$7,$B579&lt;'111'!$L$11),"x","")</f>
        <v/>
      </c>
      <c r="T579" s="87" t="str">
        <f>IF(ISERROR(FIND('112'!$M$9,G579,1)),"",IF((AND(FIND('112'!$M$9,G579,1)&gt;=1,B579='112'!$K$9,OR($N579='112'!$I$6,$O579='112'!$I$6))),"x",""))</f>
        <v/>
      </c>
      <c r="U579" s="87" t="str">
        <f>IF(ISERROR(FIND('112'!$M$9,G579,1)),"",IF((AND(FIND('112'!$M$9,G579,1)&gt;=1,B579&lt;'112'!$K$9,$N579='112'!$I$6)),"x",""))</f>
        <v/>
      </c>
      <c r="V579" s="87" t="str">
        <f>IF(ISERROR(FIND('112'!$M$9,G579,1)),"",IF((AND(FIND('112'!$M$9,G579,1)&gt;=1,B579&lt;'112'!$K$9,$O579='112'!$I$6)),"x",""))</f>
        <v/>
      </c>
      <c r="W579" s="87" t="str">
        <f>IF(AND($B579&gt;='1331'!$I$9,$B579&lt;='1331'!$J$9,OR($N579=$W$7,$O579=$W$7)),"x","")</f>
        <v/>
      </c>
      <c r="X579" s="87" t="str">
        <f>IF(AND($N579=$W$7,$B579&lt;'1331'!$I$9),"x","")</f>
        <v/>
      </c>
      <c r="Y579" s="87" t="str">
        <f>IF(AND($O579=$W$7,$B579&lt;'1331'!$I$9),"x","")</f>
        <v/>
      </c>
      <c r="Z579" s="87" t="str">
        <f>IF(AND('341-CT'!$H$9=H579,OR(LEFT(N579,3)=$Z$7,LEFT(O579,3)=$Z$7)),"x","")</f>
        <v/>
      </c>
      <c r="AA579" s="87" t="str">
        <f>IF(OR(TH!N579=TH!$AA$7,O579=TH!$AA$7),"x","")</f>
        <v/>
      </c>
      <c r="AB579" s="87" t="str">
        <f>IF(AND(OR(N579="131",O579="131"),H579='131-CT'!$H$9),"x","")</f>
        <v/>
      </c>
      <c r="AC579" s="87"/>
      <c r="AD579" s="87" t="str">
        <f>IF(AND(MONTH(E579)='IN-NX'!$J$5,'IN-NX'!$D$7=D579),"x","")</f>
        <v/>
      </c>
      <c r="AE579" s="87" t="str">
        <f>IF(AND(OR(LEFT(TH!N579,2)="15",LEFT(TH!O579,2)="15"),'152-CT'!$J$8=TH!F579),"x","")</f>
        <v/>
      </c>
      <c r="AF579" s="87" t="str">
        <f>IF(AND(OR(LEFT(TH!N579,2)="15",LEFT(TH!O579,2)="15"),'THE KHO'!$E$7=TH!F579),"x","")</f>
        <v/>
      </c>
      <c r="AG579" s="87" t="str">
        <f>IF(AND(N579="1521",MONTH(C579)='BK NL'!$M$11),"x","")</f>
        <v/>
      </c>
    </row>
    <row r="580" spans="1:33" ht="15.75" customHeight="1">
      <c r="A580" s="399" t="str">
        <f>IF(B580&lt;&gt;"",IF(AND(B580&gt;=_TM1,B580&lt;=_TM2,OR(TH!N580="1111",TH!O580="1111")),TH!D580,""),"")</f>
        <v/>
      </c>
      <c r="B580" s="63" t="str">
        <f t="shared" si="14"/>
        <v/>
      </c>
      <c r="C580" s="64"/>
      <c r="D580" s="64"/>
      <c r="E580" s="64"/>
      <c r="F580" s="67"/>
      <c r="G580" s="376"/>
      <c r="H580" s="75"/>
      <c r="I580" s="518"/>
      <c r="J580" s="518"/>
      <c r="K580" s="509"/>
      <c r="L580" s="518"/>
      <c r="M580" s="65"/>
      <c r="N580" s="66"/>
      <c r="O580" s="66"/>
      <c r="P580" s="87" t="str">
        <f>IF(AND('331-CT'!$E$7=TH!H580,OR(N580="331",O580="331")),"x","")</f>
        <v/>
      </c>
      <c r="Q580" s="87" t="str">
        <f>IF(AND(B580='111'!$L$11,OR($N580=$Q$7,$O580=$Q$7)),"x","")</f>
        <v/>
      </c>
      <c r="R580" s="87" t="str">
        <f>IF(AND($N580=$Q$7,$B580&lt;'111'!$L$11),"x","")</f>
        <v/>
      </c>
      <c r="S580" s="87" t="str">
        <f>IF(AND($O580=$Q$7,$B580&lt;'111'!$L$11),"x","")</f>
        <v/>
      </c>
      <c r="T580" s="87" t="str">
        <f>IF(ISERROR(FIND('112'!$M$9,G580,1)),"",IF((AND(FIND('112'!$M$9,G580,1)&gt;=1,B580='112'!$K$9,OR($N580='112'!$I$6,$O580='112'!$I$6))),"x",""))</f>
        <v/>
      </c>
      <c r="U580" s="87" t="str">
        <f>IF(ISERROR(FIND('112'!$M$9,G580,1)),"",IF((AND(FIND('112'!$M$9,G580,1)&gt;=1,B580&lt;'112'!$K$9,$N580='112'!$I$6)),"x",""))</f>
        <v/>
      </c>
      <c r="V580" s="87" t="str">
        <f>IF(ISERROR(FIND('112'!$M$9,G580,1)),"",IF((AND(FIND('112'!$M$9,G580,1)&gt;=1,B580&lt;'112'!$K$9,$O580='112'!$I$6)),"x",""))</f>
        <v/>
      </c>
      <c r="W580" s="87" t="str">
        <f>IF(AND($B580&gt;='1331'!$I$9,$B580&lt;='1331'!$J$9,OR($N580=$W$7,$O580=$W$7)),"x","")</f>
        <v/>
      </c>
      <c r="X580" s="87" t="str">
        <f>IF(AND($N580=$W$7,$B580&lt;'1331'!$I$9),"x","")</f>
        <v/>
      </c>
      <c r="Y580" s="87" t="str">
        <f>IF(AND($O580=$W$7,$B580&lt;'1331'!$I$9),"x","")</f>
        <v/>
      </c>
      <c r="Z580" s="87" t="str">
        <f>IF(AND('341-CT'!$H$9=H580,OR(LEFT(N580,3)=$Z$7,LEFT(O580,3)=$Z$7)),"x","")</f>
        <v/>
      </c>
      <c r="AA580" s="87" t="str">
        <f>IF(OR(TH!N580=TH!$AA$7,O580=TH!$AA$7),"x","")</f>
        <v/>
      </c>
      <c r="AB580" s="87" t="str">
        <f>IF(AND(OR(N580="131",O580="131"),H580='131-CT'!$H$9),"x","")</f>
        <v/>
      </c>
      <c r="AC580" s="87"/>
      <c r="AD580" s="87" t="str">
        <f>IF(AND(MONTH(E580)='IN-NX'!$J$5,'IN-NX'!$D$7=D580),"x","")</f>
        <v/>
      </c>
      <c r="AE580" s="87" t="str">
        <f>IF(AND(OR(LEFT(TH!N580,2)="15",LEFT(TH!O580,2)="15"),'152-CT'!$J$8=TH!F580),"x","")</f>
        <v/>
      </c>
      <c r="AF580" s="87" t="str">
        <f>IF(AND(OR(LEFT(TH!N580,2)="15",LEFT(TH!O580,2)="15"),'THE KHO'!$E$7=TH!F580),"x","")</f>
        <v/>
      </c>
      <c r="AG580" s="87" t="str">
        <f>IF(AND(N580="1521",MONTH(C580)='BK NL'!$M$11),"x","")</f>
        <v/>
      </c>
    </row>
    <row r="581" spans="1:33" ht="15.75" customHeight="1">
      <c r="A581" s="399" t="str">
        <f>IF(B581&lt;&gt;"",IF(AND(B581&gt;=_TM1,B581&lt;=_TM2,OR(TH!N581="1111",TH!O581="1111")),TH!D581,""),"")</f>
        <v/>
      </c>
      <c r="B581" s="63" t="str">
        <f t="shared" si="14"/>
        <v/>
      </c>
      <c r="C581" s="64"/>
      <c r="D581" s="64"/>
      <c r="E581" s="64"/>
      <c r="F581" s="67"/>
      <c r="G581" s="376"/>
      <c r="H581" s="75"/>
      <c r="I581" s="518"/>
      <c r="J581" s="518"/>
      <c r="K581" s="509"/>
      <c r="L581" s="518"/>
      <c r="M581" s="65"/>
      <c r="N581" s="66"/>
      <c r="O581" s="66"/>
      <c r="P581" s="87" t="str">
        <f>IF(AND('331-CT'!$E$7=TH!H581,OR(N581="331",O581="331")),"x","")</f>
        <v/>
      </c>
      <c r="Q581" s="87" t="str">
        <f>IF(AND(B581='111'!$L$11,OR($N581=$Q$7,$O581=$Q$7)),"x","")</f>
        <v/>
      </c>
      <c r="R581" s="87" t="str">
        <f>IF(AND($N581=$Q$7,$B581&lt;'111'!$L$11),"x","")</f>
        <v/>
      </c>
      <c r="S581" s="87" t="str">
        <f>IF(AND($O581=$Q$7,$B581&lt;'111'!$L$11),"x","")</f>
        <v/>
      </c>
      <c r="T581" s="87" t="str">
        <f>IF(ISERROR(FIND('112'!$M$9,G581,1)),"",IF((AND(FIND('112'!$M$9,G581,1)&gt;=1,B581='112'!$K$9,OR($N581='112'!$I$6,$O581='112'!$I$6))),"x",""))</f>
        <v/>
      </c>
      <c r="U581" s="87" t="str">
        <f>IF(ISERROR(FIND('112'!$M$9,G581,1)),"",IF((AND(FIND('112'!$M$9,G581,1)&gt;=1,B581&lt;'112'!$K$9,$N581='112'!$I$6)),"x",""))</f>
        <v/>
      </c>
      <c r="V581" s="87" t="str">
        <f>IF(ISERROR(FIND('112'!$M$9,G581,1)),"",IF((AND(FIND('112'!$M$9,G581,1)&gt;=1,B581&lt;'112'!$K$9,$O581='112'!$I$6)),"x",""))</f>
        <v/>
      </c>
      <c r="W581" s="87" t="str">
        <f>IF(AND($B581&gt;='1331'!$I$9,$B581&lt;='1331'!$J$9,OR($N581=$W$7,$O581=$W$7)),"x","")</f>
        <v/>
      </c>
      <c r="X581" s="87" t="str">
        <f>IF(AND($N581=$W$7,$B581&lt;'1331'!$I$9),"x","")</f>
        <v/>
      </c>
      <c r="Y581" s="87" t="str">
        <f>IF(AND($O581=$W$7,$B581&lt;'1331'!$I$9),"x","")</f>
        <v/>
      </c>
      <c r="Z581" s="87" t="str">
        <f>IF(AND('341-CT'!$H$9=H581,OR(LEFT(N581,3)=$Z$7,LEFT(O581,3)=$Z$7)),"x","")</f>
        <v/>
      </c>
      <c r="AA581" s="87" t="str">
        <f>IF(OR(TH!N581=TH!$AA$7,O581=TH!$AA$7),"x","")</f>
        <v/>
      </c>
      <c r="AB581" s="87" t="str">
        <f>IF(AND(OR(N581="131",O581="131"),H581='131-CT'!$H$9),"x","")</f>
        <v/>
      </c>
      <c r="AC581" s="87"/>
      <c r="AD581" s="87" t="str">
        <f>IF(AND(MONTH(E581)='IN-NX'!$J$5,'IN-NX'!$D$7=D581),"x","")</f>
        <v/>
      </c>
      <c r="AE581" s="87" t="str">
        <f>IF(AND(OR(LEFT(TH!N581,2)="15",LEFT(TH!O581,2)="15"),'152-CT'!$J$8=TH!F581),"x","")</f>
        <v/>
      </c>
      <c r="AF581" s="87" t="str">
        <f>IF(AND(OR(LEFT(TH!N581,2)="15",LEFT(TH!O581,2)="15"),'THE KHO'!$E$7=TH!F581),"x","")</f>
        <v/>
      </c>
      <c r="AG581" s="87" t="str">
        <f>IF(AND(N581="1521",MONTH(C581)='BK NL'!$M$11),"x","")</f>
        <v/>
      </c>
    </row>
    <row r="582" spans="1:33" ht="15.75" customHeight="1">
      <c r="A582" s="399" t="str">
        <f>IF(B582&lt;&gt;"",IF(AND(B582&gt;=_TM1,B582&lt;=_TM2,OR(TH!N582="1111",TH!O582="1111")),TH!D582,""),"")</f>
        <v/>
      </c>
      <c r="B582" s="63" t="str">
        <f t="shared" si="14"/>
        <v/>
      </c>
      <c r="C582" s="64"/>
      <c r="D582" s="64"/>
      <c r="E582" s="64"/>
      <c r="F582" s="67"/>
      <c r="G582" s="376"/>
      <c r="H582" s="75"/>
      <c r="I582" s="518"/>
      <c r="J582" s="518"/>
      <c r="K582" s="509"/>
      <c r="L582" s="518"/>
      <c r="M582" s="65"/>
      <c r="N582" s="66"/>
      <c r="O582" s="66"/>
      <c r="P582" s="87" t="str">
        <f>IF(AND('331-CT'!$E$7=TH!H582,OR(N582="331",O582="331")),"x","")</f>
        <v/>
      </c>
      <c r="Q582" s="87" t="str">
        <f>IF(AND(B582='111'!$L$11,OR($N582=$Q$7,$O582=$Q$7)),"x","")</f>
        <v/>
      </c>
      <c r="R582" s="87" t="str">
        <f>IF(AND($N582=$Q$7,$B582&lt;'111'!$L$11),"x","")</f>
        <v/>
      </c>
      <c r="S582" s="87" t="str">
        <f>IF(AND($O582=$Q$7,$B582&lt;'111'!$L$11),"x","")</f>
        <v/>
      </c>
      <c r="T582" s="87" t="str">
        <f>IF(ISERROR(FIND('112'!$M$9,G582,1)),"",IF((AND(FIND('112'!$M$9,G582,1)&gt;=1,B582='112'!$K$9,OR($N582='112'!$I$6,$O582='112'!$I$6))),"x",""))</f>
        <v/>
      </c>
      <c r="U582" s="87" t="str">
        <f>IF(ISERROR(FIND('112'!$M$9,G582,1)),"",IF((AND(FIND('112'!$M$9,G582,1)&gt;=1,B582&lt;'112'!$K$9,$N582='112'!$I$6)),"x",""))</f>
        <v/>
      </c>
      <c r="V582" s="87" t="str">
        <f>IF(ISERROR(FIND('112'!$M$9,G582,1)),"",IF((AND(FIND('112'!$M$9,G582,1)&gt;=1,B582&lt;'112'!$K$9,$O582='112'!$I$6)),"x",""))</f>
        <v/>
      </c>
      <c r="W582" s="87" t="str">
        <f>IF(AND($B582&gt;='1331'!$I$9,$B582&lt;='1331'!$J$9,OR($N582=$W$7,$O582=$W$7)),"x","")</f>
        <v/>
      </c>
      <c r="X582" s="87" t="str">
        <f>IF(AND($N582=$W$7,$B582&lt;'1331'!$I$9),"x","")</f>
        <v/>
      </c>
      <c r="Y582" s="87" t="str">
        <f>IF(AND($O582=$W$7,$B582&lt;'1331'!$I$9),"x","")</f>
        <v/>
      </c>
      <c r="Z582" s="87" t="str">
        <f>IF(AND('341-CT'!$H$9=H582,OR(LEFT(N582,3)=$Z$7,LEFT(O582,3)=$Z$7)),"x","")</f>
        <v/>
      </c>
      <c r="AA582" s="87" t="str">
        <f>IF(OR(TH!N582=TH!$AA$7,O582=TH!$AA$7),"x","")</f>
        <v/>
      </c>
      <c r="AB582" s="87" t="str">
        <f>IF(AND(OR(N582="131",O582="131"),H582='131-CT'!$H$9),"x","")</f>
        <v/>
      </c>
      <c r="AC582" s="87"/>
      <c r="AD582" s="87" t="str">
        <f>IF(AND(MONTH(E582)='IN-NX'!$J$5,'IN-NX'!$D$7=D582),"x","")</f>
        <v/>
      </c>
      <c r="AE582" s="87" t="str">
        <f>IF(AND(OR(LEFT(TH!N582,2)="15",LEFT(TH!O582,2)="15"),'152-CT'!$J$8=TH!F582),"x","")</f>
        <v/>
      </c>
      <c r="AF582" s="87" t="str">
        <f>IF(AND(OR(LEFT(TH!N582,2)="15",LEFT(TH!O582,2)="15"),'THE KHO'!$E$7=TH!F582),"x","")</f>
        <v/>
      </c>
      <c r="AG582" s="87" t="str">
        <f>IF(AND(N582="1521",MONTH(C582)='BK NL'!$M$11),"x","")</f>
        <v/>
      </c>
    </row>
    <row r="583" spans="1:33" ht="15.75" customHeight="1">
      <c r="A583" s="399" t="str">
        <f>IF(B583&lt;&gt;"",IF(AND(B583&gt;=_TM1,B583&lt;=_TM2,OR(TH!N583="1111",TH!O583="1111")),TH!D583,""),"")</f>
        <v/>
      </c>
      <c r="B583" s="63" t="str">
        <f t="shared" si="14"/>
        <v/>
      </c>
      <c r="C583" s="64"/>
      <c r="D583" s="64"/>
      <c r="E583" s="64"/>
      <c r="F583" s="67"/>
      <c r="G583" s="376"/>
      <c r="H583" s="75"/>
      <c r="I583" s="518"/>
      <c r="J583" s="518"/>
      <c r="K583" s="509"/>
      <c r="L583" s="518"/>
      <c r="M583" s="65"/>
      <c r="N583" s="66"/>
      <c r="O583" s="66"/>
      <c r="P583" s="87" t="str">
        <f>IF(AND('331-CT'!$E$7=TH!H583,OR(N583="331",O583="331")),"x","")</f>
        <v/>
      </c>
      <c r="Q583" s="87" t="str">
        <f>IF(AND(B583='111'!$L$11,OR($N583=$Q$7,$O583=$Q$7)),"x","")</f>
        <v/>
      </c>
      <c r="R583" s="87" t="str">
        <f>IF(AND($N583=$Q$7,$B583&lt;'111'!$L$11),"x","")</f>
        <v/>
      </c>
      <c r="S583" s="87" t="str">
        <f>IF(AND($O583=$Q$7,$B583&lt;'111'!$L$11),"x","")</f>
        <v/>
      </c>
      <c r="T583" s="87" t="str">
        <f>IF(ISERROR(FIND('112'!$M$9,G583,1)),"",IF((AND(FIND('112'!$M$9,G583,1)&gt;=1,B583='112'!$K$9,OR($N583='112'!$I$6,$O583='112'!$I$6))),"x",""))</f>
        <v/>
      </c>
      <c r="U583" s="87" t="str">
        <f>IF(ISERROR(FIND('112'!$M$9,G583,1)),"",IF((AND(FIND('112'!$M$9,G583,1)&gt;=1,B583&lt;'112'!$K$9,$N583='112'!$I$6)),"x",""))</f>
        <v/>
      </c>
      <c r="V583" s="87" t="str">
        <f>IF(ISERROR(FIND('112'!$M$9,G583,1)),"",IF((AND(FIND('112'!$M$9,G583,1)&gt;=1,B583&lt;'112'!$K$9,$O583='112'!$I$6)),"x",""))</f>
        <v/>
      </c>
      <c r="W583" s="87" t="str">
        <f>IF(AND($B583&gt;='1331'!$I$9,$B583&lt;='1331'!$J$9,OR($N583=$W$7,$O583=$W$7)),"x","")</f>
        <v/>
      </c>
      <c r="X583" s="87" t="str">
        <f>IF(AND($N583=$W$7,$B583&lt;'1331'!$I$9),"x","")</f>
        <v/>
      </c>
      <c r="Y583" s="87" t="str">
        <f>IF(AND($O583=$W$7,$B583&lt;'1331'!$I$9),"x","")</f>
        <v/>
      </c>
      <c r="Z583" s="87" t="str">
        <f>IF(AND('341-CT'!$H$9=H583,OR(LEFT(N583,3)=$Z$7,LEFT(O583,3)=$Z$7)),"x","")</f>
        <v/>
      </c>
      <c r="AA583" s="87" t="str">
        <f>IF(OR(TH!N583=TH!$AA$7,O583=TH!$AA$7),"x","")</f>
        <v/>
      </c>
      <c r="AB583" s="87" t="str">
        <f>IF(AND(OR(N583="131",O583="131"),H583='131-CT'!$H$9),"x","")</f>
        <v/>
      </c>
      <c r="AC583" s="87"/>
      <c r="AD583" s="87" t="str">
        <f>IF(AND(MONTH(E583)='IN-NX'!$J$5,'IN-NX'!$D$7=D583),"x","")</f>
        <v/>
      </c>
      <c r="AE583" s="87" t="str">
        <f>IF(AND(OR(LEFT(TH!N583,2)="15",LEFT(TH!O583,2)="15"),'152-CT'!$J$8=TH!F583),"x","")</f>
        <v/>
      </c>
      <c r="AF583" s="87" t="str">
        <f>IF(AND(OR(LEFT(TH!N583,2)="15",LEFT(TH!O583,2)="15"),'THE KHO'!$E$7=TH!F583),"x","")</f>
        <v/>
      </c>
      <c r="AG583" s="87" t="str">
        <f>IF(AND(N583="1521",MONTH(C583)='BK NL'!$M$11),"x","")</f>
        <v/>
      </c>
    </row>
    <row r="584" spans="1:33" ht="15.75" customHeight="1">
      <c r="A584" s="399" t="str">
        <f>IF(B584&lt;&gt;"",IF(AND(B584&gt;=_TM1,B584&lt;=_TM2,OR(TH!N584="1111",TH!O584="1111")),TH!D584,""),"")</f>
        <v/>
      </c>
      <c r="B584" s="63" t="str">
        <f t="shared" si="14"/>
        <v/>
      </c>
      <c r="C584" s="64"/>
      <c r="D584" s="64"/>
      <c r="E584" s="64"/>
      <c r="F584" s="67"/>
      <c r="G584" s="376"/>
      <c r="H584" s="75"/>
      <c r="I584" s="518"/>
      <c r="J584" s="518"/>
      <c r="K584" s="509"/>
      <c r="L584" s="518"/>
      <c r="M584" s="65"/>
      <c r="N584" s="66"/>
      <c r="O584" s="66"/>
      <c r="P584" s="87" t="str">
        <f>IF(AND('331-CT'!$E$7=TH!H584,OR(N584="331",O584="331")),"x","")</f>
        <v/>
      </c>
      <c r="Q584" s="87" t="str">
        <f>IF(AND(B584='111'!$L$11,OR($N584=$Q$7,$O584=$Q$7)),"x","")</f>
        <v/>
      </c>
      <c r="R584" s="87" t="str">
        <f>IF(AND($N584=$Q$7,$B584&lt;'111'!$L$11),"x","")</f>
        <v/>
      </c>
      <c r="S584" s="87" t="str">
        <f>IF(AND($O584=$Q$7,$B584&lt;'111'!$L$11),"x","")</f>
        <v/>
      </c>
      <c r="T584" s="87" t="str">
        <f>IF(ISERROR(FIND('112'!$M$9,G584,1)),"",IF((AND(FIND('112'!$M$9,G584,1)&gt;=1,B584='112'!$K$9,OR($N584='112'!$I$6,$O584='112'!$I$6))),"x",""))</f>
        <v/>
      </c>
      <c r="U584" s="87" t="str">
        <f>IF(ISERROR(FIND('112'!$M$9,G584,1)),"",IF((AND(FIND('112'!$M$9,G584,1)&gt;=1,B584&lt;'112'!$K$9,$N584='112'!$I$6)),"x",""))</f>
        <v/>
      </c>
      <c r="V584" s="87" t="str">
        <f>IF(ISERROR(FIND('112'!$M$9,G584,1)),"",IF((AND(FIND('112'!$M$9,G584,1)&gt;=1,B584&lt;'112'!$K$9,$O584='112'!$I$6)),"x",""))</f>
        <v/>
      </c>
      <c r="W584" s="87" t="str">
        <f>IF(AND($B584&gt;='1331'!$I$9,$B584&lt;='1331'!$J$9,OR($N584=$W$7,$O584=$W$7)),"x","")</f>
        <v/>
      </c>
      <c r="X584" s="87" t="str">
        <f>IF(AND($N584=$W$7,$B584&lt;'1331'!$I$9),"x","")</f>
        <v/>
      </c>
      <c r="Y584" s="87" t="str">
        <f>IF(AND($O584=$W$7,$B584&lt;'1331'!$I$9),"x","")</f>
        <v/>
      </c>
      <c r="Z584" s="87" t="str">
        <f>IF(AND('341-CT'!$H$9=H584,OR(LEFT(N584,3)=$Z$7,LEFT(O584,3)=$Z$7)),"x","")</f>
        <v/>
      </c>
      <c r="AA584" s="87" t="str">
        <f>IF(OR(TH!N584=TH!$AA$7,O584=TH!$AA$7),"x","")</f>
        <v/>
      </c>
      <c r="AB584" s="87" t="str">
        <f>IF(AND(OR(N584="131",O584="131"),H584='131-CT'!$H$9),"x","")</f>
        <v/>
      </c>
      <c r="AC584" s="87"/>
      <c r="AD584" s="87" t="str">
        <f>IF(AND(MONTH(E584)='IN-NX'!$J$5,'IN-NX'!$D$7=D584),"x","")</f>
        <v/>
      </c>
      <c r="AE584" s="87" t="str">
        <f>IF(AND(OR(LEFT(TH!N584,2)="15",LEFT(TH!O584,2)="15"),'152-CT'!$J$8=TH!F584),"x","")</f>
        <v/>
      </c>
      <c r="AF584" s="87" t="str">
        <f>IF(AND(OR(LEFT(TH!N584,2)="15",LEFT(TH!O584,2)="15"),'THE KHO'!$E$7=TH!F584),"x","")</f>
        <v/>
      </c>
      <c r="AG584" s="87" t="str">
        <f>IF(AND(N584="1521",MONTH(C584)='BK NL'!$M$11),"x","")</f>
        <v/>
      </c>
    </row>
    <row r="585" spans="1:33" ht="15.75" customHeight="1">
      <c r="A585" s="399" t="str">
        <f>IF(B585&lt;&gt;"",IF(AND(B585&gt;=_TM1,B585&lt;=_TM2,OR(TH!N585="1111",TH!O585="1111")),TH!D585,""),"")</f>
        <v/>
      </c>
      <c r="B585" s="63" t="str">
        <f t="shared" si="14"/>
        <v/>
      </c>
      <c r="C585" s="64"/>
      <c r="D585" s="64"/>
      <c r="E585" s="64"/>
      <c r="F585" s="67"/>
      <c r="G585" s="376"/>
      <c r="H585" s="75"/>
      <c r="I585" s="518"/>
      <c r="J585" s="518"/>
      <c r="K585" s="509"/>
      <c r="L585" s="518"/>
      <c r="M585" s="65"/>
      <c r="N585" s="66"/>
      <c r="O585" s="66"/>
      <c r="P585" s="87" t="str">
        <f>IF(AND('331-CT'!$E$7=TH!H585,OR(N585="331",O585="331")),"x","")</f>
        <v/>
      </c>
      <c r="Q585" s="87" t="str">
        <f>IF(AND(B585='111'!$L$11,OR($N585=$Q$7,$O585=$Q$7)),"x","")</f>
        <v/>
      </c>
      <c r="R585" s="87" t="str">
        <f>IF(AND($N585=$Q$7,$B585&lt;'111'!$L$11),"x","")</f>
        <v/>
      </c>
      <c r="S585" s="87" t="str">
        <f>IF(AND($O585=$Q$7,$B585&lt;'111'!$L$11),"x","")</f>
        <v/>
      </c>
      <c r="T585" s="87" t="str">
        <f>IF(ISERROR(FIND('112'!$M$9,G585,1)),"",IF((AND(FIND('112'!$M$9,G585,1)&gt;=1,B585='112'!$K$9,OR($N585='112'!$I$6,$O585='112'!$I$6))),"x",""))</f>
        <v/>
      </c>
      <c r="U585" s="87" t="str">
        <f>IF(ISERROR(FIND('112'!$M$9,G585,1)),"",IF((AND(FIND('112'!$M$9,G585,1)&gt;=1,B585&lt;'112'!$K$9,$N585='112'!$I$6)),"x",""))</f>
        <v/>
      </c>
      <c r="V585" s="87" t="str">
        <f>IF(ISERROR(FIND('112'!$M$9,G585,1)),"",IF((AND(FIND('112'!$M$9,G585,1)&gt;=1,B585&lt;'112'!$K$9,$O585='112'!$I$6)),"x",""))</f>
        <v/>
      </c>
      <c r="W585" s="87" t="str">
        <f>IF(AND($B585&gt;='1331'!$I$9,$B585&lt;='1331'!$J$9,OR($N585=$W$7,$O585=$W$7)),"x","")</f>
        <v/>
      </c>
      <c r="X585" s="87" t="str">
        <f>IF(AND($N585=$W$7,$B585&lt;'1331'!$I$9),"x","")</f>
        <v/>
      </c>
      <c r="Y585" s="87" t="str">
        <f>IF(AND($O585=$W$7,$B585&lt;'1331'!$I$9),"x","")</f>
        <v/>
      </c>
      <c r="Z585" s="87" t="str">
        <f>IF(AND('341-CT'!$H$9=H585,OR(LEFT(N585,3)=$Z$7,LEFT(O585,3)=$Z$7)),"x","")</f>
        <v/>
      </c>
      <c r="AA585" s="87" t="str">
        <f>IF(OR(TH!N585=TH!$AA$7,O585=TH!$AA$7),"x","")</f>
        <v/>
      </c>
      <c r="AB585" s="87" t="str">
        <f>IF(AND(OR(N585="131",O585="131"),H585='131-CT'!$H$9),"x","")</f>
        <v/>
      </c>
      <c r="AC585" s="87"/>
      <c r="AD585" s="87" t="str">
        <f>IF(AND(MONTH(E585)='IN-NX'!$J$5,'IN-NX'!$D$7=D585),"x","")</f>
        <v/>
      </c>
      <c r="AE585" s="87" t="str">
        <f>IF(AND(OR(LEFT(TH!N585,2)="15",LEFT(TH!O585,2)="15"),'152-CT'!$J$8=TH!F585),"x","")</f>
        <v/>
      </c>
      <c r="AF585" s="87" t="str">
        <f>IF(AND(OR(LEFT(TH!N585,2)="15",LEFT(TH!O585,2)="15"),'THE KHO'!$E$7=TH!F585),"x","")</f>
        <v/>
      </c>
      <c r="AG585" s="87" t="str">
        <f>IF(AND(N585="1521",MONTH(C585)='BK NL'!$M$11),"x","")</f>
        <v/>
      </c>
    </row>
    <row r="586" spans="1:33" ht="15.75" customHeight="1">
      <c r="A586" s="399" t="str">
        <f>IF(B586&lt;&gt;"",IF(AND(B586&gt;=_TM1,B586&lt;=_TM2,OR(TH!N586="1111",TH!O586="1111")),TH!D586,""),"")</f>
        <v/>
      </c>
      <c r="B586" s="63" t="str">
        <f t="shared" si="14"/>
        <v/>
      </c>
      <c r="C586" s="64"/>
      <c r="D586" s="64"/>
      <c r="E586" s="64"/>
      <c r="F586" s="67"/>
      <c r="G586" s="376"/>
      <c r="H586" s="75"/>
      <c r="I586" s="518"/>
      <c r="J586" s="518"/>
      <c r="K586" s="509"/>
      <c r="L586" s="518"/>
      <c r="M586" s="65"/>
      <c r="N586" s="66"/>
      <c r="O586" s="66"/>
      <c r="P586" s="87" t="str">
        <f>IF(AND('331-CT'!$E$7=TH!H586,OR(N586="331",O586="331")),"x","")</f>
        <v/>
      </c>
      <c r="Q586" s="87" t="str">
        <f>IF(AND(B586='111'!$L$11,OR($N586=$Q$7,$O586=$Q$7)),"x","")</f>
        <v/>
      </c>
      <c r="R586" s="87" t="str">
        <f>IF(AND($N586=$Q$7,$B586&lt;'111'!$L$11),"x","")</f>
        <v/>
      </c>
      <c r="S586" s="87" t="str">
        <f>IF(AND($O586=$Q$7,$B586&lt;'111'!$L$11),"x","")</f>
        <v/>
      </c>
      <c r="T586" s="87" t="str">
        <f>IF(ISERROR(FIND('112'!$M$9,G586,1)),"",IF((AND(FIND('112'!$M$9,G586,1)&gt;=1,B586='112'!$K$9,OR($N586='112'!$I$6,$O586='112'!$I$6))),"x",""))</f>
        <v/>
      </c>
      <c r="U586" s="87" t="str">
        <f>IF(ISERROR(FIND('112'!$M$9,G586,1)),"",IF((AND(FIND('112'!$M$9,G586,1)&gt;=1,B586&lt;'112'!$K$9,$N586='112'!$I$6)),"x",""))</f>
        <v/>
      </c>
      <c r="V586" s="87" t="str">
        <f>IF(ISERROR(FIND('112'!$M$9,G586,1)),"",IF((AND(FIND('112'!$M$9,G586,1)&gt;=1,B586&lt;'112'!$K$9,$O586='112'!$I$6)),"x",""))</f>
        <v/>
      </c>
      <c r="W586" s="87" t="str">
        <f>IF(AND($B586&gt;='1331'!$I$9,$B586&lt;='1331'!$J$9,OR($N586=$W$7,$O586=$W$7)),"x","")</f>
        <v/>
      </c>
      <c r="X586" s="87" t="str">
        <f>IF(AND($N586=$W$7,$B586&lt;'1331'!$I$9),"x","")</f>
        <v/>
      </c>
      <c r="Y586" s="87" t="str">
        <f>IF(AND($O586=$W$7,$B586&lt;'1331'!$I$9),"x","")</f>
        <v/>
      </c>
      <c r="Z586" s="87" t="str">
        <f>IF(AND('341-CT'!$H$9=H586,OR(LEFT(N586,3)=$Z$7,LEFT(O586,3)=$Z$7)),"x","")</f>
        <v/>
      </c>
      <c r="AA586" s="87" t="str">
        <f>IF(OR(TH!N586=TH!$AA$7,O586=TH!$AA$7),"x","")</f>
        <v/>
      </c>
      <c r="AB586" s="87" t="str">
        <f>IF(AND(OR(N586="131",O586="131"),H586='131-CT'!$H$9),"x","")</f>
        <v/>
      </c>
      <c r="AC586" s="87"/>
      <c r="AD586" s="87" t="str">
        <f>IF(AND(MONTH(E586)='IN-NX'!$J$5,'IN-NX'!$D$7=D586),"x","")</f>
        <v/>
      </c>
      <c r="AE586" s="87" t="str">
        <f>IF(AND(OR(LEFT(TH!N586,2)="15",LEFT(TH!O586,2)="15"),'152-CT'!$J$8=TH!F586),"x","")</f>
        <v/>
      </c>
      <c r="AF586" s="87" t="str">
        <f>IF(AND(OR(LEFT(TH!N586,2)="15",LEFT(TH!O586,2)="15"),'THE KHO'!$E$7=TH!F586),"x","")</f>
        <v/>
      </c>
      <c r="AG586" s="87" t="str">
        <f>IF(AND(N586="1521",MONTH(C586)='BK NL'!$M$11),"x","")</f>
        <v/>
      </c>
    </row>
    <row r="587" spans="1:33" ht="15.75" customHeight="1">
      <c r="A587" s="399" t="str">
        <f>IF(B587&lt;&gt;"",IF(AND(B587&gt;=_TM1,B587&lt;=_TM2,OR(TH!N587="1111",TH!O587="1111")),TH!D587,""),"")</f>
        <v/>
      </c>
      <c r="B587" s="63" t="str">
        <f t="shared" si="14"/>
        <v/>
      </c>
      <c r="C587" s="64"/>
      <c r="D587" s="64"/>
      <c r="E587" s="64"/>
      <c r="F587" s="67"/>
      <c r="G587" s="376"/>
      <c r="H587" s="75"/>
      <c r="I587" s="518"/>
      <c r="J587" s="518"/>
      <c r="K587" s="509"/>
      <c r="L587" s="518"/>
      <c r="M587" s="65"/>
      <c r="N587" s="387"/>
      <c r="O587" s="66"/>
      <c r="P587" s="87" t="str">
        <f>IF(AND('331-CT'!$E$7=TH!H587,OR(N587="331",O587="331")),"x","")</f>
        <v/>
      </c>
      <c r="Q587" s="87" t="str">
        <f>IF(AND(B587='111'!$L$11,OR($N587=$Q$7,$O587=$Q$7)),"x","")</f>
        <v/>
      </c>
      <c r="R587" s="87" t="str">
        <f>IF(AND($N587=$Q$7,$B587&lt;'111'!$L$11),"x","")</f>
        <v/>
      </c>
      <c r="S587" s="87" t="str">
        <f>IF(AND($O587=$Q$7,$B587&lt;'111'!$L$11),"x","")</f>
        <v/>
      </c>
      <c r="T587" s="87" t="str">
        <f>IF(ISERROR(FIND('112'!$M$9,G587,1)),"",IF((AND(FIND('112'!$M$9,G587,1)&gt;=1,B587='112'!$K$9,OR($N587='112'!$I$6,$O587='112'!$I$6))),"x",""))</f>
        <v/>
      </c>
      <c r="U587" s="87" t="str">
        <f>IF(ISERROR(FIND('112'!$M$9,G587,1)),"",IF((AND(FIND('112'!$M$9,G587,1)&gt;=1,B587&lt;'112'!$K$9,$N587='112'!$I$6)),"x",""))</f>
        <v/>
      </c>
      <c r="V587" s="87" t="str">
        <f>IF(ISERROR(FIND('112'!$M$9,G587,1)),"",IF((AND(FIND('112'!$M$9,G587,1)&gt;=1,B587&lt;'112'!$K$9,$O587='112'!$I$6)),"x",""))</f>
        <v/>
      </c>
      <c r="W587" s="87" t="str">
        <f>IF(AND($B587&gt;='1331'!$I$9,$B587&lt;='1331'!$J$9,OR($N587=$W$7,$O587=$W$7)),"x","")</f>
        <v/>
      </c>
      <c r="X587" s="87" t="str">
        <f>IF(AND($N587=$W$7,$B587&lt;'1331'!$I$9),"x","")</f>
        <v/>
      </c>
      <c r="Y587" s="87" t="str">
        <f>IF(AND($O587=$W$7,$B587&lt;'1331'!$I$9),"x","")</f>
        <v/>
      </c>
      <c r="Z587" s="87" t="str">
        <f>IF(AND('341-CT'!$H$9=H587,OR(LEFT(N587,3)=$Z$7,LEFT(O587,3)=$Z$7)),"x","")</f>
        <v/>
      </c>
      <c r="AA587" s="87" t="str">
        <f>IF(OR(TH!N587=TH!$AA$7,O587=TH!$AA$7),"x","")</f>
        <v/>
      </c>
      <c r="AB587" s="87" t="str">
        <f>IF(AND(OR(N587="131",O587="131"),H587='131-CT'!$H$9),"x","")</f>
        <v/>
      </c>
      <c r="AC587" s="87"/>
      <c r="AD587" s="87" t="str">
        <f>IF(AND(MONTH(E587)='IN-NX'!$J$5,'IN-NX'!$D$7=D587),"x","")</f>
        <v/>
      </c>
      <c r="AE587" s="87" t="str">
        <f>IF(AND(OR(LEFT(TH!N587,2)="15",LEFT(TH!O587,2)="15"),'152-CT'!$J$8=TH!F587),"x","")</f>
        <v/>
      </c>
      <c r="AF587" s="87" t="str">
        <f>IF(AND(OR(LEFT(TH!N587,2)="15",LEFT(TH!O587,2)="15"),'THE KHO'!$E$7=TH!F587),"x","")</f>
        <v/>
      </c>
      <c r="AG587" s="87" t="str">
        <f>IF(AND(N587="1521",MONTH(C587)='BK NL'!$M$11),"x","")</f>
        <v/>
      </c>
    </row>
    <row r="588" spans="1:33" ht="15.75" customHeight="1">
      <c r="A588" s="399" t="str">
        <f>IF(B588&lt;&gt;"",IF(AND(B588&gt;=_TM1,B588&lt;=_TM2,OR(TH!N588="1111",TH!O588="1111")),TH!D588,""),"")</f>
        <v/>
      </c>
      <c r="B588" s="63" t="str">
        <f t="shared" si="14"/>
        <v/>
      </c>
      <c r="C588" s="64"/>
      <c r="D588" s="64"/>
      <c r="E588" s="64"/>
      <c r="F588" s="67"/>
      <c r="G588" s="376"/>
      <c r="H588" s="75"/>
      <c r="I588" s="518"/>
      <c r="J588" s="518"/>
      <c r="K588" s="509"/>
      <c r="L588" s="518"/>
      <c r="M588" s="65"/>
      <c r="N588" s="66"/>
      <c r="O588" s="66"/>
      <c r="P588" s="87" t="str">
        <f>IF(AND('331-CT'!$E$7=TH!H588,OR(N588="331",O588="331")),"x","")</f>
        <v/>
      </c>
      <c r="Q588" s="87" t="str">
        <f>IF(AND(B588='111'!$L$11,OR($N588=$Q$7,$O588=$Q$7)),"x","")</f>
        <v/>
      </c>
      <c r="R588" s="87" t="str">
        <f>IF(AND($N588=$Q$7,$B588&lt;'111'!$L$11),"x","")</f>
        <v/>
      </c>
      <c r="S588" s="87" t="str">
        <f>IF(AND($O588=$Q$7,$B588&lt;'111'!$L$11),"x","")</f>
        <v/>
      </c>
      <c r="T588" s="87" t="str">
        <f>IF(ISERROR(FIND('112'!$M$9,G588,1)),"",IF((AND(FIND('112'!$M$9,G588,1)&gt;=1,B588='112'!$K$9,OR($N588='112'!$I$6,$O588='112'!$I$6))),"x",""))</f>
        <v/>
      </c>
      <c r="U588" s="87" t="str">
        <f>IF(ISERROR(FIND('112'!$M$9,G588,1)),"",IF((AND(FIND('112'!$M$9,G588,1)&gt;=1,B588&lt;'112'!$K$9,$N588='112'!$I$6)),"x",""))</f>
        <v/>
      </c>
      <c r="V588" s="87" t="str">
        <f>IF(ISERROR(FIND('112'!$M$9,G588,1)),"",IF((AND(FIND('112'!$M$9,G588,1)&gt;=1,B588&lt;'112'!$K$9,$O588='112'!$I$6)),"x",""))</f>
        <v/>
      </c>
      <c r="W588" s="87" t="str">
        <f>IF(AND($B588&gt;='1331'!$I$9,$B588&lt;='1331'!$J$9,OR($N588=$W$7,$O588=$W$7)),"x","")</f>
        <v/>
      </c>
      <c r="X588" s="87" t="str">
        <f>IF(AND($N588=$W$7,$B588&lt;'1331'!$I$9),"x","")</f>
        <v/>
      </c>
      <c r="Y588" s="87" t="str">
        <f>IF(AND($O588=$W$7,$B588&lt;'1331'!$I$9),"x","")</f>
        <v/>
      </c>
      <c r="Z588" s="87" t="str">
        <f>IF(AND('341-CT'!$H$9=H588,OR(LEFT(N588,3)=$Z$7,LEFT(O588,3)=$Z$7)),"x","")</f>
        <v/>
      </c>
      <c r="AA588" s="87" t="str">
        <f>IF(OR(TH!N588=TH!$AA$7,O588=TH!$AA$7),"x","")</f>
        <v/>
      </c>
      <c r="AB588" s="87" t="str">
        <f>IF(AND(OR(N588="131",O588="131"),H588='131-CT'!$H$9),"x","")</f>
        <v/>
      </c>
      <c r="AC588" s="87"/>
      <c r="AD588" s="87" t="str">
        <f>IF(AND(MONTH(E588)='IN-NX'!$J$5,'IN-NX'!$D$7=D588),"x","")</f>
        <v/>
      </c>
      <c r="AE588" s="87" t="str">
        <f>IF(AND(OR(LEFT(TH!N588,2)="15",LEFT(TH!O588,2)="15"),'152-CT'!$J$8=TH!F588),"x","")</f>
        <v/>
      </c>
      <c r="AF588" s="87" t="str">
        <f>IF(AND(OR(LEFT(TH!N588,2)="15",LEFT(TH!O588,2)="15"),'THE KHO'!$E$7=TH!F588),"x","")</f>
        <v/>
      </c>
      <c r="AG588" s="87" t="str">
        <f>IF(AND(N588="1521",MONTH(C588)='BK NL'!$M$11),"x","")</f>
        <v/>
      </c>
    </row>
    <row r="589" spans="1:33" ht="15.75" customHeight="1">
      <c r="A589" s="399" t="str">
        <f>IF(B589&lt;&gt;"",IF(AND(B589&gt;=_TM1,B589&lt;=_TM2,OR(TH!N589="1111",TH!O589="1111")),TH!D589,""),"")</f>
        <v/>
      </c>
      <c r="B589" s="63" t="str">
        <f t="shared" si="14"/>
        <v/>
      </c>
      <c r="C589" s="64"/>
      <c r="D589" s="64"/>
      <c r="E589" s="64"/>
      <c r="F589" s="67"/>
      <c r="G589" s="376"/>
      <c r="H589" s="75"/>
      <c r="I589" s="518"/>
      <c r="J589" s="518"/>
      <c r="K589" s="509"/>
      <c r="L589" s="518"/>
      <c r="M589" s="65"/>
      <c r="N589" s="66"/>
      <c r="O589" s="66"/>
      <c r="P589" s="87" t="str">
        <f>IF(AND('331-CT'!$E$7=TH!H589,OR(N589="331",O589="331")),"x","")</f>
        <v/>
      </c>
      <c r="Q589" s="87" t="str">
        <f>IF(AND(B589='111'!$L$11,OR($N589=$Q$7,$O589=$Q$7)),"x","")</f>
        <v/>
      </c>
      <c r="R589" s="87" t="str">
        <f>IF(AND($N589=$Q$7,$B589&lt;'111'!$L$11),"x","")</f>
        <v/>
      </c>
      <c r="S589" s="87" t="str">
        <f>IF(AND($O589=$Q$7,$B589&lt;'111'!$L$11),"x","")</f>
        <v/>
      </c>
      <c r="T589" s="87" t="str">
        <f>IF(ISERROR(FIND('112'!$M$9,G589,1)),"",IF((AND(FIND('112'!$M$9,G589,1)&gt;=1,B589='112'!$K$9,OR($N589='112'!$I$6,$O589='112'!$I$6))),"x",""))</f>
        <v/>
      </c>
      <c r="U589" s="87" t="str">
        <f>IF(ISERROR(FIND('112'!$M$9,G589,1)),"",IF((AND(FIND('112'!$M$9,G589,1)&gt;=1,B589&lt;'112'!$K$9,$N589='112'!$I$6)),"x",""))</f>
        <v/>
      </c>
      <c r="V589" s="87" t="str">
        <f>IF(ISERROR(FIND('112'!$M$9,G589,1)),"",IF((AND(FIND('112'!$M$9,G589,1)&gt;=1,B589&lt;'112'!$K$9,$O589='112'!$I$6)),"x",""))</f>
        <v/>
      </c>
      <c r="W589" s="87" t="str">
        <f>IF(AND($B589&gt;='1331'!$I$9,$B589&lt;='1331'!$J$9,OR($N589=$W$7,$O589=$W$7)),"x","")</f>
        <v/>
      </c>
      <c r="X589" s="87" t="str">
        <f>IF(AND($N589=$W$7,$B589&lt;'1331'!$I$9),"x","")</f>
        <v/>
      </c>
      <c r="Y589" s="87" t="str">
        <f>IF(AND($O589=$W$7,$B589&lt;'1331'!$I$9),"x","")</f>
        <v/>
      </c>
      <c r="Z589" s="87" t="str">
        <f>IF(AND('341-CT'!$H$9=H589,OR(LEFT(N589,3)=$Z$7,LEFT(O589,3)=$Z$7)),"x","")</f>
        <v/>
      </c>
      <c r="AA589" s="87" t="str">
        <f>IF(OR(TH!N589=TH!$AA$7,O589=TH!$AA$7),"x","")</f>
        <v/>
      </c>
      <c r="AB589" s="87" t="str">
        <f>IF(AND(OR(N589="131",O589="131"),H589='131-CT'!$H$9),"x","")</f>
        <v/>
      </c>
      <c r="AC589" s="87"/>
      <c r="AD589" s="87" t="str">
        <f>IF(AND(MONTH(E589)='IN-NX'!$J$5,'IN-NX'!$D$7=D589),"x","")</f>
        <v/>
      </c>
      <c r="AE589" s="87" t="str">
        <f>IF(AND(OR(LEFT(TH!N589,2)="15",LEFT(TH!O589,2)="15"),'152-CT'!$J$8=TH!F589),"x","")</f>
        <v/>
      </c>
      <c r="AF589" s="87" t="str">
        <f>IF(AND(OR(LEFT(TH!N589,2)="15",LEFT(TH!O589,2)="15"),'THE KHO'!$E$7=TH!F589),"x","")</f>
        <v/>
      </c>
      <c r="AG589" s="87" t="str">
        <f>IF(AND(N589="1521",MONTH(C589)='BK NL'!$M$11),"x","")</f>
        <v/>
      </c>
    </row>
    <row r="590" spans="1:33" ht="15.75" customHeight="1">
      <c r="A590" s="399" t="str">
        <f>IF(B590&lt;&gt;"",IF(AND(B590&gt;=_TM1,B590&lt;=_TM2,OR(TH!N590="1111",TH!O590="1111")),TH!D590,""),"")</f>
        <v/>
      </c>
      <c r="B590" s="63" t="str">
        <f t="shared" si="14"/>
        <v/>
      </c>
      <c r="C590" s="64"/>
      <c r="D590" s="64"/>
      <c r="E590" s="64"/>
      <c r="F590" s="67"/>
      <c r="G590" s="376"/>
      <c r="H590" s="75"/>
      <c r="I590" s="518"/>
      <c r="J590" s="518"/>
      <c r="K590" s="509"/>
      <c r="L590" s="518"/>
      <c r="M590" s="65"/>
      <c r="N590" s="66"/>
      <c r="O590" s="66"/>
      <c r="P590" s="87" t="str">
        <f>IF(AND('331-CT'!$E$7=TH!H590,OR(N590="331",O590="331")),"x","")</f>
        <v/>
      </c>
      <c r="Q590" s="87" t="str">
        <f>IF(AND(B590='111'!$L$11,OR($N590=$Q$7,$O590=$Q$7)),"x","")</f>
        <v/>
      </c>
      <c r="R590" s="87" t="str">
        <f>IF(AND($N590=$Q$7,$B590&lt;'111'!$L$11),"x","")</f>
        <v/>
      </c>
      <c r="S590" s="87" t="str">
        <f>IF(AND($O590=$Q$7,$B590&lt;'111'!$L$11),"x","")</f>
        <v/>
      </c>
      <c r="T590" s="87" t="str">
        <f>IF(ISERROR(FIND('112'!$M$9,G590,1)),"",IF((AND(FIND('112'!$M$9,G590,1)&gt;=1,B590='112'!$K$9,OR($N590='112'!$I$6,$O590='112'!$I$6))),"x",""))</f>
        <v/>
      </c>
      <c r="U590" s="87" t="str">
        <f>IF(ISERROR(FIND('112'!$M$9,G590,1)),"",IF((AND(FIND('112'!$M$9,G590,1)&gt;=1,B590&lt;'112'!$K$9,$N590='112'!$I$6)),"x",""))</f>
        <v/>
      </c>
      <c r="V590" s="87" t="str">
        <f>IF(ISERROR(FIND('112'!$M$9,G590,1)),"",IF((AND(FIND('112'!$M$9,G590,1)&gt;=1,B590&lt;'112'!$K$9,$O590='112'!$I$6)),"x",""))</f>
        <v/>
      </c>
      <c r="W590" s="87" t="str">
        <f>IF(AND($B590&gt;='1331'!$I$9,$B590&lt;='1331'!$J$9,OR($N590=$W$7,$O590=$W$7)),"x","")</f>
        <v/>
      </c>
      <c r="X590" s="87" t="str">
        <f>IF(AND($N590=$W$7,$B590&lt;'1331'!$I$9),"x","")</f>
        <v/>
      </c>
      <c r="Y590" s="87" t="str">
        <f>IF(AND($O590=$W$7,$B590&lt;'1331'!$I$9),"x","")</f>
        <v/>
      </c>
      <c r="Z590" s="87" t="str">
        <f>IF(AND('341-CT'!$H$9=H590,OR(LEFT(N590,3)=$Z$7,LEFT(O590,3)=$Z$7)),"x","")</f>
        <v/>
      </c>
      <c r="AA590" s="87" t="str">
        <f>IF(OR(TH!N590=TH!$AA$7,O590=TH!$AA$7),"x","")</f>
        <v/>
      </c>
      <c r="AB590" s="87" t="str">
        <f>IF(AND(OR(N590="131",O590="131"),H590='131-CT'!$H$9),"x","")</f>
        <v/>
      </c>
      <c r="AC590" s="87"/>
      <c r="AD590" s="87" t="str">
        <f>IF(AND(MONTH(E590)='IN-NX'!$J$5,'IN-NX'!$D$7=D590),"x","")</f>
        <v/>
      </c>
      <c r="AE590" s="87" t="str">
        <f>IF(AND(OR(LEFT(TH!N590,2)="15",LEFT(TH!O590,2)="15"),'152-CT'!$J$8=TH!F590),"x","")</f>
        <v/>
      </c>
      <c r="AF590" s="87" t="str">
        <f>IF(AND(OR(LEFT(TH!N590,2)="15",LEFT(TH!O590,2)="15"),'THE KHO'!$E$7=TH!F590),"x","")</f>
        <v/>
      </c>
      <c r="AG590" s="87" t="str">
        <f>IF(AND(N590="1521",MONTH(C590)='BK NL'!$M$11),"x","")</f>
        <v/>
      </c>
    </row>
    <row r="591" spans="1:33" ht="15.75" customHeight="1">
      <c r="A591" s="399" t="str">
        <f>IF(B591&lt;&gt;"",IF(AND(B591&gt;=_TM1,B591&lt;=_TM2,OR(TH!N591="1111",TH!O591="1111")),TH!D591,""),"")</f>
        <v/>
      </c>
      <c r="B591" s="63" t="str">
        <f t="shared" si="14"/>
        <v/>
      </c>
      <c r="C591" s="64"/>
      <c r="D591" s="64"/>
      <c r="E591" s="64"/>
      <c r="F591" s="67"/>
      <c r="G591" s="376"/>
      <c r="H591" s="75"/>
      <c r="I591" s="518"/>
      <c r="J591" s="518"/>
      <c r="K591" s="509"/>
      <c r="L591" s="518"/>
      <c r="M591" s="65"/>
      <c r="N591" s="66"/>
      <c r="O591" s="66"/>
      <c r="P591" s="87" t="str">
        <f>IF(AND('331-CT'!$E$7=TH!H591,OR(N591="331",O591="331")),"x","")</f>
        <v/>
      </c>
      <c r="Q591" s="87" t="str">
        <f>IF(AND(B591='111'!$L$11,OR($N591=$Q$7,$O591=$Q$7)),"x","")</f>
        <v/>
      </c>
      <c r="R591" s="87" t="str">
        <f>IF(AND($N591=$Q$7,$B591&lt;'111'!$L$11),"x","")</f>
        <v/>
      </c>
      <c r="S591" s="87" t="str">
        <f>IF(AND($O591=$Q$7,$B591&lt;'111'!$L$11),"x","")</f>
        <v/>
      </c>
      <c r="T591" s="87" t="str">
        <f>IF(ISERROR(FIND('112'!$M$9,G591,1)),"",IF((AND(FIND('112'!$M$9,G591,1)&gt;=1,B591='112'!$K$9,OR($N591='112'!$I$6,$O591='112'!$I$6))),"x",""))</f>
        <v/>
      </c>
      <c r="U591" s="87" t="str">
        <f>IF(ISERROR(FIND('112'!$M$9,G591,1)),"",IF((AND(FIND('112'!$M$9,G591,1)&gt;=1,B591&lt;'112'!$K$9,$N591='112'!$I$6)),"x",""))</f>
        <v/>
      </c>
      <c r="V591" s="87" t="str">
        <f>IF(ISERROR(FIND('112'!$M$9,G591,1)),"",IF((AND(FIND('112'!$M$9,G591,1)&gt;=1,B591&lt;'112'!$K$9,$O591='112'!$I$6)),"x",""))</f>
        <v/>
      </c>
      <c r="W591" s="87" t="str">
        <f>IF(AND($B591&gt;='1331'!$I$9,$B591&lt;='1331'!$J$9,OR($N591=$W$7,$O591=$W$7)),"x","")</f>
        <v/>
      </c>
      <c r="X591" s="87" t="str">
        <f>IF(AND($N591=$W$7,$B591&lt;'1331'!$I$9),"x","")</f>
        <v/>
      </c>
      <c r="Y591" s="87" t="str">
        <f>IF(AND($O591=$W$7,$B591&lt;'1331'!$I$9),"x","")</f>
        <v/>
      </c>
      <c r="Z591" s="87" t="str">
        <f>IF(AND('341-CT'!$H$9=H591,OR(LEFT(N591,3)=$Z$7,LEFT(O591,3)=$Z$7)),"x","")</f>
        <v/>
      </c>
      <c r="AA591" s="87" t="str">
        <f>IF(OR(TH!N591=TH!$AA$7,O591=TH!$AA$7),"x","")</f>
        <v/>
      </c>
      <c r="AB591" s="87" t="str">
        <f>IF(AND(OR(N591="131",O591="131"),H591='131-CT'!$H$9),"x","")</f>
        <v/>
      </c>
      <c r="AC591" s="87"/>
      <c r="AD591" s="87" t="str">
        <f>IF(AND(MONTH(E591)='IN-NX'!$J$5,'IN-NX'!$D$7=D591),"x","")</f>
        <v/>
      </c>
      <c r="AE591" s="87" t="str">
        <f>IF(AND(OR(LEFT(TH!N591,2)="15",LEFT(TH!O591,2)="15"),'152-CT'!$J$8=TH!F591),"x","")</f>
        <v/>
      </c>
      <c r="AF591" s="87" t="str">
        <f>IF(AND(OR(LEFT(TH!N591,2)="15",LEFT(TH!O591,2)="15"),'THE KHO'!$E$7=TH!F591),"x","")</f>
        <v/>
      </c>
      <c r="AG591" s="87" t="str">
        <f>IF(AND(N591="1521",MONTH(C591)='BK NL'!$M$11),"x","")</f>
        <v/>
      </c>
    </row>
    <row r="592" spans="1:33" ht="15.75" customHeight="1">
      <c r="A592" s="399" t="str">
        <f>IF(B592&lt;&gt;"",IF(AND(B592&gt;=_TM1,B592&lt;=_TM2,OR(TH!N592="1111",TH!O592="1111")),TH!D592,""),"")</f>
        <v/>
      </c>
      <c r="B592" s="63" t="str">
        <f t="shared" si="14"/>
        <v/>
      </c>
      <c r="C592" s="64"/>
      <c r="D592" s="64"/>
      <c r="E592" s="64"/>
      <c r="F592" s="67"/>
      <c r="G592" s="376"/>
      <c r="H592" s="75"/>
      <c r="I592" s="518"/>
      <c r="J592" s="518"/>
      <c r="K592" s="509"/>
      <c r="L592" s="518"/>
      <c r="M592" s="65"/>
      <c r="N592" s="66"/>
      <c r="O592" s="66"/>
      <c r="P592" s="87" t="str">
        <f>IF(AND('331-CT'!$E$7=TH!H592,OR(N592="331",O592="331")),"x","")</f>
        <v/>
      </c>
      <c r="Q592" s="87" t="str">
        <f>IF(AND(B592='111'!$L$11,OR($N592=$Q$7,$O592=$Q$7)),"x","")</f>
        <v/>
      </c>
      <c r="R592" s="87" t="str">
        <f>IF(AND($N592=$Q$7,$B592&lt;'111'!$L$11),"x","")</f>
        <v/>
      </c>
      <c r="S592" s="87" t="str">
        <f>IF(AND($O592=$Q$7,$B592&lt;'111'!$L$11),"x","")</f>
        <v/>
      </c>
      <c r="T592" s="87" t="str">
        <f>IF(ISERROR(FIND('112'!$M$9,G592,1)),"",IF((AND(FIND('112'!$M$9,G592,1)&gt;=1,B592='112'!$K$9,OR($N592='112'!$I$6,$O592='112'!$I$6))),"x",""))</f>
        <v/>
      </c>
      <c r="U592" s="87" t="str">
        <f>IF(ISERROR(FIND('112'!$M$9,G592,1)),"",IF((AND(FIND('112'!$M$9,G592,1)&gt;=1,B592&lt;'112'!$K$9,$N592='112'!$I$6)),"x",""))</f>
        <v/>
      </c>
      <c r="V592" s="87" t="str">
        <f>IF(ISERROR(FIND('112'!$M$9,G592,1)),"",IF((AND(FIND('112'!$M$9,G592,1)&gt;=1,B592&lt;'112'!$K$9,$O592='112'!$I$6)),"x",""))</f>
        <v/>
      </c>
      <c r="W592" s="87" t="str">
        <f>IF(AND($B592&gt;='1331'!$I$9,$B592&lt;='1331'!$J$9,OR($N592=$W$7,$O592=$W$7)),"x","")</f>
        <v/>
      </c>
      <c r="X592" s="87" t="str">
        <f>IF(AND($N592=$W$7,$B592&lt;'1331'!$I$9),"x","")</f>
        <v/>
      </c>
      <c r="Y592" s="87" t="str">
        <f>IF(AND($O592=$W$7,$B592&lt;'1331'!$I$9),"x","")</f>
        <v/>
      </c>
      <c r="Z592" s="87" t="str">
        <f>IF(AND('341-CT'!$H$9=H592,OR(LEFT(N592,3)=$Z$7,LEFT(O592,3)=$Z$7)),"x","")</f>
        <v/>
      </c>
      <c r="AA592" s="87" t="str">
        <f>IF(OR(TH!N592=TH!$AA$7,O592=TH!$AA$7),"x","")</f>
        <v/>
      </c>
      <c r="AB592" s="87" t="str">
        <f>IF(AND(OR(N592="131",O592="131"),H592='131-CT'!$H$9),"x","")</f>
        <v/>
      </c>
      <c r="AC592" s="87"/>
      <c r="AD592" s="87" t="str">
        <f>IF(AND(MONTH(E592)='IN-NX'!$J$5,'IN-NX'!$D$7=D592),"x","")</f>
        <v/>
      </c>
      <c r="AE592" s="87" t="str">
        <f>IF(AND(OR(LEFT(TH!N592,2)="15",LEFT(TH!O592,2)="15"),'152-CT'!$J$8=TH!F592),"x","")</f>
        <v/>
      </c>
      <c r="AF592" s="87" t="str">
        <f>IF(AND(OR(LEFT(TH!N592,2)="15",LEFT(TH!O592,2)="15"),'THE KHO'!$E$7=TH!F592),"x","")</f>
        <v/>
      </c>
      <c r="AG592" s="87" t="str">
        <f>IF(AND(N592="1521",MONTH(C592)='BK NL'!$M$11),"x","")</f>
        <v/>
      </c>
    </row>
    <row r="593" spans="1:33" ht="15.75" customHeight="1">
      <c r="A593" s="399" t="str">
        <f>IF(B593&lt;&gt;"",IF(AND(B593&gt;=_TM1,B593&lt;=_TM2,OR(TH!N593="1111",TH!O593="1111")),TH!D593,""),"")</f>
        <v/>
      </c>
      <c r="B593" s="63" t="str">
        <f t="shared" si="14"/>
        <v/>
      </c>
      <c r="C593" s="64"/>
      <c r="D593" s="64"/>
      <c r="E593" s="64"/>
      <c r="F593" s="67"/>
      <c r="G593" s="376"/>
      <c r="H593" s="75"/>
      <c r="I593" s="518"/>
      <c r="J593" s="518"/>
      <c r="K593" s="509"/>
      <c r="L593" s="518"/>
      <c r="M593" s="65"/>
      <c r="N593" s="66"/>
      <c r="O593" s="66"/>
      <c r="P593" s="87" t="str">
        <f>IF(AND('331-CT'!$E$7=TH!H593,OR(N593="331",O593="331")),"x","")</f>
        <v/>
      </c>
      <c r="Q593" s="87" t="str">
        <f>IF(AND(B593='111'!$L$11,OR($N593=$Q$7,$O593=$Q$7)),"x","")</f>
        <v/>
      </c>
      <c r="R593" s="87" t="str">
        <f>IF(AND($N593=$Q$7,$B593&lt;'111'!$L$11),"x","")</f>
        <v/>
      </c>
      <c r="S593" s="87" t="str">
        <f>IF(AND($O593=$Q$7,$B593&lt;'111'!$L$11),"x","")</f>
        <v/>
      </c>
      <c r="T593" s="87" t="str">
        <f>IF(ISERROR(FIND('112'!$M$9,G593,1)),"",IF((AND(FIND('112'!$M$9,G593,1)&gt;=1,B593='112'!$K$9,OR($N593='112'!$I$6,$O593='112'!$I$6))),"x",""))</f>
        <v/>
      </c>
      <c r="U593" s="87" t="str">
        <f>IF(ISERROR(FIND('112'!$M$9,G593,1)),"",IF((AND(FIND('112'!$M$9,G593,1)&gt;=1,B593&lt;'112'!$K$9,$N593='112'!$I$6)),"x",""))</f>
        <v/>
      </c>
      <c r="V593" s="87" t="str">
        <f>IF(ISERROR(FIND('112'!$M$9,G593,1)),"",IF((AND(FIND('112'!$M$9,G593,1)&gt;=1,B593&lt;'112'!$K$9,$O593='112'!$I$6)),"x",""))</f>
        <v/>
      </c>
      <c r="W593" s="87" t="str">
        <f>IF(AND($B593&gt;='1331'!$I$9,$B593&lt;='1331'!$J$9,OR($N593=$W$7,$O593=$W$7)),"x","")</f>
        <v/>
      </c>
      <c r="X593" s="87" t="str">
        <f>IF(AND($N593=$W$7,$B593&lt;'1331'!$I$9),"x","")</f>
        <v/>
      </c>
      <c r="Y593" s="87" t="str">
        <f>IF(AND($O593=$W$7,$B593&lt;'1331'!$I$9),"x","")</f>
        <v/>
      </c>
      <c r="Z593" s="87" t="str">
        <f>IF(AND('341-CT'!$H$9=H593,OR(LEFT(N593,3)=$Z$7,LEFT(O593,3)=$Z$7)),"x","")</f>
        <v/>
      </c>
      <c r="AA593" s="87" t="str">
        <f>IF(OR(TH!N593=TH!$AA$7,O593=TH!$AA$7),"x","")</f>
        <v/>
      </c>
      <c r="AB593" s="87" t="str">
        <f>IF(AND(OR(N593="131",O593="131"),H593='131-CT'!$H$9),"x","")</f>
        <v/>
      </c>
      <c r="AC593" s="87"/>
      <c r="AD593" s="87" t="str">
        <f>IF(AND(MONTH(E593)='IN-NX'!$J$5,'IN-NX'!$D$7=D593),"x","")</f>
        <v/>
      </c>
      <c r="AE593" s="87" t="str">
        <f>IF(AND(OR(LEFT(TH!N593,2)="15",LEFT(TH!O593,2)="15"),'152-CT'!$J$8=TH!F593),"x","")</f>
        <v/>
      </c>
      <c r="AF593" s="87" t="str">
        <f>IF(AND(OR(LEFT(TH!N593,2)="15",LEFT(TH!O593,2)="15"),'THE KHO'!$E$7=TH!F593),"x","")</f>
        <v/>
      </c>
      <c r="AG593" s="87" t="str">
        <f>IF(AND(N593="1521",MONTH(C593)='BK NL'!$M$11),"x","")</f>
        <v/>
      </c>
    </row>
    <row r="594" spans="1:33" ht="15.75" customHeight="1">
      <c r="A594" s="399" t="str">
        <f>IF(B594&lt;&gt;"",IF(AND(B594&gt;=_TM1,B594&lt;=_TM2,OR(TH!N594="1111",TH!O594="1111")),TH!D594,""),"")</f>
        <v/>
      </c>
      <c r="B594" s="63" t="str">
        <f t="shared" si="14"/>
        <v/>
      </c>
      <c r="C594" s="64"/>
      <c r="D594" s="64"/>
      <c r="E594" s="64"/>
      <c r="F594" s="67"/>
      <c r="G594" s="376"/>
      <c r="H594" s="75"/>
      <c r="I594" s="518"/>
      <c r="J594" s="518"/>
      <c r="K594" s="509"/>
      <c r="L594" s="518"/>
      <c r="M594" s="65"/>
      <c r="N594" s="66"/>
      <c r="O594" s="66"/>
      <c r="P594" s="87" t="str">
        <f>IF(AND('331-CT'!$E$7=TH!H594,OR(N594="331",O594="331")),"x","")</f>
        <v/>
      </c>
      <c r="Q594" s="87" t="str">
        <f>IF(AND(B594='111'!$L$11,OR($N594=$Q$7,$O594=$Q$7)),"x","")</f>
        <v/>
      </c>
      <c r="R594" s="87" t="str">
        <f>IF(AND($N594=$Q$7,$B594&lt;'111'!$L$11),"x","")</f>
        <v/>
      </c>
      <c r="S594" s="87" t="str">
        <f>IF(AND($O594=$Q$7,$B594&lt;'111'!$L$11),"x","")</f>
        <v/>
      </c>
      <c r="T594" s="87" t="str">
        <f>IF(ISERROR(FIND('112'!$M$9,G594,1)),"",IF((AND(FIND('112'!$M$9,G594,1)&gt;=1,B594='112'!$K$9,OR($N594='112'!$I$6,$O594='112'!$I$6))),"x",""))</f>
        <v/>
      </c>
      <c r="U594" s="87" t="str">
        <f>IF(ISERROR(FIND('112'!$M$9,G594,1)),"",IF((AND(FIND('112'!$M$9,G594,1)&gt;=1,B594&lt;'112'!$K$9,$N594='112'!$I$6)),"x",""))</f>
        <v/>
      </c>
      <c r="V594" s="87" t="str">
        <f>IF(ISERROR(FIND('112'!$M$9,G594,1)),"",IF((AND(FIND('112'!$M$9,G594,1)&gt;=1,B594&lt;'112'!$K$9,$O594='112'!$I$6)),"x",""))</f>
        <v/>
      </c>
      <c r="W594" s="87" t="str">
        <f>IF(AND($B594&gt;='1331'!$I$9,$B594&lt;='1331'!$J$9,OR($N594=$W$7,$O594=$W$7)),"x","")</f>
        <v/>
      </c>
      <c r="X594" s="87" t="str">
        <f>IF(AND($N594=$W$7,$B594&lt;'1331'!$I$9),"x","")</f>
        <v/>
      </c>
      <c r="Y594" s="87" t="str">
        <f>IF(AND($O594=$W$7,$B594&lt;'1331'!$I$9),"x","")</f>
        <v/>
      </c>
      <c r="Z594" s="87" t="str">
        <f>IF(AND('341-CT'!$H$9=H594,OR(LEFT(N594,3)=$Z$7,LEFT(O594,3)=$Z$7)),"x","")</f>
        <v/>
      </c>
      <c r="AA594" s="87" t="str">
        <f>IF(OR(TH!N594=TH!$AA$7,O594=TH!$AA$7),"x","")</f>
        <v/>
      </c>
      <c r="AB594" s="87" t="str">
        <f>IF(AND(OR(N594="131",O594="131"),H594='131-CT'!$H$9),"x","")</f>
        <v/>
      </c>
      <c r="AC594" s="87"/>
      <c r="AD594" s="87" t="str">
        <f>IF(AND(MONTH(E594)='IN-NX'!$J$5,'IN-NX'!$D$7=D594),"x","")</f>
        <v/>
      </c>
      <c r="AE594" s="87" t="str">
        <f>IF(AND(OR(LEFT(TH!N594,2)="15",LEFT(TH!O594,2)="15"),'152-CT'!$J$8=TH!F594),"x","")</f>
        <v/>
      </c>
      <c r="AF594" s="87" t="str">
        <f>IF(AND(OR(LEFT(TH!N594,2)="15",LEFT(TH!O594,2)="15"),'THE KHO'!$E$7=TH!F594),"x","")</f>
        <v/>
      </c>
      <c r="AG594" s="87" t="str">
        <f>IF(AND(N594="1521",MONTH(C594)='BK NL'!$M$11),"x","")</f>
        <v/>
      </c>
    </row>
    <row r="595" spans="1:33" ht="15.75" customHeight="1">
      <c r="A595" s="399" t="str">
        <f>IF(B595&lt;&gt;"",IF(AND(B595&gt;=_TM1,B595&lt;=_TM2,OR(TH!N595="1111",TH!O595="1111")),TH!D595,""),"")</f>
        <v/>
      </c>
      <c r="B595" s="63" t="str">
        <f t="shared" si="14"/>
        <v/>
      </c>
      <c r="C595" s="64"/>
      <c r="D595" s="64"/>
      <c r="E595" s="64"/>
      <c r="F595" s="67"/>
      <c r="G595" s="362"/>
      <c r="H595" s="407"/>
      <c r="I595" s="520"/>
      <c r="J595" s="520"/>
      <c r="K595" s="511"/>
      <c r="L595" s="520"/>
      <c r="M595" s="65"/>
      <c r="N595" s="66"/>
      <c r="O595" s="66"/>
      <c r="P595" s="87" t="str">
        <f>IF(AND('331-CT'!$E$7=TH!H595,OR(N595="331",O595="331")),"x","")</f>
        <v/>
      </c>
      <c r="Q595" s="87" t="str">
        <f>IF(AND(B595='111'!$L$11,OR($N595=$Q$7,$O595=$Q$7)),"x","")</f>
        <v/>
      </c>
      <c r="R595" s="87" t="str">
        <f>IF(AND($N595=$Q$7,$B595&lt;'111'!$L$11),"x","")</f>
        <v/>
      </c>
      <c r="S595" s="87" t="str">
        <f>IF(AND($O595=$Q$7,$B595&lt;'111'!$L$11),"x","")</f>
        <v/>
      </c>
      <c r="T595" s="87" t="str">
        <f>IF(ISERROR(FIND('112'!$M$9,G595,1)),"",IF((AND(FIND('112'!$M$9,G595,1)&gt;=1,B595='112'!$K$9,OR($N595='112'!$I$6,$O595='112'!$I$6))),"x",""))</f>
        <v/>
      </c>
      <c r="U595" s="87" t="str">
        <f>IF(ISERROR(FIND('112'!$M$9,G595,1)),"",IF((AND(FIND('112'!$M$9,G595,1)&gt;=1,B595&lt;'112'!$K$9,$N595='112'!$I$6)),"x",""))</f>
        <v/>
      </c>
      <c r="V595" s="87" t="str">
        <f>IF(ISERROR(FIND('112'!$M$9,G595,1)),"",IF((AND(FIND('112'!$M$9,G595,1)&gt;=1,B595&lt;'112'!$K$9,$O595='112'!$I$6)),"x",""))</f>
        <v/>
      </c>
      <c r="W595" s="87" t="str">
        <f>IF(AND($B595&gt;='1331'!$I$9,$B595&lt;='1331'!$J$9,OR($N595=$W$7,$O595=$W$7)),"x","")</f>
        <v/>
      </c>
      <c r="X595" s="87" t="str">
        <f>IF(AND($N595=$W$7,$B595&lt;'1331'!$I$9),"x","")</f>
        <v/>
      </c>
      <c r="Y595" s="87" t="str">
        <f>IF(AND($O595=$W$7,$B595&lt;'1331'!$I$9),"x","")</f>
        <v/>
      </c>
      <c r="Z595" s="87" t="str">
        <f>IF(AND('341-CT'!$H$9=H595,OR(LEFT(N595,3)=$Z$7,LEFT(O595,3)=$Z$7)),"x","")</f>
        <v/>
      </c>
      <c r="AA595" s="87" t="str">
        <f>IF(OR(TH!N595=TH!$AA$7,O595=TH!$AA$7),"x","")</f>
        <v/>
      </c>
      <c r="AB595" s="87" t="str">
        <f>IF(AND(OR(N595="131",O595="131"),H595='131-CT'!$H$9),"x","")</f>
        <v/>
      </c>
      <c r="AC595" s="87"/>
      <c r="AD595" s="87" t="str">
        <f>IF(AND(MONTH(E595)='IN-NX'!$J$5,'IN-NX'!$D$7=D595),"x","")</f>
        <v/>
      </c>
      <c r="AE595" s="87" t="str">
        <f>IF(AND(OR(LEFT(TH!N595,2)="15",LEFT(TH!O595,2)="15"),'152-CT'!$J$8=TH!F595),"x","")</f>
        <v/>
      </c>
      <c r="AF595" s="87" t="str">
        <f>IF(AND(OR(LEFT(TH!N595,2)="15",LEFT(TH!O595,2)="15"),'THE KHO'!$E$7=TH!F595),"x","")</f>
        <v/>
      </c>
      <c r="AG595" s="87" t="str">
        <f>IF(AND(N595="1521",MONTH(C595)='BK NL'!$M$11),"x","")</f>
        <v/>
      </c>
    </row>
    <row r="596" spans="1:33" ht="15.75" customHeight="1">
      <c r="A596" s="399" t="str">
        <f>IF(B596&lt;&gt;"",IF(AND(B596&gt;=_TM1,B596&lt;=_TM2,OR(TH!N596="1111",TH!O596="1111")),TH!D596,""),"")</f>
        <v/>
      </c>
      <c r="B596" s="63" t="str">
        <f t="shared" si="14"/>
        <v/>
      </c>
      <c r="C596" s="64"/>
      <c r="D596" s="64"/>
      <c r="E596" s="64"/>
      <c r="F596" s="67"/>
      <c r="G596" s="362"/>
      <c r="H596" s="75"/>
      <c r="I596" s="518"/>
      <c r="J596" s="518"/>
      <c r="K596" s="509"/>
      <c r="L596" s="518"/>
      <c r="M596" s="65"/>
      <c r="N596" s="66"/>
      <c r="O596" s="66"/>
      <c r="P596" s="87" t="str">
        <f>IF(AND('331-CT'!$E$7=TH!H596,OR(N596="331",O596="331")),"x","")</f>
        <v/>
      </c>
      <c r="Q596" s="87" t="str">
        <f>IF(AND(B596='111'!$L$11,OR($N596=$Q$7,$O596=$Q$7)),"x","")</f>
        <v/>
      </c>
      <c r="R596" s="87" t="str">
        <f>IF(AND($N596=$Q$7,$B596&lt;'111'!$L$11),"x","")</f>
        <v/>
      </c>
      <c r="S596" s="87" t="str">
        <f>IF(AND($O596=$Q$7,$B596&lt;'111'!$L$11),"x","")</f>
        <v/>
      </c>
      <c r="T596" s="87" t="str">
        <f>IF(ISERROR(FIND('112'!$M$9,G596,1)),"",IF((AND(FIND('112'!$M$9,G596,1)&gt;=1,B596='112'!$K$9,OR($N596='112'!$I$6,$O596='112'!$I$6))),"x",""))</f>
        <v/>
      </c>
      <c r="U596" s="87" t="str">
        <f>IF(ISERROR(FIND('112'!$M$9,G596,1)),"",IF((AND(FIND('112'!$M$9,G596,1)&gt;=1,B596&lt;'112'!$K$9,$N596='112'!$I$6)),"x",""))</f>
        <v/>
      </c>
      <c r="V596" s="87" t="str">
        <f>IF(ISERROR(FIND('112'!$M$9,G596,1)),"",IF((AND(FIND('112'!$M$9,G596,1)&gt;=1,B596&lt;'112'!$K$9,$O596='112'!$I$6)),"x",""))</f>
        <v/>
      </c>
      <c r="W596" s="87" t="str">
        <f>IF(AND($B596&gt;='1331'!$I$9,$B596&lt;='1331'!$J$9,OR($N596=$W$7,$O596=$W$7)),"x","")</f>
        <v/>
      </c>
      <c r="X596" s="87" t="str">
        <f>IF(AND($N596=$W$7,$B596&lt;'1331'!$I$9),"x","")</f>
        <v/>
      </c>
      <c r="Y596" s="87" t="str">
        <f>IF(AND($O596=$W$7,$B596&lt;'1331'!$I$9),"x","")</f>
        <v/>
      </c>
      <c r="Z596" s="87" t="str">
        <f>IF(AND('341-CT'!$H$9=H596,OR(LEFT(N596,3)=$Z$7,LEFT(O596,3)=$Z$7)),"x","")</f>
        <v/>
      </c>
      <c r="AA596" s="87" t="str">
        <f>IF(OR(TH!N596=TH!$AA$7,O596=TH!$AA$7),"x","")</f>
        <v/>
      </c>
      <c r="AB596" s="87" t="str">
        <f>IF(AND(OR(N596="131",O596="131"),H596='131-CT'!$H$9),"x","")</f>
        <v/>
      </c>
      <c r="AC596" s="87"/>
      <c r="AD596" s="87" t="str">
        <f>IF(AND(MONTH(E596)='IN-NX'!$J$5,'IN-NX'!$D$7=D596),"x","")</f>
        <v/>
      </c>
      <c r="AE596" s="87" t="str">
        <f>IF(AND(OR(LEFT(TH!N596,2)="15",LEFT(TH!O596,2)="15"),'152-CT'!$J$8=TH!F596),"x","")</f>
        <v/>
      </c>
      <c r="AF596" s="87" t="str">
        <f>IF(AND(OR(LEFT(TH!N596,2)="15",LEFT(TH!O596,2)="15"),'THE KHO'!$E$7=TH!F596),"x","")</f>
        <v/>
      </c>
      <c r="AG596" s="87" t="str">
        <f>IF(AND(N596="1521",MONTH(C596)='BK NL'!$M$11),"x","")</f>
        <v/>
      </c>
    </row>
    <row r="597" spans="1:33" ht="15.75" customHeight="1">
      <c r="A597" s="399" t="str">
        <f>IF(B597&lt;&gt;"",IF(AND(B597&gt;=_TM1,B597&lt;=_TM2,OR(TH!N597="1111",TH!O597="1111")),TH!D597,""),"")</f>
        <v/>
      </c>
      <c r="B597" s="63" t="str">
        <f t="shared" si="14"/>
        <v/>
      </c>
      <c r="C597" s="64"/>
      <c r="D597" s="64"/>
      <c r="E597" s="64"/>
      <c r="F597" s="67"/>
      <c r="G597" s="362"/>
      <c r="H597" s="75"/>
      <c r="I597" s="518"/>
      <c r="J597" s="518"/>
      <c r="K597" s="509"/>
      <c r="L597" s="518"/>
      <c r="M597" s="65"/>
      <c r="N597" s="66"/>
      <c r="O597" s="66"/>
      <c r="P597" s="87" t="str">
        <f>IF(AND('331-CT'!$E$7=TH!H597,OR(N597="331",O597="331")),"x","")</f>
        <v/>
      </c>
      <c r="Q597" s="87" t="str">
        <f>IF(AND(B597='111'!$L$11,OR($N597=$Q$7,$O597=$Q$7)),"x","")</f>
        <v/>
      </c>
      <c r="R597" s="87" t="str">
        <f>IF(AND($N597=$Q$7,$B597&lt;'111'!$L$11),"x","")</f>
        <v/>
      </c>
      <c r="S597" s="87" t="str">
        <f>IF(AND($O597=$Q$7,$B597&lt;'111'!$L$11),"x","")</f>
        <v/>
      </c>
      <c r="T597" s="87" t="str">
        <f>IF(ISERROR(FIND('112'!$M$9,G597,1)),"",IF((AND(FIND('112'!$M$9,G597,1)&gt;=1,B597='112'!$K$9,OR($N597='112'!$I$6,$O597='112'!$I$6))),"x",""))</f>
        <v/>
      </c>
      <c r="U597" s="87" t="str">
        <f>IF(ISERROR(FIND('112'!$M$9,G597,1)),"",IF((AND(FIND('112'!$M$9,G597,1)&gt;=1,B597&lt;'112'!$K$9,$N597='112'!$I$6)),"x",""))</f>
        <v/>
      </c>
      <c r="V597" s="87" t="str">
        <f>IF(ISERROR(FIND('112'!$M$9,G597,1)),"",IF((AND(FIND('112'!$M$9,G597,1)&gt;=1,B597&lt;'112'!$K$9,$O597='112'!$I$6)),"x",""))</f>
        <v/>
      </c>
      <c r="W597" s="87" t="str">
        <f>IF(AND($B597&gt;='1331'!$I$9,$B597&lt;='1331'!$J$9,OR($N597=$W$7,$O597=$W$7)),"x","")</f>
        <v/>
      </c>
      <c r="X597" s="87" t="str">
        <f>IF(AND($N597=$W$7,$B597&lt;'1331'!$I$9),"x","")</f>
        <v/>
      </c>
      <c r="Y597" s="87" t="str">
        <f>IF(AND($O597=$W$7,$B597&lt;'1331'!$I$9),"x","")</f>
        <v/>
      </c>
      <c r="Z597" s="87" t="str">
        <f>IF(AND('341-CT'!$H$9=H597,OR(LEFT(N597,3)=$Z$7,LEFT(O597,3)=$Z$7)),"x","")</f>
        <v/>
      </c>
      <c r="AA597" s="87" t="str">
        <f>IF(OR(TH!N597=TH!$AA$7,O597=TH!$AA$7),"x","")</f>
        <v/>
      </c>
      <c r="AB597" s="87" t="str">
        <f>IF(AND(OR(N597="131",O597="131"),H597='131-CT'!$H$9),"x","")</f>
        <v/>
      </c>
      <c r="AC597" s="87"/>
      <c r="AD597" s="87" t="str">
        <f>IF(AND(MONTH(E597)='IN-NX'!$J$5,'IN-NX'!$D$7=D597),"x","")</f>
        <v/>
      </c>
      <c r="AE597" s="87" t="str">
        <f>IF(AND(OR(LEFT(TH!N597,2)="15",LEFT(TH!O597,2)="15"),'152-CT'!$J$8=TH!F597),"x","")</f>
        <v/>
      </c>
      <c r="AF597" s="87" t="str">
        <f>IF(AND(OR(LEFT(TH!N597,2)="15",LEFT(TH!O597,2)="15"),'THE KHO'!$E$7=TH!F597),"x","")</f>
        <v/>
      </c>
      <c r="AG597" s="87" t="str">
        <f>IF(AND(N597="1521",MONTH(C597)='BK NL'!$M$11),"x","")</f>
        <v/>
      </c>
    </row>
    <row r="598" spans="1:33" ht="15.75" customHeight="1">
      <c r="A598" s="399" t="str">
        <f>IF(B598&lt;&gt;"",IF(AND(B598&gt;=_TM1,B598&lt;=_TM2,OR(TH!N598="1111",TH!O598="1111")),TH!D598,""),"")</f>
        <v/>
      </c>
      <c r="B598" s="63" t="str">
        <f t="shared" si="14"/>
        <v/>
      </c>
      <c r="C598" s="64"/>
      <c r="D598" s="64"/>
      <c r="E598" s="64"/>
      <c r="F598" s="67"/>
      <c r="G598" s="376"/>
      <c r="H598" s="365"/>
      <c r="I598" s="518"/>
      <c r="J598" s="518"/>
      <c r="K598" s="509"/>
      <c r="L598" s="518"/>
      <c r="M598" s="65"/>
      <c r="N598" s="66"/>
      <c r="O598" s="66"/>
      <c r="P598" s="87" t="str">
        <f>IF(AND('331-CT'!$E$7=TH!H598,OR(N598="331",O598="331")),"x","")</f>
        <v/>
      </c>
      <c r="Q598" s="87" t="str">
        <f>IF(AND(B598='111'!$L$11,OR($N598=$Q$7,$O598=$Q$7)),"x","")</f>
        <v/>
      </c>
      <c r="R598" s="87" t="str">
        <f>IF(AND($N598=$Q$7,$B598&lt;'111'!$L$11),"x","")</f>
        <v/>
      </c>
      <c r="S598" s="87" t="str">
        <f>IF(AND($O598=$Q$7,$B598&lt;'111'!$L$11),"x","")</f>
        <v/>
      </c>
      <c r="T598" s="87" t="str">
        <f>IF(ISERROR(FIND('112'!$M$9,G598,1)),"",IF((AND(FIND('112'!$M$9,G598,1)&gt;=1,B598='112'!$K$9,OR($N598='112'!$I$6,$O598='112'!$I$6))),"x",""))</f>
        <v/>
      </c>
      <c r="U598" s="87" t="str">
        <f>IF(ISERROR(FIND('112'!$M$9,G598,1)),"",IF((AND(FIND('112'!$M$9,G598,1)&gt;=1,B598&lt;'112'!$K$9,$N598='112'!$I$6)),"x",""))</f>
        <v/>
      </c>
      <c r="V598" s="87" t="str">
        <f>IF(ISERROR(FIND('112'!$M$9,G598,1)),"",IF((AND(FIND('112'!$M$9,G598,1)&gt;=1,B598&lt;'112'!$K$9,$O598='112'!$I$6)),"x",""))</f>
        <v/>
      </c>
      <c r="W598" s="87" t="str">
        <f>IF(AND($B598&gt;='1331'!$I$9,$B598&lt;='1331'!$J$9,OR($N598=$W$7,$O598=$W$7)),"x","")</f>
        <v/>
      </c>
      <c r="X598" s="87" t="str">
        <f>IF(AND($N598=$W$7,$B598&lt;'1331'!$I$9),"x","")</f>
        <v/>
      </c>
      <c r="Y598" s="87" t="str">
        <f>IF(AND($O598=$W$7,$B598&lt;'1331'!$I$9),"x","")</f>
        <v/>
      </c>
      <c r="Z598" s="87" t="str">
        <f>IF(AND('341-CT'!$H$9=H598,OR(LEFT(N598,3)=$Z$7,LEFT(O598,3)=$Z$7)),"x","")</f>
        <v/>
      </c>
      <c r="AA598" s="87" t="str">
        <f>IF(OR(TH!N598=TH!$AA$7,O598=TH!$AA$7),"x","")</f>
        <v/>
      </c>
      <c r="AB598" s="87" t="str">
        <f>IF(AND(OR(N598="131",O598="131"),H598='131-CT'!$H$9),"x","")</f>
        <v/>
      </c>
      <c r="AC598" s="87"/>
      <c r="AD598" s="87" t="str">
        <f>IF(AND(MONTH(E598)='IN-NX'!$J$5,'IN-NX'!$D$7=D598),"x","")</f>
        <v/>
      </c>
      <c r="AE598" s="87" t="str">
        <f>IF(AND(OR(LEFT(TH!N598,2)="15",LEFT(TH!O598,2)="15"),'152-CT'!$J$8=TH!F598),"x","")</f>
        <v/>
      </c>
      <c r="AF598" s="87" t="str">
        <f>IF(AND(OR(LEFT(TH!N598,2)="15",LEFT(TH!O598,2)="15"),'THE KHO'!$E$7=TH!F598),"x","")</f>
        <v/>
      </c>
      <c r="AG598" s="87" t="str">
        <f>IF(AND(N598="1521",MONTH(C598)='BK NL'!$M$11),"x","")</f>
        <v/>
      </c>
    </row>
    <row r="599" spans="1:33" ht="15.75" customHeight="1">
      <c r="A599" s="399" t="str">
        <f>IF(B599&lt;&gt;"",IF(AND(B599&gt;=_TM1,B599&lt;=_TM2,OR(TH!N599="1111",TH!O599="1111")),TH!D599,""),"")</f>
        <v/>
      </c>
      <c r="B599" s="63" t="str">
        <f t="shared" si="14"/>
        <v/>
      </c>
      <c r="C599" s="64"/>
      <c r="D599" s="64"/>
      <c r="E599" s="64"/>
      <c r="F599" s="67"/>
      <c r="G599" s="376"/>
      <c r="H599" s="365"/>
      <c r="I599" s="518"/>
      <c r="J599" s="518"/>
      <c r="K599" s="509"/>
      <c r="L599" s="518"/>
      <c r="M599" s="65"/>
      <c r="N599" s="66"/>
      <c r="O599" s="66"/>
      <c r="P599" s="87" t="str">
        <f>IF(AND('331-CT'!$E$7=TH!H599,OR(N599="331",O599="331")),"x","")</f>
        <v/>
      </c>
      <c r="Q599" s="87" t="str">
        <f>IF(AND(B599='111'!$L$11,OR($N599=$Q$7,$O599=$Q$7)),"x","")</f>
        <v/>
      </c>
      <c r="R599" s="87" t="str">
        <f>IF(AND($N599=$Q$7,$B599&lt;'111'!$L$11),"x","")</f>
        <v/>
      </c>
      <c r="S599" s="87" t="str">
        <f>IF(AND($O599=$Q$7,$B599&lt;'111'!$L$11),"x","")</f>
        <v/>
      </c>
      <c r="T599" s="87" t="str">
        <f>IF(ISERROR(FIND('112'!$M$9,G599,1)),"",IF((AND(FIND('112'!$M$9,G599,1)&gt;=1,B599='112'!$K$9,OR($N599='112'!$I$6,$O599='112'!$I$6))),"x",""))</f>
        <v/>
      </c>
      <c r="U599" s="87" t="str">
        <f>IF(ISERROR(FIND('112'!$M$9,G599,1)),"",IF((AND(FIND('112'!$M$9,G599,1)&gt;=1,B599&lt;'112'!$K$9,$N599='112'!$I$6)),"x",""))</f>
        <v/>
      </c>
      <c r="V599" s="87" t="str">
        <f>IF(ISERROR(FIND('112'!$M$9,G599,1)),"",IF((AND(FIND('112'!$M$9,G599,1)&gt;=1,B599&lt;'112'!$K$9,$O599='112'!$I$6)),"x",""))</f>
        <v/>
      </c>
      <c r="W599" s="87" t="str">
        <f>IF(AND($B599&gt;='1331'!$I$9,$B599&lt;='1331'!$J$9,OR($N599=$W$7,$O599=$W$7)),"x","")</f>
        <v/>
      </c>
      <c r="X599" s="87" t="str">
        <f>IF(AND($N599=$W$7,$B599&lt;'1331'!$I$9),"x","")</f>
        <v/>
      </c>
      <c r="Y599" s="87" t="str">
        <f>IF(AND($O599=$W$7,$B599&lt;'1331'!$I$9),"x","")</f>
        <v/>
      </c>
      <c r="Z599" s="87" t="str">
        <f>IF(AND('341-CT'!$H$9=H599,OR(LEFT(N599,3)=$Z$7,LEFT(O599,3)=$Z$7)),"x","")</f>
        <v/>
      </c>
      <c r="AA599" s="87" t="str">
        <f>IF(OR(TH!N599=TH!$AA$7,O599=TH!$AA$7),"x","")</f>
        <v/>
      </c>
      <c r="AB599" s="87" t="str">
        <f>IF(AND(OR(N599="131",O599="131"),H599='131-CT'!$H$9),"x","")</f>
        <v/>
      </c>
      <c r="AC599" s="87"/>
      <c r="AD599" s="87" t="str">
        <f>IF(AND(MONTH(E599)='IN-NX'!$J$5,'IN-NX'!$D$7=D599),"x","")</f>
        <v/>
      </c>
      <c r="AE599" s="87" t="str">
        <f>IF(AND(OR(LEFT(TH!N599,2)="15",LEFT(TH!O599,2)="15"),'152-CT'!$J$8=TH!F599),"x","")</f>
        <v/>
      </c>
      <c r="AF599" s="87" t="str">
        <f>IF(AND(OR(LEFT(TH!N599,2)="15",LEFT(TH!O599,2)="15"),'THE KHO'!$E$7=TH!F599),"x","")</f>
        <v/>
      </c>
      <c r="AG599" s="87" t="str">
        <f>IF(AND(N599="1521",MONTH(C599)='BK NL'!$M$11),"x","")</f>
        <v/>
      </c>
    </row>
    <row r="600" spans="1:33" ht="15.75" customHeight="1">
      <c r="A600" s="399" t="str">
        <f>IF(B600&lt;&gt;"",IF(AND(B600&gt;=_TM1,B600&lt;=_TM2,OR(TH!N600="1111",TH!O600="1111")),TH!D600,""),"")</f>
        <v/>
      </c>
      <c r="B600" s="63" t="str">
        <f t="shared" si="14"/>
        <v/>
      </c>
      <c r="C600" s="64"/>
      <c r="D600" s="64"/>
      <c r="E600" s="64"/>
      <c r="F600" s="67"/>
      <c r="G600" s="376"/>
      <c r="H600" s="75"/>
      <c r="I600" s="518"/>
      <c r="J600" s="518"/>
      <c r="K600" s="509"/>
      <c r="L600" s="518"/>
      <c r="M600" s="65"/>
      <c r="N600" s="66"/>
      <c r="O600" s="66"/>
      <c r="P600" s="87" t="str">
        <f>IF(AND('331-CT'!$E$7=TH!H600,OR(N600="331",O600="331")),"x","")</f>
        <v/>
      </c>
      <c r="Q600" s="87" t="str">
        <f>IF(AND(B600='111'!$L$11,OR($N600=$Q$7,$O600=$Q$7)),"x","")</f>
        <v/>
      </c>
      <c r="R600" s="87" t="str">
        <f>IF(AND($N600=$Q$7,$B600&lt;'111'!$L$11),"x","")</f>
        <v/>
      </c>
      <c r="S600" s="87" t="str">
        <f>IF(AND($O600=$Q$7,$B600&lt;'111'!$L$11),"x","")</f>
        <v/>
      </c>
      <c r="T600" s="87" t="str">
        <f>IF(ISERROR(FIND('112'!$M$9,G600,1)),"",IF((AND(FIND('112'!$M$9,G600,1)&gt;=1,B600='112'!$K$9,OR($N600='112'!$I$6,$O600='112'!$I$6))),"x",""))</f>
        <v/>
      </c>
      <c r="U600" s="87" t="str">
        <f>IF(ISERROR(FIND('112'!$M$9,G600,1)),"",IF((AND(FIND('112'!$M$9,G600,1)&gt;=1,B600&lt;'112'!$K$9,$N600='112'!$I$6)),"x",""))</f>
        <v/>
      </c>
      <c r="V600" s="87" t="str">
        <f>IF(ISERROR(FIND('112'!$M$9,G600,1)),"",IF((AND(FIND('112'!$M$9,G600,1)&gt;=1,B600&lt;'112'!$K$9,$O600='112'!$I$6)),"x",""))</f>
        <v/>
      </c>
      <c r="W600" s="87" t="str">
        <f>IF(AND($B600&gt;='1331'!$I$9,$B600&lt;='1331'!$J$9,OR($N600=$W$7,$O600=$W$7)),"x","")</f>
        <v/>
      </c>
      <c r="X600" s="87" t="str">
        <f>IF(AND($N600=$W$7,$B600&lt;'1331'!$I$9),"x","")</f>
        <v/>
      </c>
      <c r="Y600" s="87" t="str">
        <f>IF(AND($O600=$W$7,$B600&lt;'1331'!$I$9),"x","")</f>
        <v/>
      </c>
      <c r="Z600" s="87" t="str">
        <f>IF(AND('341-CT'!$H$9=H600,OR(LEFT(N600,3)=$Z$7,LEFT(O600,3)=$Z$7)),"x","")</f>
        <v/>
      </c>
      <c r="AA600" s="87" t="str">
        <f>IF(OR(TH!N600=TH!$AA$7,O600=TH!$AA$7),"x","")</f>
        <v/>
      </c>
      <c r="AB600" s="87" t="str">
        <f>IF(AND(OR(N600="131",O600="131"),H600='131-CT'!$H$9),"x","")</f>
        <v/>
      </c>
      <c r="AC600" s="87"/>
      <c r="AD600" s="87" t="str">
        <f>IF(AND(MONTH(E600)='IN-NX'!$J$5,'IN-NX'!$D$7=D600),"x","")</f>
        <v/>
      </c>
      <c r="AE600" s="87" t="str">
        <f>IF(AND(OR(LEFT(TH!N600,2)="15",LEFT(TH!O600,2)="15"),'152-CT'!$J$8=TH!F600),"x","")</f>
        <v/>
      </c>
      <c r="AF600" s="87" t="str">
        <f>IF(AND(OR(LEFT(TH!N600,2)="15",LEFT(TH!O600,2)="15"),'THE KHO'!$E$7=TH!F600),"x","")</f>
        <v/>
      </c>
      <c r="AG600" s="87" t="str">
        <f>IF(AND(N600="1521",MONTH(C600)='BK NL'!$M$11),"x","")</f>
        <v/>
      </c>
    </row>
    <row r="601" spans="1:33" ht="15.75" customHeight="1">
      <c r="A601" s="399" t="str">
        <f>IF(B601&lt;&gt;"",IF(AND(B601&gt;=_TM1,B601&lt;=_TM2,OR(TH!N601="1111",TH!O601="1111")),TH!D601,""),"")</f>
        <v/>
      </c>
      <c r="B601" s="63" t="str">
        <f t="shared" si="14"/>
        <v/>
      </c>
      <c r="C601" s="64"/>
      <c r="D601" s="64"/>
      <c r="E601" s="64"/>
      <c r="F601" s="67"/>
      <c r="G601" s="362"/>
      <c r="H601" s="75"/>
      <c r="I601" s="518"/>
      <c r="J601" s="518"/>
      <c r="K601" s="509"/>
      <c r="L601" s="518"/>
      <c r="M601" s="65"/>
      <c r="N601" s="66"/>
      <c r="O601" s="66"/>
      <c r="P601" s="87" t="str">
        <f>IF(AND('331-CT'!$E$7=TH!H601,OR(N601="331",O601="331")),"x","")</f>
        <v/>
      </c>
      <c r="Q601" s="87" t="str">
        <f>IF(AND(B601='111'!$L$11,OR($N601=$Q$7,$O601=$Q$7)),"x","")</f>
        <v/>
      </c>
      <c r="R601" s="87" t="str">
        <f>IF(AND($N601=$Q$7,$B601&lt;'111'!$L$11),"x","")</f>
        <v/>
      </c>
      <c r="S601" s="87" t="str">
        <f>IF(AND($O601=$Q$7,$B601&lt;'111'!$L$11),"x","")</f>
        <v/>
      </c>
      <c r="T601" s="87" t="str">
        <f>IF(ISERROR(FIND('112'!$M$9,G601,1)),"",IF((AND(FIND('112'!$M$9,G601,1)&gt;=1,B601='112'!$K$9,OR($N601='112'!$I$6,$O601='112'!$I$6))),"x",""))</f>
        <v/>
      </c>
      <c r="U601" s="87" t="str">
        <f>IF(ISERROR(FIND('112'!$M$9,G601,1)),"",IF((AND(FIND('112'!$M$9,G601,1)&gt;=1,B601&lt;'112'!$K$9,$N601='112'!$I$6)),"x",""))</f>
        <v/>
      </c>
      <c r="V601" s="87" t="str">
        <f>IF(ISERROR(FIND('112'!$M$9,G601,1)),"",IF((AND(FIND('112'!$M$9,G601,1)&gt;=1,B601&lt;'112'!$K$9,$O601='112'!$I$6)),"x",""))</f>
        <v/>
      </c>
      <c r="W601" s="87" t="str">
        <f>IF(AND($B601&gt;='1331'!$I$9,$B601&lt;='1331'!$J$9,OR($N601=$W$7,$O601=$W$7)),"x","")</f>
        <v/>
      </c>
      <c r="X601" s="87" t="str">
        <f>IF(AND($N601=$W$7,$B601&lt;'1331'!$I$9),"x","")</f>
        <v/>
      </c>
      <c r="Y601" s="87" t="str">
        <f>IF(AND($O601=$W$7,$B601&lt;'1331'!$I$9),"x","")</f>
        <v/>
      </c>
      <c r="Z601" s="87" t="str">
        <f>IF(AND('341-CT'!$H$9=H601,OR(LEFT(N601,3)=$Z$7,LEFT(O601,3)=$Z$7)),"x","")</f>
        <v/>
      </c>
      <c r="AA601" s="87" t="str">
        <f>IF(OR(TH!N601=TH!$AA$7,O601=TH!$AA$7),"x","")</f>
        <v/>
      </c>
      <c r="AB601" s="87" t="str">
        <f>IF(AND(OR(N601="131",O601="131"),H601='131-CT'!$H$9),"x","")</f>
        <v/>
      </c>
      <c r="AC601" s="87"/>
      <c r="AD601" s="87" t="str">
        <f>IF(AND(MONTH(E601)='IN-NX'!$J$5,'IN-NX'!$D$7=D601),"x","")</f>
        <v/>
      </c>
      <c r="AE601" s="87" t="str">
        <f>IF(AND(OR(LEFT(TH!N601,2)="15",LEFT(TH!O601,2)="15"),'152-CT'!$J$8=TH!F601),"x","")</f>
        <v/>
      </c>
      <c r="AF601" s="87" t="str">
        <f>IF(AND(OR(LEFT(TH!N601,2)="15",LEFT(TH!O601,2)="15"),'THE KHO'!$E$7=TH!F601),"x","")</f>
        <v/>
      </c>
      <c r="AG601" s="87" t="str">
        <f>IF(AND(N601="1521",MONTH(C601)='BK NL'!$M$11),"x","")</f>
        <v/>
      </c>
    </row>
    <row r="602" spans="1:33" ht="15.75" customHeight="1">
      <c r="A602" s="399" t="str">
        <f>IF(B602&lt;&gt;"",IF(AND(B602&gt;=_TM1,B602&lt;=_TM2,OR(TH!N602="1111",TH!O602="1111")),TH!D602,""),"")</f>
        <v/>
      </c>
      <c r="B602" s="63" t="str">
        <f t="shared" si="14"/>
        <v/>
      </c>
      <c r="C602" s="64"/>
      <c r="D602" s="64"/>
      <c r="E602" s="64"/>
      <c r="F602" s="67"/>
      <c r="G602" s="362"/>
      <c r="H602" s="75"/>
      <c r="I602" s="518"/>
      <c r="J602" s="518"/>
      <c r="K602" s="509"/>
      <c r="L602" s="518"/>
      <c r="M602" s="65"/>
      <c r="N602" s="66"/>
      <c r="O602" s="66"/>
      <c r="P602" s="87" t="str">
        <f>IF(AND('331-CT'!$E$7=TH!H602,OR(N602="331",O602="331")),"x","")</f>
        <v/>
      </c>
      <c r="Q602" s="87" t="str">
        <f>IF(AND(B602='111'!$L$11,OR($N602=$Q$7,$O602=$Q$7)),"x","")</f>
        <v/>
      </c>
      <c r="R602" s="87" t="str">
        <f>IF(AND($N602=$Q$7,$B602&lt;'111'!$L$11),"x","")</f>
        <v/>
      </c>
      <c r="S602" s="87" t="str">
        <f>IF(AND($O602=$Q$7,$B602&lt;'111'!$L$11),"x","")</f>
        <v/>
      </c>
      <c r="T602" s="87" t="str">
        <f>IF(ISERROR(FIND('112'!$M$9,G602,1)),"",IF((AND(FIND('112'!$M$9,G602,1)&gt;=1,B602='112'!$K$9,OR($N602='112'!$I$6,$O602='112'!$I$6))),"x",""))</f>
        <v/>
      </c>
      <c r="U602" s="87" t="str">
        <f>IF(ISERROR(FIND('112'!$M$9,G602,1)),"",IF((AND(FIND('112'!$M$9,G602,1)&gt;=1,B602&lt;'112'!$K$9,$N602='112'!$I$6)),"x",""))</f>
        <v/>
      </c>
      <c r="V602" s="87" t="str">
        <f>IF(ISERROR(FIND('112'!$M$9,G602,1)),"",IF((AND(FIND('112'!$M$9,G602,1)&gt;=1,B602&lt;'112'!$K$9,$O602='112'!$I$6)),"x",""))</f>
        <v/>
      </c>
      <c r="W602" s="87" t="str">
        <f>IF(AND($B602&gt;='1331'!$I$9,$B602&lt;='1331'!$J$9,OR($N602=$W$7,$O602=$W$7)),"x","")</f>
        <v/>
      </c>
      <c r="X602" s="87" t="str">
        <f>IF(AND($N602=$W$7,$B602&lt;'1331'!$I$9),"x","")</f>
        <v/>
      </c>
      <c r="Y602" s="87" t="str">
        <f>IF(AND($O602=$W$7,$B602&lt;'1331'!$I$9),"x","")</f>
        <v/>
      </c>
      <c r="Z602" s="87" t="str">
        <f>IF(AND('341-CT'!$H$9=H602,OR(LEFT(N602,3)=$Z$7,LEFT(O602,3)=$Z$7)),"x","")</f>
        <v/>
      </c>
      <c r="AA602" s="87" t="str">
        <f>IF(OR(TH!N602=TH!$AA$7,O602=TH!$AA$7),"x","")</f>
        <v/>
      </c>
      <c r="AB602" s="87" t="str">
        <f>IF(AND(OR(N602="131",O602="131"),H602='131-CT'!$H$9),"x","")</f>
        <v/>
      </c>
      <c r="AC602" s="87"/>
      <c r="AD602" s="87" t="str">
        <f>IF(AND(MONTH(E602)='IN-NX'!$J$5,'IN-NX'!$D$7=D602),"x","")</f>
        <v/>
      </c>
      <c r="AE602" s="87" t="str">
        <f>IF(AND(OR(LEFT(TH!N602,2)="15",LEFT(TH!O602,2)="15"),'152-CT'!$J$8=TH!F602),"x","")</f>
        <v/>
      </c>
      <c r="AF602" s="87" t="str">
        <f>IF(AND(OR(LEFT(TH!N602,2)="15",LEFT(TH!O602,2)="15"),'THE KHO'!$E$7=TH!F602),"x","")</f>
        <v/>
      </c>
      <c r="AG602" s="87" t="str">
        <f>IF(AND(N602="1521",MONTH(C602)='BK NL'!$M$11),"x","")</f>
        <v/>
      </c>
    </row>
    <row r="603" spans="1:33" ht="15.75" customHeight="1">
      <c r="A603" s="399" t="str">
        <f>IF(B603&lt;&gt;"",IF(AND(B603&gt;=_TM1,B603&lt;=_TM2,OR(TH!N603="1111",TH!O603="1111")),TH!D603,""),"")</f>
        <v/>
      </c>
      <c r="B603" s="63" t="str">
        <f t="shared" si="14"/>
        <v/>
      </c>
      <c r="C603" s="64"/>
      <c r="D603" s="64"/>
      <c r="E603" s="64"/>
      <c r="F603" s="67"/>
      <c r="G603" s="362"/>
      <c r="H603" s="75"/>
      <c r="I603" s="518"/>
      <c r="J603" s="518"/>
      <c r="K603" s="509"/>
      <c r="L603" s="518"/>
      <c r="M603" s="65"/>
      <c r="N603" s="66"/>
      <c r="O603" s="66"/>
      <c r="P603" s="87" t="str">
        <f>IF(AND('331-CT'!$E$7=TH!H603,OR(N603="331",O603="331")),"x","")</f>
        <v/>
      </c>
      <c r="Q603" s="87" t="str">
        <f>IF(AND(B603='111'!$L$11,OR($N603=$Q$7,$O603=$Q$7)),"x","")</f>
        <v/>
      </c>
      <c r="R603" s="87" t="str">
        <f>IF(AND($N603=$Q$7,$B603&lt;'111'!$L$11),"x","")</f>
        <v/>
      </c>
      <c r="S603" s="87" t="str">
        <f>IF(AND($O603=$Q$7,$B603&lt;'111'!$L$11),"x","")</f>
        <v/>
      </c>
      <c r="T603" s="87" t="str">
        <f>IF(ISERROR(FIND('112'!$M$9,G603,1)),"",IF((AND(FIND('112'!$M$9,G603,1)&gt;=1,B603='112'!$K$9,OR($N603='112'!$I$6,$O603='112'!$I$6))),"x",""))</f>
        <v/>
      </c>
      <c r="U603" s="87" t="str">
        <f>IF(ISERROR(FIND('112'!$M$9,G603,1)),"",IF((AND(FIND('112'!$M$9,G603,1)&gt;=1,B603&lt;'112'!$K$9,$N603='112'!$I$6)),"x",""))</f>
        <v/>
      </c>
      <c r="V603" s="87" t="str">
        <f>IF(ISERROR(FIND('112'!$M$9,G603,1)),"",IF((AND(FIND('112'!$M$9,G603,1)&gt;=1,B603&lt;'112'!$K$9,$O603='112'!$I$6)),"x",""))</f>
        <v/>
      </c>
      <c r="W603" s="87" t="str">
        <f>IF(AND($B603&gt;='1331'!$I$9,$B603&lt;='1331'!$J$9,OR($N603=$W$7,$O603=$W$7)),"x","")</f>
        <v/>
      </c>
      <c r="X603" s="87" t="str">
        <f>IF(AND($N603=$W$7,$B603&lt;'1331'!$I$9),"x","")</f>
        <v/>
      </c>
      <c r="Y603" s="87" t="str">
        <f>IF(AND($O603=$W$7,$B603&lt;'1331'!$I$9),"x","")</f>
        <v/>
      </c>
      <c r="Z603" s="87" t="str">
        <f>IF(AND('341-CT'!$H$9=H603,OR(LEFT(N603,3)=$Z$7,LEFT(O603,3)=$Z$7)),"x","")</f>
        <v/>
      </c>
      <c r="AA603" s="87" t="str">
        <f>IF(OR(TH!N603=TH!$AA$7,O603=TH!$AA$7),"x","")</f>
        <v/>
      </c>
      <c r="AB603" s="87" t="str">
        <f>IF(AND(OR(N603="131",O603="131"),H603='131-CT'!$H$9),"x","")</f>
        <v/>
      </c>
      <c r="AC603" s="87"/>
      <c r="AD603" s="87" t="str">
        <f>IF(AND(MONTH(E603)='IN-NX'!$J$5,'IN-NX'!$D$7=D603),"x","")</f>
        <v/>
      </c>
      <c r="AE603" s="87" t="str">
        <f>IF(AND(OR(LEFT(TH!N603,2)="15",LEFT(TH!O603,2)="15"),'152-CT'!$J$8=TH!F603),"x","")</f>
        <v/>
      </c>
      <c r="AF603" s="87" t="str">
        <f>IF(AND(OR(LEFT(TH!N603,2)="15",LEFT(TH!O603,2)="15"),'THE KHO'!$E$7=TH!F603),"x","")</f>
        <v/>
      </c>
      <c r="AG603" s="87" t="str">
        <f>IF(AND(N603="1521",MONTH(C603)='BK NL'!$M$11),"x","")</f>
        <v/>
      </c>
    </row>
    <row r="604" spans="1:33" ht="15.75" customHeight="1">
      <c r="A604" s="399" t="str">
        <f>IF(B604&lt;&gt;"",IF(AND(B604&gt;=_TM1,B604&lt;=_TM2,OR(TH!N604="1111",TH!O604="1111")),TH!D604,""),"")</f>
        <v/>
      </c>
      <c r="B604" s="63" t="str">
        <f t="shared" si="14"/>
        <v/>
      </c>
      <c r="C604" s="64"/>
      <c r="D604" s="64"/>
      <c r="E604" s="64"/>
      <c r="F604" s="67"/>
      <c r="G604" s="362"/>
      <c r="H604" s="75"/>
      <c r="I604" s="518"/>
      <c r="J604" s="518"/>
      <c r="K604" s="509"/>
      <c r="L604" s="518"/>
      <c r="M604" s="65"/>
      <c r="N604" s="66"/>
      <c r="O604" s="66"/>
      <c r="P604" s="87" t="str">
        <f>IF(AND('331-CT'!$E$7=TH!H604,OR(N604="331",O604="331")),"x","")</f>
        <v/>
      </c>
      <c r="Q604" s="87" t="str">
        <f>IF(AND(B604='111'!$L$11,OR($N604=$Q$7,$O604=$Q$7)),"x","")</f>
        <v/>
      </c>
      <c r="R604" s="87" t="str">
        <f>IF(AND($N604=$Q$7,$B604&lt;'111'!$L$11),"x","")</f>
        <v/>
      </c>
      <c r="S604" s="87" t="str">
        <f>IF(AND($O604=$Q$7,$B604&lt;'111'!$L$11),"x","")</f>
        <v/>
      </c>
      <c r="T604" s="87" t="str">
        <f>IF(ISERROR(FIND('112'!$M$9,G604,1)),"",IF((AND(FIND('112'!$M$9,G604,1)&gt;=1,B604='112'!$K$9,OR($N604='112'!$I$6,$O604='112'!$I$6))),"x",""))</f>
        <v/>
      </c>
      <c r="U604" s="87" t="str">
        <f>IF(ISERROR(FIND('112'!$M$9,G604,1)),"",IF((AND(FIND('112'!$M$9,G604,1)&gt;=1,B604&lt;'112'!$K$9,$N604='112'!$I$6)),"x",""))</f>
        <v/>
      </c>
      <c r="V604" s="87" t="str">
        <f>IF(ISERROR(FIND('112'!$M$9,G604,1)),"",IF((AND(FIND('112'!$M$9,G604,1)&gt;=1,B604&lt;'112'!$K$9,$O604='112'!$I$6)),"x",""))</f>
        <v/>
      </c>
      <c r="W604" s="87" t="str">
        <f>IF(AND($B604&gt;='1331'!$I$9,$B604&lt;='1331'!$J$9,OR($N604=$W$7,$O604=$W$7)),"x","")</f>
        <v/>
      </c>
      <c r="X604" s="87" t="str">
        <f>IF(AND($N604=$W$7,$B604&lt;'1331'!$I$9),"x","")</f>
        <v/>
      </c>
      <c r="Y604" s="87" t="str">
        <f>IF(AND($O604=$W$7,$B604&lt;'1331'!$I$9),"x","")</f>
        <v/>
      </c>
      <c r="Z604" s="87" t="str">
        <f>IF(AND('341-CT'!$H$9=H604,OR(LEFT(N604,3)=$Z$7,LEFT(O604,3)=$Z$7)),"x","")</f>
        <v/>
      </c>
      <c r="AA604" s="87" t="str">
        <f>IF(OR(TH!N604=TH!$AA$7,O604=TH!$AA$7),"x","")</f>
        <v/>
      </c>
      <c r="AB604" s="87" t="str">
        <f>IF(AND(OR(N604="131",O604="131"),H604='131-CT'!$H$9),"x","")</f>
        <v/>
      </c>
      <c r="AC604" s="87"/>
      <c r="AD604" s="87" t="str">
        <f>IF(AND(MONTH(E604)='IN-NX'!$J$5,'IN-NX'!$D$7=D604),"x","")</f>
        <v/>
      </c>
      <c r="AE604" s="87" t="str">
        <f>IF(AND(OR(LEFT(TH!N604,2)="15",LEFT(TH!O604,2)="15"),'152-CT'!$J$8=TH!F604),"x","")</f>
        <v/>
      </c>
      <c r="AF604" s="87" t="str">
        <f>IF(AND(OR(LEFT(TH!N604,2)="15",LEFT(TH!O604,2)="15"),'THE KHO'!$E$7=TH!F604),"x","")</f>
        <v/>
      </c>
      <c r="AG604" s="87" t="str">
        <f>IF(AND(N604="1521",MONTH(C604)='BK NL'!$M$11),"x","")</f>
        <v/>
      </c>
    </row>
    <row r="605" spans="1:33" ht="15.75" customHeight="1">
      <c r="A605" s="399" t="str">
        <f>IF(B605&lt;&gt;"",IF(AND(B605&gt;=_TM1,B605&lt;=_TM2,OR(TH!N605="1111",TH!O605="1111")),TH!D605,""),"")</f>
        <v/>
      </c>
      <c r="B605" s="63" t="str">
        <f t="shared" si="14"/>
        <v/>
      </c>
      <c r="C605" s="64"/>
      <c r="D605" s="64"/>
      <c r="E605" s="64"/>
      <c r="F605" s="67"/>
      <c r="G605" s="362"/>
      <c r="H605" s="75"/>
      <c r="I605" s="518"/>
      <c r="J605" s="518"/>
      <c r="K605" s="509"/>
      <c r="L605" s="518"/>
      <c r="M605" s="65"/>
      <c r="N605" s="66"/>
      <c r="O605" s="66"/>
      <c r="P605" s="87" t="str">
        <f>IF(AND('331-CT'!$E$7=TH!H605,OR(N605="331",O605="331")),"x","")</f>
        <v/>
      </c>
      <c r="Q605" s="87" t="str">
        <f>IF(AND(B605='111'!$L$11,OR($N605=$Q$7,$O605=$Q$7)),"x","")</f>
        <v/>
      </c>
      <c r="R605" s="87" t="str">
        <f>IF(AND($N605=$Q$7,$B605&lt;'111'!$L$11),"x","")</f>
        <v/>
      </c>
      <c r="S605" s="87" t="str">
        <f>IF(AND($O605=$Q$7,$B605&lt;'111'!$L$11),"x","")</f>
        <v/>
      </c>
      <c r="T605" s="87" t="str">
        <f>IF(ISERROR(FIND('112'!$M$9,G605,1)),"",IF((AND(FIND('112'!$M$9,G605,1)&gt;=1,B605='112'!$K$9,OR($N605='112'!$I$6,$O605='112'!$I$6))),"x",""))</f>
        <v/>
      </c>
      <c r="U605" s="87" t="str">
        <f>IF(ISERROR(FIND('112'!$M$9,G605,1)),"",IF((AND(FIND('112'!$M$9,G605,1)&gt;=1,B605&lt;'112'!$K$9,$N605='112'!$I$6)),"x",""))</f>
        <v/>
      </c>
      <c r="V605" s="87" t="str">
        <f>IF(ISERROR(FIND('112'!$M$9,G605,1)),"",IF((AND(FIND('112'!$M$9,G605,1)&gt;=1,B605&lt;'112'!$K$9,$O605='112'!$I$6)),"x",""))</f>
        <v/>
      </c>
      <c r="W605" s="87" t="str">
        <f>IF(AND($B605&gt;='1331'!$I$9,$B605&lt;='1331'!$J$9,OR($N605=$W$7,$O605=$W$7)),"x","")</f>
        <v/>
      </c>
      <c r="X605" s="87" t="str">
        <f>IF(AND($N605=$W$7,$B605&lt;'1331'!$I$9),"x","")</f>
        <v/>
      </c>
      <c r="Y605" s="87" t="str">
        <f>IF(AND($O605=$W$7,$B605&lt;'1331'!$I$9),"x","")</f>
        <v/>
      </c>
      <c r="Z605" s="87" t="str">
        <f>IF(AND('341-CT'!$H$9=H605,OR(LEFT(N605,3)=$Z$7,LEFT(O605,3)=$Z$7)),"x","")</f>
        <v/>
      </c>
      <c r="AA605" s="87" t="str">
        <f>IF(OR(TH!N605=TH!$AA$7,O605=TH!$AA$7),"x","")</f>
        <v/>
      </c>
      <c r="AB605" s="87" t="str">
        <f>IF(AND(OR(N605="131",O605="131"),H605='131-CT'!$H$9),"x","")</f>
        <v/>
      </c>
      <c r="AC605" s="87"/>
      <c r="AD605" s="87" t="str">
        <f>IF(AND(MONTH(E605)='IN-NX'!$J$5,'IN-NX'!$D$7=D605),"x","")</f>
        <v/>
      </c>
      <c r="AE605" s="87" t="str">
        <f>IF(AND(OR(LEFT(TH!N605,2)="15",LEFT(TH!O605,2)="15"),'152-CT'!$J$8=TH!F605),"x","")</f>
        <v/>
      </c>
      <c r="AF605" s="87" t="str">
        <f>IF(AND(OR(LEFT(TH!N605,2)="15",LEFT(TH!O605,2)="15"),'THE KHO'!$E$7=TH!F605),"x","")</f>
        <v/>
      </c>
      <c r="AG605" s="87" t="str">
        <f>IF(AND(N605="1521",MONTH(C605)='BK NL'!$M$11),"x","")</f>
        <v/>
      </c>
    </row>
    <row r="606" spans="1:33" ht="15.75" customHeight="1">
      <c r="A606" s="399" t="str">
        <f>IF(B606&lt;&gt;"",IF(AND(B606&gt;=_TM1,B606&lt;=_TM2,OR(TH!N606="1111",TH!O606="1111")),TH!D606,""),"")</f>
        <v/>
      </c>
      <c r="B606" s="63" t="str">
        <f t="shared" si="14"/>
        <v/>
      </c>
      <c r="C606" s="64"/>
      <c r="D606" s="64"/>
      <c r="E606" s="64"/>
      <c r="F606" s="67"/>
      <c r="G606" s="362"/>
      <c r="H606" s="75"/>
      <c r="I606" s="518"/>
      <c r="J606" s="518"/>
      <c r="K606" s="509"/>
      <c r="L606" s="518"/>
      <c r="M606" s="65"/>
      <c r="N606" s="66"/>
      <c r="O606" s="66"/>
      <c r="P606" s="87" t="str">
        <f>IF(AND('331-CT'!$E$7=TH!H606,OR(N606="331",O606="331")),"x","")</f>
        <v/>
      </c>
      <c r="Q606" s="87" t="str">
        <f>IF(AND(B606='111'!$L$11,OR($N606=$Q$7,$O606=$Q$7)),"x","")</f>
        <v/>
      </c>
      <c r="R606" s="87" t="str">
        <f>IF(AND($N606=$Q$7,$B606&lt;'111'!$L$11),"x","")</f>
        <v/>
      </c>
      <c r="S606" s="87" t="str">
        <f>IF(AND($O606=$Q$7,$B606&lt;'111'!$L$11),"x","")</f>
        <v/>
      </c>
      <c r="T606" s="87" t="str">
        <f>IF(ISERROR(FIND('112'!$M$9,G606,1)),"",IF((AND(FIND('112'!$M$9,G606,1)&gt;=1,B606='112'!$K$9,OR($N606='112'!$I$6,$O606='112'!$I$6))),"x",""))</f>
        <v/>
      </c>
      <c r="U606" s="87" t="str">
        <f>IF(ISERROR(FIND('112'!$M$9,G606,1)),"",IF((AND(FIND('112'!$M$9,G606,1)&gt;=1,B606&lt;'112'!$K$9,$N606='112'!$I$6)),"x",""))</f>
        <v/>
      </c>
      <c r="V606" s="87" t="str">
        <f>IF(ISERROR(FIND('112'!$M$9,G606,1)),"",IF((AND(FIND('112'!$M$9,G606,1)&gt;=1,B606&lt;'112'!$K$9,$O606='112'!$I$6)),"x",""))</f>
        <v/>
      </c>
      <c r="W606" s="87" t="str">
        <f>IF(AND($B606&gt;='1331'!$I$9,$B606&lt;='1331'!$J$9,OR($N606=$W$7,$O606=$W$7)),"x","")</f>
        <v/>
      </c>
      <c r="X606" s="87" t="str">
        <f>IF(AND($N606=$W$7,$B606&lt;'1331'!$I$9),"x","")</f>
        <v/>
      </c>
      <c r="Y606" s="87" t="str">
        <f>IF(AND($O606=$W$7,$B606&lt;'1331'!$I$9),"x","")</f>
        <v/>
      </c>
      <c r="Z606" s="87" t="str">
        <f>IF(AND('341-CT'!$H$9=H606,OR(LEFT(N606,3)=$Z$7,LEFT(O606,3)=$Z$7)),"x","")</f>
        <v/>
      </c>
      <c r="AA606" s="87" t="str">
        <f>IF(OR(TH!N606=TH!$AA$7,O606=TH!$AA$7),"x","")</f>
        <v/>
      </c>
      <c r="AB606" s="87" t="str">
        <f>IF(AND(OR(N606="131",O606="131"),H606='131-CT'!$H$9),"x","")</f>
        <v/>
      </c>
      <c r="AC606" s="87"/>
      <c r="AD606" s="87" t="str">
        <f>IF(AND(MONTH(E606)='IN-NX'!$J$5,'IN-NX'!$D$7=D606),"x","")</f>
        <v/>
      </c>
      <c r="AE606" s="87" t="str">
        <f>IF(AND(OR(LEFT(TH!N606,2)="15",LEFT(TH!O606,2)="15"),'152-CT'!$J$8=TH!F606),"x","")</f>
        <v/>
      </c>
      <c r="AF606" s="87" t="str">
        <f>IF(AND(OR(LEFT(TH!N606,2)="15",LEFT(TH!O606,2)="15"),'THE KHO'!$E$7=TH!F606),"x","")</f>
        <v/>
      </c>
      <c r="AG606" s="87" t="str">
        <f>IF(AND(N606="1521",MONTH(C606)='BK NL'!$M$11),"x","")</f>
        <v/>
      </c>
    </row>
    <row r="607" spans="1:33" ht="15.75" customHeight="1">
      <c r="A607" s="399" t="str">
        <f>IF(B607&lt;&gt;"",IF(AND(B607&gt;=_TM1,B607&lt;=_TM2,OR(TH!N607="1111",TH!O607="1111")),TH!D607,""),"")</f>
        <v/>
      </c>
      <c r="B607" s="63" t="str">
        <f t="shared" si="14"/>
        <v/>
      </c>
      <c r="C607" s="64"/>
      <c r="D607" s="64"/>
      <c r="E607" s="64"/>
      <c r="F607" s="67"/>
      <c r="G607" s="376"/>
      <c r="H607" s="75"/>
      <c r="I607" s="518"/>
      <c r="J607" s="518"/>
      <c r="K607" s="509"/>
      <c r="L607" s="518"/>
      <c r="M607" s="65"/>
      <c r="N607" s="66"/>
      <c r="O607" s="66"/>
      <c r="P607" s="87" t="str">
        <f>IF(AND('331-CT'!$E$7=TH!H607,OR(N607="331",O607="331")),"x","")</f>
        <v/>
      </c>
      <c r="Q607" s="87" t="str">
        <f>IF(AND(B607='111'!$L$11,OR($N607=$Q$7,$O607=$Q$7)),"x","")</f>
        <v/>
      </c>
      <c r="R607" s="87" t="str">
        <f>IF(AND($N607=$Q$7,$B607&lt;'111'!$L$11),"x","")</f>
        <v/>
      </c>
      <c r="S607" s="87" t="str">
        <f>IF(AND($O607=$Q$7,$B607&lt;'111'!$L$11),"x","")</f>
        <v/>
      </c>
      <c r="T607" s="87" t="str">
        <f>IF(ISERROR(FIND('112'!$M$9,G607,1)),"",IF((AND(FIND('112'!$M$9,G607,1)&gt;=1,B607='112'!$K$9,OR($N607='112'!$I$6,$O607='112'!$I$6))),"x",""))</f>
        <v/>
      </c>
      <c r="U607" s="87" t="str">
        <f>IF(ISERROR(FIND('112'!$M$9,G607,1)),"",IF((AND(FIND('112'!$M$9,G607,1)&gt;=1,B607&lt;'112'!$K$9,$N607='112'!$I$6)),"x",""))</f>
        <v/>
      </c>
      <c r="V607" s="87" t="str">
        <f>IF(ISERROR(FIND('112'!$M$9,G607,1)),"",IF((AND(FIND('112'!$M$9,G607,1)&gt;=1,B607&lt;'112'!$K$9,$O607='112'!$I$6)),"x",""))</f>
        <v/>
      </c>
      <c r="W607" s="87" t="str">
        <f>IF(AND($B607&gt;='1331'!$I$9,$B607&lt;='1331'!$J$9,OR($N607=$W$7,$O607=$W$7)),"x","")</f>
        <v/>
      </c>
      <c r="X607" s="87" t="str">
        <f>IF(AND($N607=$W$7,$B607&lt;'1331'!$I$9),"x","")</f>
        <v/>
      </c>
      <c r="Y607" s="87" t="str">
        <f>IF(AND($O607=$W$7,$B607&lt;'1331'!$I$9),"x","")</f>
        <v/>
      </c>
      <c r="Z607" s="87" t="str">
        <f>IF(AND('341-CT'!$H$9=H607,OR(LEFT(N607,3)=$Z$7,LEFT(O607,3)=$Z$7)),"x","")</f>
        <v/>
      </c>
      <c r="AA607" s="87" t="str">
        <f>IF(OR(TH!N607=TH!$AA$7,O607=TH!$AA$7),"x","")</f>
        <v/>
      </c>
      <c r="AB607" s="87" t="str">
        <f>IF(AND(OR(N607="131",O607="131"),H607='131-CT'!$H$9),"x","")</f>
        <v/>
      </c>
      <c r="AC607" s="87"/>
      <c r="AD607" s="87" t="str">
        <f>IF(AND(MONTH(E607)='IN-NX'!$J$5,'IN-NX'!$D$7=D607),"x","")</f>
        <v/>
      </c>
      <c r="AE607" s="87" t="str">
        <f>IF(AND(OR(LEFT(TH!N607,2)="15",LEFT(TH!O607,2)="15"),'152-CT'!$J$8=TH!F607),"x","")</f>
        <v/>
      </c>
      <c r="AF607" s="87" t="str">
        <f>IF(AND(OR(LEFT(TH!N607,2)="15",LEFT(TH!O607,2)="15"),'THE KHO'!$E$7=TH!F607),"x","")</f>
        <v/>
      </c>
      <c r="AG607" s="87" t="str">
        <f>IF(AND(N607="1521",MONTH(C607)='BK NL'!$M$11),"x","")</f>
        <v/>
      </c>
    </row>
    <row r="608" spans="1:33" ht="15.75" customHeight="1">
      <c r="A608" s="399" t="str">
        <f>IF(B608&lt;&gt;"",IF(AND(B608&gt;=_TM1,B608&lt;=_TM2,OR(TH!N608="1111",TH!O608="1111")),TH!D608,""),"")</f>
        <v/>
      </c>
      <c r="B608" s="63" t="str">
        <f t="shared" si="14"/>
        <v/>
      </c>
      <c r="C608" s="64"/>
      <c r="D608" s="64"/>
      <c r="E608" s="64"/>
      <c r="F608" s="67"/>
      <c r="G608" s="376"/>
      <c r="H608" s="75"/>
      <c r="I608" s="518"/>
      <c r="J608" s="518"/>
      <c r="K608" s="509"/>
      <c r="L608" s="518"/>
      <c r="M608" s="65"/>
      <c r="N608" s="66"/>
      <c r="O608" s="66"/>
      <c r="P608" s="87" t="str">
        <f>IF(AND('331-CT'!$E$7=TH!H608,OR(N608="331",O608="331")),"x","")</f>
        <v/>
      </c>
      <c r="Q608" s="87" t="str">
        <f>IF(AND(B608='111'!$L$11,OR($N608=$Q$7,$O608=$Q$7)),"x","")</f>
        <v/>
      </c>
      <c r="R608" s="87" t="str">
        <f>IF(AND($N608=$Q$7,$B608&lt;'111'!$L$11),"x","")</f>
        <v/>
      </c>
      <c r="S608" s="87" t="str">
        <f>IF(AND($O608=$Q$7,$B608&lt;'111'!$L$11),"x","")</f>
        <v/>
      </c>
      <c r="T608" s="87" t="str">
        <f>IF(ISERROR(FIND('112'!$M$9,G608,1)),"",IF((AND(FIND('112'!$M$9,G608,1)&gt;=1,B608='112'!$K$9,OR($N608='112'!$I$6,$O608='112'!$I$6))),"x",""))</f>
        <v/>
      </c>
      <c r="U608" s="87" t="str">
        <f>IF(ISERROR(FIND('112'!$M$9,G608,1)),"",IF((AND(FIND('112'!$M$9,G608,1)&gt;=1,B608&lt;'112'!$K$9,$N608='112'!$I$6)),"x",""))</f>
        <v/>
      </c>
      <c r="V608" s="87" t="str">
        <f>IF(ISERROR(FIND('112'!$M$9,G608,1)),"",IF((AND(FIND('112'!$M$9,G608,1)&gt;=1,B608&lt;'112'!$K$9,$O608='112'!$I$6)),"x",""))</f>
        <v/>
      </c>
      <c r="W608" s="87" t="str">
        <f>IF(AND($B608&gt;='1331'!$I$9,$B608&lt;='1331'!$J$9,OR($N608=$W$7,$O608=$W$7)),"x","")</f>
        <v/>
      </c>
      <c r="X608" s="87" t="str">
        <f>IF(AND($N608=$W$7,$B608&lt;'1331'!$I$9),"x","")</f>
        <v/>
      </c>
      <c r="Y608" s="87" t="str">
        <f>IF(AND($O608=$W$7,$B608&lt;'1331'!$I$9),"x","")</f>
        <v/>
      </c>
      <c r="Z608" s="87" t="str">
        <f>IF(AND('341-CT'!$H$9=H608,OR(LEFT(N608,3)=$Z$7,LEFT(O608,3)=$Z$7)),"x","")</f>
        <v/>
      </c>
      <c r="AA608" s="87" t="str">
        <f>IF(OR(TH!N608=TH!$AA$7,O608=TH!$AA$7),"x","")</f>
        <v/>
      </c>
      <c r="AB608" s="87" t="str">
        <f>IF(AND(OR(N608="131",O608="131"),H608='131-CT'!$H$9),"x","")</f>
        <v/>
      </c>
      <c r="AC608" s="87"/>
      <c r="AD608" s="87" t="str">
        <f>IF(AND(MONTH(E608)='IN-NX'!$J$5,'IN-NX'!$D$7=D608),"x","")</f>
        <v/>
      </c>
      <c r="AE608" s="87" t="str">
        <f>IF(AND(OR(LEFT(TH!N608,2)="15",LEFT(TH!O608,2)="15"),'152-CT'!$J$8=TH!F608),"x","")</f>
        <v/>
      </c>
      <c r="AF608" s="87" t="str">
        <f>IF(AND(OR(LEFT(TH!N608,2)="15",LEFT(TH!O608,2)="15"),'THE KHO'!$E$7=TH!F608),"x","")</f>
        <v/>
      </c>
      <c r="AG608" s="87" t="str">
        <f>IF(AND(N608="1521",MONTH(C608)='BK NL'!$M$11),"x","")</f>
        <v/>
      </c>
    </row>
    <row r="609" spans="1:33" ht="15.75" customHeight="1">
      <c r="A609" s="399" t="str">
        <f>IF(B609&lt;&gt;"",IF(AND(B609&gt;=_TM1,B609&lt;=_TM2,OR(TH!N609="1111",TH!O609="1111")),TH!D609,""),"")</f>
        <v/>
      </c>
      <c r="B609" s="63" t="str">
        <f t="shared" si="14"/>
        <v/>
      </c>
      <c r="C609" s="64"/>
      <c r="D609" s="64"/>
      <c r="E609" s="64"/>
      <c r="F609" s="67"/>
      <c r="G609" s="376"/>
      <c r="H609" s="75"/>
      <c r="I609" s="518"/>
      <c r="J609" s="518"/>
      <c r="K609" s="509"/>
      <c r="L609" s="518"/>
      <c r="M609" s="65"/>
      <c r="N609" s="366"/>
      <c r="O609" s="66"/>
      <c r="P609" s="87" t="str">
        <f>IF(AND('331-CT'!$E$7=TH!H609,OR(N609="331",O609="331")),"x","")</f>
        <v/>
      </c>
      <c r="Q609" s="87" t="str">
        <f>IF(AND(B609='111'!$L$11,OR($N609=$Q$7,$O609=$Q$7)),"x","")</f>
        <v/>
      </c>
      <c r="R609" s="87" t="str">
        <f>IF(AND($N609=$Q$7,$B609&lt;'111'!$L$11),"x","")</f>
        <v/>
      </c>
      <c r="S609" s="87" t="str">
        <f>IF(AND($O609=$Q$7,$B609&lt;'111'!$L$11),"x","")</f>
        <v/>
      </c>
      <c r="T609" s="87" t="str">
        <f>IF(ISERROR(FIND('112'!$M$9,G609,1)),"",IF((AND(FIND('112'!$M$9,G609,1)&gt;=1,B609='112'!$K$9,OR($N609='112'!$I$6,$O609='112'!$I$6))),"x",""))</f>
        <v/>
      </c>
      <c r="U609" s="87" t="str">
        <f>IF(ISERROR(FIND('112'!$M$9,G609,1)),"",IF((AND(FIND('112'!$M$9,G609,1)&gt;=1,B609&lt;'112'!$K$9,$N609='112'!$I$6)),"x",""))</f>
        <v/>
      </c>
      <c r="V609" s="87" t="str">
        <f>IF(ISERROR(FIND('112'!$M$9,G609,1)),"",IF((AND(FIND('112'!$M$9,G609,1)&gt;=1,B609&lt;'112'!$K$9,$O609='112'!$I$6)),"x",""))</f>
        <v/>
      </c>
      <c r="W609" s="87" t="str">
        <f>IF(AND($B609&gt;='1331'!$I$9,$B609&lt;='1331'!$J$9,OR($N609=$W$7,$O609=$W$7)),"x","")</f>
        <v/>
      </c>
      <c r="X609" s="87" t="str">
        <f>IF(AND($N609=$W$7,$B609&lt;'1331'!$I$9),"x","")</f>
        <v/>
      </c>
      <c r="Y609" s="87" t="str">
        <f>IF(AND($O609=$W$7,$B609&lt;'1331'!$I$9),"x","")</f>
        <v/>
      </c>
      <c r="Z609" s="87" t="str">
        <f>IF(AND('341-CT'!$H$9=H609,OR(LEFT(N609,3)=$Z$7,LEFT(O609,3)=$Z$7)),"x","")</f>
        <v/>
      </c>
      <c r="AA609" s="87" t="str">
        <f>IF(OR(TH!N609=TH!$AA$7,O609=TH!$AA$7),"x","")</f>
        <v/>
      </c>
      <c r="AB609" s="87" t="str">
        <f>IF(AND(OR(N609="131",O609="131"),H609='131-CT'!$H$9),"x","")</f>
        <v/>
      </c>
      <c r="AC609" s="87"/>
      <c r="AD609" s="87" t="str">
        <f>IF(AND(MONTH(E609)='IN-NX'!$J$5,'IN-NX'!$D$7=D609),"x","")</f>
        <v/>
      </c>
      <c r="AE609" s="87" t="str">
        <f>IF(AND(OR(LEFT(TH!N609,2)="15",LEFT(TH!O609,2)="15"),'152-CT'!$J$8=TH!F609),"x","")</f>
        <v/>
      </c>
      <c r="AF609" s="87" t="str">
        <f>IF(AND(OR(LEFT(TH!N609,2)="15",LEFT(TH!O609,2)="15"),'THE KHO'!$E$7=TH!F609),"x","")</f>
        <v/>
      </c>
      <c r="AG609" s="87" t="str">
        <f>IF(AND(N609="1521",MONTH(C609)='BK NL'!$M$11),"x","")</f>
        <v/>
      </c>
    </row>
    <row r="610" spans="1:33" ht="15.75" customHeight="1">
      <c r="A610" s="399" t="str">
        <f>IF(B610&lt;&gt;"",IF(AND(B610&gt;=_TM1,B610&lt;=_TM2,OR(TH!N610="1111",TH!O610="1111")),TH!D610,""),"")</f>
        <v/>
      </c>
      <c r="B610" s="63" t="str">
        <f t="shared" si="14"/>
        <v/>
      </c>
      <c r="C610" s="64"/>
      <c r="D610" s="64"/>
      <c r="E610" s="64"/>
      <c r="F610" s="67"/>
      <c r="G610" s="376"/>
      <c r="H610" s="75"/>
      <c r="I610" s="518"/>
      <c r="J610" s="518"/>
      <c r="K610" s="509"/>
      <c r="L610" s="518"/>
      <c r="M610" s="65"/>
      <c r="N610" s="366"/>
      <c r="O610" s="66"/>
      <c r="P610" s="87" t="str">
        <f>IF(AND('331-CT'!$E$7=TH!H610,OR(N610="331",O610="331")),"x","")</f>
        <v/>
      </c>
      <c r="Q610" s="87" t="str">
        <f>IF(AND(B610='111'!$L$11,OR($N610=$Q$7,$O610=$Q$7)),"x","")</f>
        <v/>
      </c>
      <c r="R610" s="87" t="str">
        <f>IF(AND($N610=$Q$7,$B610&lt;'111'!$L$11),"x","")</f>
        <v/>
      </c>
      <c r="S610" s="87" t="str">
        <f>IF(AND($O610=$Q$7,$B610&lt;'111'!$L$11),"x","")</f>
        <v/>
      </c>
      <c r="T610" s="87" t="str">
        <f>IF(ISERROR(FIND('112'!$M$9,G610,1)),"",IF((AND(FIND('112'!$M$9,G610,1)&gt;=1,B610='112'!$K$9,OR($N610='112'!$I$6,$O610='112'!$I$6))),"x",""))</f>
        <v/>
      </c>
      <c r="U610" s="87" t="str">
        <f>IF(ISERROR(FIND('112'!$M$9,G610,1)),"",IF((AND(FIND('112'!$M$9,G610,1)&gt;=1,B610&lt;'112'!$K$9,$N610='112'!$I$6)),"x",""))</f>
        <v/>
      </c>
      <c r="V610" s="87" t="str">
        <f>IF(ISERROR(FIND('112'!$M$9,G610,1)),"",IF((AND(FIND('112'!$M$9,G610,1)&gt;=1,B610&lt;'112'!$K$9,$O610='112'!$I$6)),"x",""))</f>
        <v/>
      </c>
      <c r="W610" s="87" t="str">
        <f>IF(AND($B610&gt;='1331'!$I$9,$B610&lt;='1331'!$J$9,OR($N610=$W$7,$O610=$W$7)),"x","")</f>
        <v/>
      </c>
      <c r="X610" s="87" t="str">
        <f>IF(AND($N610=$W$7,$B610&lt;'1331'!$I$9),"x","")</f>
        <v/>
      </c>
      <c r="Y610" s="87" t="str">
        <f>IF(AND($O610=$W$7,$B610&lt;'1331'!$I$9),"x","")</f>
        <v/>
      </c>
      <c r="Z610" s="87" t="str">
        <f>IF(AND('341-CT'!$H$9=H610,OR(LEFT(N610,3)=$Z$7,LEFT(O610,3)=$Z$7)),"x","")</f>
        <v/>
      </c>
      <c r="AA610" s="87" t="str">
        <f>IF(OR(TH!N610=TH!$AA$7,O610=TH!$AA$7),"x","")</f>
        <v/>
      </c>
      <c r="AB610" s="87" t="str">
        <f>IF(AND(OR(N610="131",O610="131"),H610='131-CT'!$H$9),"x","")</f>
        <v/>
      </c>
      <c r="AC610" s="87"/>
      <c r="AD610" s="87" t="str">
        <f>IF(AND(MONTH(E610)='IN-NX'!$J$5,'IN-NX'!$D$7=D610),"x","")</f>
        <v/>
      </c>
      <c r="AE610" s="87" t="str">
        <f>IF(AND(OR(LEFT(TH!N610,2)="15",LEFT(TH!O610,2)="15"),'152-CT'!$J$8=TH!F610),"x","")</f>
        <v/>
      </c>
      <c r="AF610" s="87" t="str">
        <f>IF(AND(OR(LEFT(TH!N610,2)="15",LEFT(TH!O610,2)="15"),'THE KHO'!$E$7=TH!F610),"x","")</f>
        <v/>
      </c>
      <c r="AG610" s="87" t="str">
        <f>IF(AND(N610="1521",MONTH(C610)='BK NL'!$M$11),"x","")</f>
        <v/>
      </c>
    </row>
    <row r="611" spans="1:33" ht="15.75" customHeight="1">
      <c r="A611" s="399" t="str">
        <f>IF(B611&lt;&gt;"",IF(AND(B611&gt;=_TM1,B611&lt;=_TM2,OR(TH!N611="1111",TH!O611="1111")),TH!D611,""),"")</f>
        <v/>
      </c>
      <c r="B611" s="63" t="str">
        <f t="shared" si="14"/>
        <v/>
      </c>
      <c r="C611" s="64"/>
      <c r="D611" s="64"/>
      <c r="E611" s="64"/>
      <c r="F611" s="67"/>
      <c r="G611" s="376"/>
      <c r="H611" s="75"/>
      <c r="I611" s="518"/>
      <c r="J611" s="518"/>
      <c r="K611" s="509"/>
      <c r="L611" s="518"/>
      <c r="M611" s="65"/>
      <c r="N611" s="66"/>
      <c r="O611" s="66"/>
      <c r="P611" s="87" t="str">
        <f>IF(AND('331-CT'!$E$7=TH!H611,OR(N611="331",O611="331")),"x","")</f>
        <v/>
      </c>
      <c r="Q611" s="87" t="str">
        <f>IF(AND(B611='111'!$L$11,OR($N611=$Q$7,$O611=$Q$7)),"x","")</f>
        <v/>
      </c>
      <c r="R611" s="87" t="str">
        <f>IF(AND($N611=$Q$7,$B611&lt;'111'!$L$11),"x","")</f>
        <v/>
      </c>
      <c r="S611" s="87" t="str">
        <f>IF(AND($O611=$Q$7,$B611&lt;'111'!$L$11),"x","")</f>
        <v/>
      </c>
      <c r="T611" s="87" t="str">
        <f>IF(ISERROR(FIND('112'!$M$9,G611,1)),"",IF((AND(FIND('112'!$M$9,G611,1)&gt;=1,B611='112'!$K$9,OR($N611='112'!$I$6,$O611='112'!$I$6))),"x",""))</f>
        <v/>
      </c>
      <c r="U611" s="87" t="str">
        <f>IF(ISERROR(FIND('112'!$M$9,G611,1)),"",IF((AND(FIND('112'!$M$9,G611,1)&gt;=1,B611&lt;'112'!$K$9,$N611='112'!$I$6)),"x",""))</f>
        <v/>
      </c>
      <c r="V611" s="87" t="str">
        <f>IF(ISERROR(FIND('112'!$M$9,G611,1)),"",IF((AND(FIND('112'!$M$9,G611,1)&gt;=1,B611&lt;'112'!$K$9,$O611='112'!$I$6)),"x",""))</f>
        <v/>
      </c>
      <c r="W611" s="87" t="str">
        <f>IF(AND($B611&gt;='1331'!$I$9,$B611&lt;='1331'!$J$9,OR($N611=$W$7,$O611=$W$7)),"x","")</f>
        <v/>
      </c>
      <c r="X611" s="87" t="str">
        <f>IF(AND($N611=$W$7,$B611&lt;'1331'!$I$9),"x","")</f>
        <v/>
      </c>
      <c r="Y611" s="87" t="str">
        <f>IF(AND($O611=$W$7,$B611&lt;'1331'!$I$9),"x","")</f>
        <v/>
      </c>
      <c r="Z611" s="87" t="str">
        <f>IF(AND('341-CT'!$H$9=H611,OR(LEFT(N611,3)=$Z$7,LEFT(O611,3)=$Z$7)),"x","")</f>
        <v/>
      </c>
      <c r="AA611" s="87" t="str">
        <f>IF(OR(TH!N611=TH!$AA$7,O611=TH!$AA$7),"x","")</f>
        <v/>
      </c>
      <c r="AB611" s="87" t="str">
        <f>IF(AND(OR(N611="131",O611="131"),H611='131-CT'!$H$9),"x","")</f>
        <v/>
      </c>
      <c r="AC611" s="87"/>
      <c r="AD611" s="87" t="str">
        <f>IF(AND(MONTH(E611)='IN-NX'!$J$5,'IN-NX'!$D$7=D611),"x","")</f>
        <v/>
      </c>
      <c r="AE611" s="87" t="str">
        <f>IF(AND(OR(LEFT(TH!N611,2)="15",LEFT(TH!O611,2)="15"),'152-CT'!$J$8=TH!F611),"x","")</f>
        <v/>
      </c>
      <c r="AF611" s="87" t="str">
        <f>IF(AND(OR(LEFT(TH!N611,2)="15",LEFT(TH!O611,2)="15"),'THE KHO'!$E$7=TH!F611),"x","")</f>
        <v/>
      </c>
      <c r="AG611" s="87" t="str">
        <f>IF(AND(N611="1521",MONTH(C611)='BK NL'!$M$11),"x","")</f>
        <v/>
      </c>
    </row>
    <row r="612" spans="1:33" ht="15.75" customHeight="1">
      <c r="A612" s="399" t="str">
        <f>IF(B612&lt;&gt;"",IF(AND(B612&gt;=_TM1,B612&lt;=_TM2,OR(TH!N612="1111",TH!O612="1111")),TH!D612,""),"")</f>
        <v/>
      </c>
      <c r="B612" s="63" t="str">
        <f t="shared" si="14"/>
        <v/>
      </c>
      <c r="C612" s="64"/>
      <c r="D612" s="64"/>
      <c r="E612" s="64"/>
      <c r="F612" s="67"/>
      <c r="G612" s="376"/>
      <c r="H612" s="75"/>
      <c r="I612" s="518"/>
      <c r="J612" s="518"/>
      <c r="K612" s="509"/>
      <c r="L612" s="518"/>
      <c r="M612" s="65"/>
      <c r="N612" s="66"/>
      <c r="O612" s="66"/>
      <c r="P612" s="87" t="str">
        <f>IF(AND('331-CT'!$E$7=TH!H612,OR(N612="331",O612="331")),"x","")</f>
        <v/>
      </c>
      <c r="Q612" s="87" t="str">
        <f>IF(AND(B612='111'!$L$11,OR($N612=$Q$7,$O612=$Q$7)),"x","")</f>
        <v/>
      </c>
      <c r="R612" s="87" t="str">
        <f>IF(AND($N612=$Q$7,$B612&lt;'111'!$L$11),"x","")</f>
        <v/>
      </c>
      <c r="S612" s="87" t="str">
        <f>IF(AND($O612=$Q$7,$B612&lt;'111'!$L$11),"x","")</f>
        <v/>
      </c>
      <c r="T612" s="87" t="str">
        <f>IF(ISERROR(FIND('112'!$M$9,G612,1)),"",IF((AND(FIND('112'!$M$9,G612,1)&gt;=1,B612='112'!$K$9,OR($N612='112'!$I$6,$O612='112'!$I$6))),"x",""))</f>
        <v/>
      </c>
      <c r="U612" s="87" t="str">
        <f>IF(ISERROR(FIND('112'!$M$9,G612,1)),"",IF((AND(FIND('112'!$M$9,G612,1)&gt;=1,B612&lt;'112'!$K$9,$N612='112'!$I$6)),"x",""))</f>
        <v/>
      </c>
      <c r="V612" s="87" t="str">
        <f>IF(ISERROR(FIND('112'!$M$9,G612,1)),"",IF((AND(FIND('112'!$M$9,G612,1)&gt;=1,B612&lt;'112'!$K$9,$O612='112'!$I$6)),"x",""))</f>
        <v/>
      </c>
      <c r="W612" s="87" t="str">
        <f>IF(AND($B612&gt;='1331'!$I$9,$B612&lt;='1331'!$J$9,OR($N612=$W$7,$O612=$W$7)),"x","")</f>
        <v/>
      </c>
      <c r="X612" s="87" t="str">
        <f>IF(AND($N612=$W$7,$B612&lt;'1331'!$I$9),"x","")</f>
        <v/>
      </c>
      <c r="Y612" s="87" t="str">
        <f>IF(AND($O612=$W$7,$B612&lt;'1331'!$I$9),"x","")</f>
        <v/>
      </c>
      <c r="Z612" s="87" t="str">
        <f>IF(AND('341-CT'!$H$9=H612,OR(LEFT(N612,3)=$Z$7,LEFT(O612,3)=$Z$7)),"x","")</f>
        <v/>
      </c>
      <c r="AA612" s="87" t="str">
        <f>IF(OR(TH!N612=TH!$AA$7,O612=TH!$AA$7),"x","")</f>
        <v/>
      </c>
      <c r="AB612" s="87" t="str">
        <f>IF(AND(OR(N612="131",O612="131"),H612='131-CT'!$H$9),"x","")</f>
        <v/>
      </c>
      <c r="AC612" s="87"/>
      <c r="AD612" s="87" t="str">
        <f>IF(AND(MONTH(E612)='IN-NX'!$J$5,'IN-NX'!$D$7=D612),"x","")</f>
        <v/>
      </c>
      <c r="AE612" s="87" t="str">
        <f>IF(AND(OR(LEFT(TH!N612,2)="15",LEFT(TH!O612,2)="15"),'152-CT'!$J$8=TH!F612),"x","")</f>
        <v/>
      </c>
      <c r="AF612" s="87" t="str">
        <f>IF(AND(OR(LEFT(TH!N612,2)="15",LEFT(TH!O612,2)="15"),'THE KHO'!$E$7=TH!F612),"x","")</f>
        <v/>
      </c>
      <c r="AG612" s="87" t="str">
        <f>IF(AND(N612="1521",MONTH(C612)='BK NL'!$M$11),"x","")</f>
        <v/>
      </c>
    </row>
    <row r="613" spans="1:33" ht="15.75" customHeight="1">
      <c r="A613" s="399" t="str">
        <f>IF(B613&lt;&gt;"",IF(AND(B613&gt;=_TM1,B613&lt;=_TM2,OR(TH!N613="1111",TH!O613="1111")),TH!D613,""),"")</f>
        <v/>
      </c>
      <c r="B613" s="63" t="str">
        <f t="shared" si="14"/>
        <v/>
      </c>
      <c r="C613" s="64"/>
      <c r="D613" s="64"/>
      <c r="E613" s="64"/>
      <c r="F613" s="67"/>
      <c r="G613" s="376"/>
      <c r="H613" s="75"/>
      <c r="I613" s="518"/>
      <c r="J613" s="518"/>
      <c r="K613" s="509"/>
      <c r="L613" s="518"/>
      <c r="M613" s="65"/>
      <c r="N613" s="66"/>
      <c r="O613" s="66"/>
      <c r="P613" s="87" t="str">
        <f>IF(AND('331-CT'!$E$7=TH!H613,OR(N613="331",O613="331")),"x","")</f>
        <v/>
      </c>
      <c r="Q613" s="87" t="str">
        <f>IF(AND(B613='111'!$L$11,OR($N613=$Q$7,$O613=$Q$7)),"x","")</f>
        <v/>
      </c>
      <c r="R613" s="87" t="str">
        <f>IF(AND($N613=$Q$7,$B613&lt;'111'!$L$11),"x","")</f>
        <v/>
      </c>
      <c r="S613" s="87" t="str">
        <f>IF(AND($O613=$Q$7,$B613&lt;'111'!$L$11),"x","")</f>
        <v/>
      </c>
      <c r="T613" s="87" t="str">
        <f>IF(ISERROR(FIND('112'!$M$9,G613,1)),"",IF((AND(FIND('112'!$M$9,G613,1)&gt;=1,B613='112'!$K$9,OR($N613='112'!$I$6,$O613='112'!$I$6))),"x",""))</f>
        <v/>
      </c>
      <c r="U613" s="87" t="str">
        <f>IF(ISERROR(FIND('112'!$M$9,G613,1)),"",IF((AND(FIND('112'!$M$9,G613,1)&gt;=1,B613&lt;'112'!$K$9,$N613='112'!$I$6)),"x",""))</f>
        <v/>
      </c>
      <c r="V613" s="87" t="str">
        <f>IF(ISERROR(FIND('112'!$M$9,G613,1)),"",IF((AND(FIND('112'!$M$9,G613,1)&gt;=1,B613&lt;'112'!$K$9,$O613='112'!$I$6)),"x",""))</f>
        <v/>
      </c>
      <c r="W613" s="87" t="str">
        <f>IF(AND($B613&gt;='1331'!$I$9,$B613&lt;='1331'!$J$9,OR($N613=$W$7,$O613=$W$7)),"x","")</f>
        <v/>
      </c>
      <c r="X613" s="87" t="str">
        <f>IF(AND($N613=$W$7,$B613&lt;'1331'!$I$9),"x","")</f>
        <v/>
      </c>
      <c r="Y613" s="87" t="str">
        <f>IF(AND($O613=$W$7,$B613&lt;'1331'!$I$9),"x","")</f>
        <v/>
      </c>
      <c r="Z613" s="87" t="str">
        <f>IF(AND('341-CT'!$H$9=H613,OR(LEFT(N613,3)=$Z$7,LEFT(O613,3)=$Z$7)),"x","")</f>
        <v/>
      </c>
      <c r="AA613" s="87" t="str">
        <f>IF(OR(TH!N613=TH!$AA$7,O613=TH!$AA$7),"x","")</f>
        <v/>
      </c>
      <c r="AB613" s="87" t="str">
        <f>IF(AND(OR(N613="131",O613="131"),H613='131-CT'!$H$9),"x","")</f>
        <v/>
      </c>
      <c r="AC613" s="87"/>
      <c r="AD613" s="87" t="str">
        <f>IF(AND(MONTH(E613)='IN-NX'!$J$5,'IN-NX'!$D$7=D613),"x","")</f>
        <v/>
      </c>
      <c r="AE613" s="87" t="str">
        <f>IF(AND(OR(LEFT(TH!N613,2)="15",LEFT(TH!O613,2)="15"),'152-CT'!$J$8=TH!F613),"x","")</f>
        <v/>
      </c>
      <c r="AF613" s="87" t="str">
        <f>IF(AND(OR(LEFT(TH!N613,2)="15",LEFT(TH!O613,2)="15"),'THE KHO'!$E$7=TH!F613),"x","")</f>
        <v/>
      </c>
      <c r="AG613" s="87" t="str">
        <f>IF(AND(N613="1521",MONTH(C613)='BK NL'!$M$11),"x","")</f>
        <v/>
      </c>
    </row>
    <row r="614" spans="1:33" ht="15.75" customHeight="1">
      <c r="A614" s="399" t="str">
        <f>IF(B614&lt;&gt;"",IF(AND(B614&gt;=_TM1,B614&lt;=_TM2,OR(TH!N614="1111",TH!O614="1111")),TH!D614,""),"")</f>
        <v/>
      </c>
      <c r="B614" s="63" t="str">
        <f t="shared" si="14"/>
        <v/>
      </c>
      <c r="C614" s="64"/>
      <c r="D614" s="64"/>
      <c r="E614" s="64"/>
      <c r="F614" s="67"/>
      <c r="G614" s="376"/>
      <c r="H614" s="75"/>
      <c r="I614" s="518"/>
      <c r="J614" s="518"/>
      <c r="K614" s="509"/>
      <c r="L614" s="518"/>
      <c r="M614" s="65"/>
      <c r="N614" s="66"/>
      <c r="O614" s="66"/>
      <c r="P614" s="87" t="str">
        <f>IF(AND('331-CT'!$E$7=TH!H614,OR(N614="331",O614="331")),"x","")</f>
        <v/>
      </c>
      <c r="Q614" s="87" t="str">
        <f>IF(AND(B614='111'!$L$11,OR($N614=$Q$7,$O614=$Q$7)),"x","")</f>
        <v/>
      </c>
      <c r="R614" s="87" t="str">
        <f>IF(AND($N614=$Q$7,$B614&lt;'111'!$L$11),"x","")</f>
        <v/>
      </c>
      <c r="S614" s="87" t="str">
        <f>IF(AND($O614=$Q$7,$B614&lt;'111'!$L$11),"x","")</f>
        <v/>
      </c>
      <c r="T614" s="87" t="str">
        <f>IF(ISERROR(FIND('112'!$M$9,G614,1)),"",IF((AND(FIND('112'!$M$9,G614,1)&gt;=1,B614='112'!$K$9,OR($N614='112'!$I$6,$O614='112'!$I$6))),"x",""))</f>
        <v/>
      </c>
      <c r="U614" s="87" t="str">
        <f>IF(ISERROR(FIND('112'!$M$9,G614,1)),"",IF((AND(FIND('112'!$M$9,G614,1)&gt;=1,B614&lt;'112'!$K$9,$N614='112'!$I$6)),"x",""))</f>
        <v/>
      </c>
      <c r="V614" s="87" t="str">
        <f>IF(ISERROR(FIND('112'!$M$9,G614,1)),"",IF((AND(FIND('112'!$M$9,G614,1)&gt;=1,B614&lt;'112'!$K$9,$O614='112'!$I$6)),"x",""))</f>
        <v/>
      </c>
      <c r="W614" s="87" t="str">
        <f>IF(AND($B614&gt;='1331'!$I$9,$B614&lt;='1331'!$J$9,OR($N614=$W$7,$O614=$W$7)),"x","")</f>
        <v/>
      </c>
      <c r="X614" s="87" t="str">
        <f>IF(AND($N614=$W$7,$B614&lt;'1331'!$I$9),"x","")</f>
        <v/>
      </c>
      <c r="Y614" s="87" t="str">
        <f>IF(AND($O614=$W$7,$B614&lt;'1331'!$I$9),"x","")</f>
        <v/>
      </c>
      <c r="Z614" s="87" t="str">
        <f>IF(AND('341-CT'!$H$9=H614,OR(LEFT(N614,3)=$Z$7,LEFT(O614,3)=$Z$7)),"x","")</f>
        <v/>
      </c>
      <c r="AA614" s="87" t="str">
        <f>IF(OR(TH!N614=TH!$AA$7,O614=TH!$AA$7),"x","")</f>
        <v/>
      </c>
      <c r="AB614" s="87" t="str">
        <f>IF(AND(OR(N614="131",O614="131"),H614='131-CT'!$H$9),"x","")</f>
        <v/>
      </c>
      <c r="AC614" s="87"/>
      <c r="AD614" s="87" t="str">
        <f>IF(AND(MONTH(E614)='IN-NX'!$J$5,'IN-NX'!$D$7=D614),"x","")</f>
        <v/>
      </c>
      <c r="AE614" s="87" t="str">
        <f>IF(AND(OR(LEFT(TH!N614,2)="15",LEFT(TH!O614,2)="15"),'152-CT'!$J$8=TH!F614),"x","")</f>
        <v/>
      </c>
      <c r="AF614" s="87" t="str">
        <f>IF(AND(OR(LEFT(TH!N614,2)="15",LEFT(TH!O614,2)="15"),'THE KHO'!$E$7=TH!F614),"x","")</f>
        <v/>
      </c>
      <c r="AG614" s="87" t="str">
        <f>IF(AND(N614="1521",MONTH(C614)='BK NL'!$M$11),"x","")</f>
        <v/>
      </c>
    </row>
    <row r="615" spans="1:33" ht="15.75" customHeight="1">
      <c r="A615" s="399" t="str">
        <f>IF(B615&lt;&gt;"",IF(AND(B615&gt;=_TM1,B615&lt;=_TM2,OR(TH!N615="1111",TH!O615="1111")),TH!D615,""),"")</f>
        <v/>
      </c>
      <c r="B615" s="63" t="str">
        <f t="shared" si="14"/>
        <v/>
      </c>
      <c r="C615" s="64"/>
      <c r="D615" s="64"/>
      <c r="E615" s="64"/>
      <c r="F615" s="67"/>
      <c r="G615" s="376"/>
      <c r="H615" s="75"/>
      <c r="I615" s="518"/>
      <c r="J615" s="518"/>
      <c r="K615" s="509"/>
      <c r="L615" s="518"/>
      <c r="M615" s="65"/>
      <c r="N615" s="66"/>
      <c r="O615" s="66"/>
      <c r="P615" s="87" t="str">
        <f>IF(AND('331-CT'!$E$7=TH!H615,OR(N615="331",O615="331")),"x","")</f>
        <v/>
      </c>
      <c r="Q615" s="87" t="str">
        <f>IF(AND(B615='111'!$L$11,OR($N615=$Q$7,$O615=$Q$7)),"x","")</f>
        <v/>
      </c>
      <c r="R615" s="87" t="str">
        <f>IF(AND($N615=$Q$7,$B615&lt;'111'!$L$11),"x","")</f>
        <v/>
      </c>
      <c r="S615" s="87" t="str">
        <f>IF(AND($O615=$Q$7,$B615&lt;'111'!$L$11),"x","")</f>
        <v/>
      </c>
      <c r="T615" s="87" t="str">
        <f>IF(ISERROR(FIND('112'!$M$9,G615,1)),"",IF((AND(FIND('112'!$M$9,G615,1)&gt;=1,B615='112'!$K$9,OR($N615='112'!$I$6,$O615='112'!$I$6))),"x",""))</f>
        <v/>
      </c>
      <c r="U615" s="87" t="str">
        <f>IF(ISERROR(FIND('112'!$M$9,G615,1)),"",IF((AND(FIND('112'!$M$9,G615,1)&gt;=1,B615&lt;'112'!$K$9,$N615='112'!$I$6)),"x",""))</f>
        <v/>
      </c>
      <c r="V615" s="87" t="str">
        <f>IF(ISERROR(FIND('112'!$M$9,G615,1)),"",IF((AND(FIND('112'!$M$9,G615,1)&gt;=1,B615&lt;'112'!$K$9,$O615='112'!$I$6)),"x",""))</f>
        <v/>
      </c>
      <c r="W615" s="87" t="str">
        <f>IF(AND($B615&gt;='1331'!$I$9,$B615&lt;='1331'!$J$9,OR($N615=$W$7,$O615=$W$7)),"x","")</f>
        <v/>
      </c>
      <c r="X615" s="87" t="str">
        <f>IF(AND($N615=$W$7,$B615&lt;'1331'!$I$9),"x","")</f>
        <v/>
      </c>
      <c r="Y615" s="87" t="str">
        <f>IF(AND($O615=$W$7,$B615&lt;'1331'!$I$9),"x","")</f>
        <v/>
      </c>
      <c r="Z615" s="87" t="str">
        <f>IF(AND('341-CT'!$H$9=H615,OR(LEFT(N615,3)=$Z$7,LEFT(O615,3)=$Z$7)),"x","")</f>
        <v/>
      </c>
      <c r="AA615" s="87" t="str">
        <f>IF(OR(TH!N615=TH!$AA$7,O615=TH!$AA$7),"x","")</f>
        <v/>
      </c>
      <c r="AB615" s="87" t="str">
        <f>IF(AND(OR(N615="131",O615="131"),H615='131-CT'!$H$9),"x","")</f>
        <v/>
      </c>
      <c r="AC615" s="87"/>
      <c r="AD615" s="87" t="str">
        <f>IF(AND(MONTH(E615)='IN-NX'!$J$5,'IN-NX'!$D$7=D615),"x","")</f>
        <v/>
      </c>
      <c r="AE615" s="87" t="str">
        <f>IF(AND(OR(LEFT(TH!N615,2)="15",LEFT(TH!O615,2)="15"),'152-CT'!$J$8=TH!F615),"x","")</f>
        <v/>
      </c>
      <c r="AF615" s="87" t="str">
        <f>IF(AND(OR(LEFT(TH!N615,2)="15",LEFT(TH!O615,2)="15"),'THE KHO'!$E$7=TH!F615),"x","")</f>
        <v/>
      </c>
      <c r="AG615" s="87" t="str">
        <f>IF(AND(N615="1521",MONTH(C615)='BK NL'!$M$11),"x","")</f>
        <v/>
      </c>
    </row>
    <row r="616" spans="1:33" ht="15.75" customHeight="1">
      <c r="A616" s="399" t="str">
        <f>IF(B616&lt;&gt;"",IF(AND(B616&gt;=_TM1,B616&lt;=_TM2,OR(TH!N616="1111",TH!O616="1111")),TH!D616,""),"")</f>
        <v/>
      </c>
      <c r="B616" s="63" t="str">
        <f t="shared" si="14"/>
        <v/>
      </c>
      <c r="C616" s="64"/>
      <c r="D616" s="64"/>
      <c r="E616" s="64"/>
      <c r="F616" s="67"/>
      <c r="G616" s="376"/>
      <c r="H616" s="75"/>
      <c r="I616" s="518"/>
      <c r="J616" s="518"/>
      <c r="K616" s="509"/>
      <c r="L616" s="518"/>
      <c r="M616" s="65"/>
      <c r="N616" s="66"/>
      <c r="O616" s="66"/>
      <c r="P616" s="87" t="str">
        <f>IF(AND('331-CT'!$E$7=TH!H616,OR(N616="331",O616="331")),"x","")</f>
        <v/>
      </c>
      <c r="Q616" s="87" t="str">
        <f>IF(AND(B616='111'!$L$11,OR($N616=$Q$7,$O616=$Q$7)),"x","")</f>
        <v/>
      </c>
      <c r="R616" s="87" t="str">
        <f>IF(AND($N616=$Q$7,$B616&lt;'111'!$L$11),"x","")</f>
        <v/>
      </c>
      <c r="S616" s="87" t="str">
        <f>IF(AND($O616=$Q$7,$B616&lt;'111'!$L$11),"x","")</f>
        <v/>
      </c>
      <c r="T616" s="87" t="str">
        <f>IF(ISERROR(FIND('112'!$M$9,G616,1)),"",IF((AND(FIND('112'!$M$9,G616,1)&gt;=1,B616='112'!$K$9,OR($N616='112'!$I$6,$O616='112'!$I$6))),"x",""))</f>
        <v/>
      </c>
      <c r="U616" s="87" t="str">
        <f>IF(ISERROR(FIND('112'!$M$9,G616,1)),"",IF((AND(FIND('112'!$M$9,G616,1)&gt;=1,B616&lt;'112'!$K$9,$N616='112'!$I$6)),"x",""))</f>
        <v/>
      </c>
      <c r="V616" s="87" t="str">
        <f>IF(ISERROR(FIND('112'!$M$9,G616,1)),"",IF((AND(FIND('112'!$M$9,G616,1)&gt;=1,B616&lt;'112'!$K$9,$O616='112'!$I$6)),"x",""))</f>
        <v/>
      </c>
      <c r="W616" s="87" t="str">
        <f>IF(AND($B616&gt;='1331'!$I$9,$B616&lt;='1331'!$J$9,OR($N616=$W$7,$O616=$W$7)),"x","")</f>
        <v/>
      </c>
      <c r="X616" s="87" t="str">
        <f>IF(AND($N616=$W$7,$B616&lt;'1331'!$I$9),"x","")</f>
        <v/>
      </c>
      <c r="Y616" s="87" t="str">
        <f>IF(AND($O616=$W$7,$B616&lt;'1331'!$I$9),"x","")</f>
        <v/>
      </c>
      <c r="Z616" s="87" t="str">
        <f>IF(AND('341-CT'!$H$9=H616,OR(LEFT(N616,3)=$Z$7,LEFT(O616,3)=$Z$7)),"x","")</f>
        <v/>
      </c>
      <c r="AA616" s="87" t="str">
        <f>IF(OR(TH!N616=TH!$AA$7,O616=TH!$AA$7),"x","")</f>
        <v/>
      </c>
      <c r="AB616" s="87" t="str">
        <f>IF(AND(OR(N616="131",O616="131"),H616='131-CT'!$H$9),"x","")</f>
        <v/>
      </c>
      <c r="AC616" s="87"/>
      <c r="AD616" s="87" t="str">
        <f>IF(AND(MONTH(E616)='IN-NX'!$J$5,'IN-NX'!$D$7=D616),"x","")</f>
        <v/>
      </c>
      <c r="AE616" s="87" t="str">
        <f>IF(AND(OR(LEFT(TH!N616,2)="15",LEFT(TH!O616,2)="15"),'152-CT'!$J$8=TH!F616),"x","")</f>
        <v/>
      </c>
      <c r="AF616" s="87" t="str">
        <f>IF(AND(OR(LEFT(TH!N616,2)="15",LEFT(TH!O616,2)="15"),'THE KHO'!$E$7=TH!F616),"x","")</f>
        <v/>
      </c>
      <c r="AG616" s="87" t="str">
        <f>IF(AND(N616="1521",MONTH(C616)='BK NL'!$M$11),"x","")</f>
        <v/>
      </c>
    </row>
    <row r="617" spans="1:33" ht="15.75" customHeight="1">
      <c r="A617" s="399" t="str">
        <f>IF(B617&lt;&gt;"",IF(AND(B617&gt;=_TM1,B617&lt;=_TM2,OR(TH!N617="1111",TH!O617="1111")),TH!D617,""),"")</f>
        <v/>
      </c>
      <c r="B617" s="63" t="str">
        <f t="shared" si="14"/>
        <v/>
      </c>
      <c r="C617" s="64"/>
      <c r="D617" s="64"/>
      <c r="E617" s="64"/>
      <c r="F617" s="67"/>
      <c r="G617" s="376"/>
      <c r="H617" s="75"/>
      <c r="I617" s="518"/>
      <c r="J617" s="518"/>
      <c r="K617" s="509"/>
      <c r="L617" s="518"/>
      <c r="M617" s="65"/>
      <c r="N617" s="66"/>
      <c r="O617" s="66"/>
      <c r="P617" s="87" t="str">
        <f>IF(AND('331-CT'!$E$7=TH!H617,OR(N617="331",O617="331")),"x","")</f>
        <v/>
      </c>
      <c r="Q617" s="87" t="str">
        <f>IF(AND(B617='111'!$L$11,OR($N617=$Q$7,$O617=$Q$7)),"x","")</f>
        <v/>
      </c>
      <c r="R617" s="87" t="str">
        <f>IF(AND($N617=$Q$7,$B617&lt;'111'!$L$11),"x","")</f>
        <v/>
      </c>
      <c r="S617" s="87" t="str">
        <f>IF(AND($O617=$Q$7,$B617&lt;'111'!$L$11),"x","")</f>
        <v/>
      </c>
      <c r="T617" s="87" t="str">
        <f>IF(ISERROR(FIND('112'!$M$9,G617,1)),"",IF((AND(FIND('112'!$M$9,G617,1)&gt;=1,B617='112'!$K$9,OR($N617='112'!$I$6,$O617='112'!$I$6))),"x",""))</f>
        <v/>
      </c>
      <c r="U617" s="87" t="str">
        <f>IF(ISERROR(FIND('112'!$M$9,G617,1)),"",IF((AND(FIND('112'!$M$9,G617,1)&gt;=1,B617&lt;'112'!$K$9,$N617='112'!$I$6)),"x",""))</f>
        <v/>
      </c>
      <c r="V617" s="87" t="str">
        <f>IF(ISERROR(FIND('112'!$M$9,G617,1)),"",IF((AND(FIND('112'!$M$9,G617,1)&gt;=1,B617&lt;'112'!$K$9,$O617='112'!$I$6)),"x",""))</f>
        <v/>
      </c>
      <c r="W617" s="87" t="str">
        <f>IF(AND($B617&gt;='1331'!$I$9,$B617&lt;='1331'!$J$9,OR($N617=$W$7,$O617=$W$7)),"x","")</f>
        <v/>
      </c>
      <c r="X617" s="87" t="str">
        <f>IF(AND($N617=$W$7,$B617&lt;'1331'!$I$9),"x","")</f>
        <v/>
      </c>
      <c r="Y617" s="87" t="str">
        <f>IF(AND($O617=$W$7,$B617&lt;'1331'!$I$9),"x","")</f>
        <v/>
      </c>
      <c r="Z617" s="87" t="str">
        <f>IF(AND('341-CT'!$H$9=H617,OR(LEFT(N617,3)=$Z$7,LEFT(O617,3)=$Z$7)),"x","")</f>
        <v/>
      </c>
      <c r="AA617" s="87" t="str">
        <f>IF(OR(TH!N617=TH!$AA$7,O617=TH!$AA$7),"x","")</f>
        <v/>
      </c>
      <c r="AB617" s="87" t="str">
        <f>IF(AND(OR(N617="131",O617="131"),H617='131-CT'!$H$9),"x","")</f>
        <v/>
      </c>
      <c r="AC617" s="87"/>
      <c r="AD617" s="87" t="str">
        <f>IF(AND(MONTH(E617)='IN-NX'!$J$5,'IN-NX'!$D$7=D617),"x","")</f>
        <v/>
      </c>
      <c r="AE617" s="87" t="str">
        <f>IF(AND(OR(LEFT(TH!N617,2)="15",LEFT(TH!O617,2)="15"),'152-CT'!$J$8=TH!F617),"x","")</f>
        <v/>
      </c>
      <c r="AF617" s="87" t="str">
        <f>IF(AND(OR(LEFT(TH!N617,2)="15",LEFT(TH!O617,2)="15"),'THE KHO'!$E$7=TH!F617),"x","")</f>
        <v/>
      </c>
      <c r="AG617" s="87" t="str">
        <f>IF(AND(N617="1521",MONTH(C617)='BK NL'!$M$11),"x","")</f>
        <v/>
      </c>
    </row>
    <row r="618" spans="1:33" ht="15.75" customHeight="1">
      <c r="A618" s="399" t="str">
        <f>IF(B618&lt;&gt;"",IF(AND(B618&gt;=_TM1,B618&lt;=_TM2,OR(TH!N618="1111",TH!O618="1111")),TH!D618,""),"")</f>
        <v/>
      </c>
      <c r="B618" s="63" t="str">
        <f t="shared" si="14"/>
        <v/>
      </c>
      <c r="C618" s="64"/>
      <c r="D618" s="64"/>
      <c r="E618" s="64"/>
      <c r="F618" s="67"/>
      <c r="G618" s="376"/>
      <c r="H618" s="75"/>
      <c r="I618" s="518"/>
      <c r="J618" s="518"/>
      <c r="K618" s="509"/>
      <c r="L618" s="518"/>
      <c r="M618" s="65"/>
      <c r="N618" s="66"/>
      <c r="O618" s="66"/>
      <c r="P618" s="87" t="str">
        <f>IF(AND('331-CT'!$E$7=TH!H618,OR(N618="331",O618="331")),"x","")</f>
        <v/>
      </c>
      <c r="Q618" s="87" t="str">
        <f>IF(AND(B618='111'!$L$11,OR($N618=$Q$7,$O618=$Q$7)),"x","")</f>
        <v/>
      </c>
      <c r="R618" s="87" t="str">
        <f>IF(AND($N618=$Q$7,$B618&lt;'111'!$L$11),"x","")</f>
        <v/>
      </c>
      <c r="S618" s="87" t="str">
        <f>IF(AND($O618=$Q$7,$B618&lt;'111'!$L$11),"x","")</f>
        <v/>
      </c>
      <c r="T618" s="87" t="str">
        <f>IF(ISERROR(FIND('112'!$M$9,G618,1)),"",IF((AND(FIND('112'!$M$9,G618,1)&gt;=1,B618='112'!$K$9,OR($N618='112'!$I$6,$O618='112'!$I$6))),"x",""))</f>
        <v/>
      </c>
      <c r="U618" s="87" t="str">
        <f>IF(ISERROR(FIND('112'!$M$9,G618,1)),"",IF((AND(FIND('112'!$M$9,G618,1)&gt;=1,B618&lt;'112'!$K$9,$N618='112'!$I$6)),"x",""))</f>
        <v/>
      </c>
      <c r="V618" s="87" t="str">
        <f>IF(ISERROR(FIND('112'!$M$9,G618,1)),"",IF((AND(FIND('112'!$M$9,G618,1)&gt;=1,B618&lt;'112'!$K$9,$O618='112'!$I$6)),"x",""))</f>
        <v/>
      </c>
      <c r="W618" s="87" t="str">
        <f>IF(AND($B618&gt;='1331'!$I$9,$B618&lt;='1331'!$J$9,OR($N618=$W$7,$O618=$W$7)),"x","")</f>
        <v/>
      </c>
      <c r="X618" s="87" t="str">
        <f>IF(AND($N618=$W$7,$B618&lt;'1331'!$I$9),"x","")</f>
        <v/>
      </c>
      <c r="Y618" s="87" t="str">
        <f>IF(AND($O618=$W$7,$B618&lt;'1331'!$I$9),"x","")</f>
        <v/>
      </c>
      <c r="Z618" s="87" t="str">
        <f>IF(AND('341-CT'!$H$9=H618,OR(LEFT(N618,3)=$Z$7,LEFT(O618,3)=$Z$7)),"x","")</f>
        <v/>
      </c>
      <c r="AA618" s="87" t="str">
        <f>IF(OR(TH!N618=TH!$AA$7,O618=TH!$AA$7),"x","")</f>
        <v/>
      </c>
      <c r="AB618" s="87" t="str">
        <f>IF(AND(OR(N618="131",O618="131"),H618='131-CT'!$H$9),"x","")</f>
        <v/>
      </c>
      <c r="AC618" s="87"/>
      <c r="AD618" s="87" t="str">
        <f>IF(AND(MONTH(E618)='IN-NX'!$J$5,'IN-NX'!$D$7=D618),"x","")</f>
        <v/>
      </c>
      <c r="AE618" s="87" t="str">
        <f>IF(AND(OR(LEFT(TH!N618,2)="15",LEFT(TH!O618,2)="15"),'152-CT'!$J$8=TH!F618),"x","")</f>
        <v/>
      </c>
      <c r="AF618" s="87" t="str">
        <f>IF(AND(OR(LEFT(TH!N618,2)="15",LEFT(TH!O618,2)="15"),'THE KHO'!$E$7=TH!F618),"x","")</f>
        <v/>
      </c>
      <c r="AG618" s="87" t="str">
        <f>IF(AND(N618="1521",MONTH(C618)='BK NL'!$M$11),"x","")</f>
        <v/>
      </c>
    </row>
    <row r="619" spans="1:33" ht="15.75" customHeight="1">
      <c r="A619" s="399" t="str">
        <f>IF(B619&lt;&gt;"",IF(AND(B619&gt;=_TM1,B619&lt;=_TM2,OR(TH!N619="1111",TH!O619="1111")),TH!D619,""),"")</f>
        <v/>
      </c>
      <c r="B619" s="63" t="str">
        <f t="shared" si="14"/>
        <v/>
      </c>
      <c r="C619" s="64"/>
      <c r="D619" s="64"/>
      <c r="E619" s="64"/>
      <c r="F619" s="67"/>
      <c r="G619" s="376"/>
      <c r="H619" s="75"/>
      <c r="I619" s="518"/>
      <c r="J619" s="518"/>
      <c r="K619" s="509"/>
      <c r="L619" s="518"/>
      <c r="M619" s="65"/>
      <c r="N619" s="66"/>
      <c r="O619" s="66"/>
      <c r="P619" s="87" t="str">
        <f>IF(AND('331-CT'!$E$7=TH!H619,OR(N619="331",O619="331")),"x","")</f>
        <v/>
      </c>
      <c r="Q619" s="87" t="str">
        <f>IF(AND(B619='111'!$L$11,OR($N619=$Q$7,$O619=$Q$7)),"x","")</f>
        <v/>
      </c>
      <c r="R619" s="87" t="str">
        <f>IF(AND($N619=$Q$7,$B619&lt;'111'!$L$11),"x","")</f>
        <v/>
      </c>
      <c r="S619" s="87" t="str">
        <f>IF(AND($O619=$Q$7,$B619&lt;'111'!$L$11),"x","")</f>
        <v/>
      </c>
      <c r="T619" s="87" t="str">
        <f>IF(ISERROR(FIND('112'!$M$9,G619,1)),"",IF((AND(FIND('112'!$M$9,G619,1)&gt;=1,B619='112'!$K$9,OR($N619='112'!$I$6,$O619='112'!$I$6))),"x",""))</f>
        <v/>
      </c>
      <c r="U619" s="87" t="str">
        <f>IF(ISERROR(FIND('112'!$M$9,G619,1)),"",IF((AND(FIND('112'!$M$9,G619,1)&gt;=1,B619&lt;'112'!$K$9,$N619='112'!$I$6)),"x",""))</f>
        <v/>
      </c>
      <c r="V619" s="87" t="str">
        <f>IF(ISERROR(FIND('112'!$M$9,G619,1)),"",IF((AND(FIND('112'!$M$9,G619,1)&gt;=1,B619&lt;'112'!$K$9,$O619='112'!$I$6)),"x",""))</f>
        <v/>
      </c>
      <c r="W619" s="87" t="str">
        <f>IF(AND($B619&gt;='1331'!$I$9,$B619&lt;='1331'!$J$9,OR($N619=$W$7,$O619=$W$7)),"x","")</f>
        <v/>
      </c>
      <c r="X619" s="87" t="str">
        <f>IF(AND($N619=$W$7,$B619&lt;'1331'!$I$9),"x","")</f>
        <v/>
      </c>
      <c r="Y619" s="87" t="str">
        <f>IF(AND($O619=$W$7,$B619&lt;'1331'!$I$9),"x","")</f>
        <v/>
      </c>
      <c r="Z619" s="87" t="str">
        <f>IF(AND('341-CT'!$H$9=H619,OR(LEFT(N619,3)=$Z$7,LEFT(O619,3)=$Z$7)),"x","")</f>
        <v/>
      </c>
      <c r="AA619" s="87" t="str">
        <f>IF(OR(TH!N619=TH!$AA$7,O619=TH!$AA$7),"x","")</f>
        <v/>
      </c>
      <c r="AB619" s="87" t="str">
        <f>IF(AND(OR(N619="131",O619="131"),H619='131-CT'!$H$9),"x","")</f>
        <v/>
      </c>
      <c r="AC619" s="87"/>
      <c r="AD619" s="87" t="str">
        <f>IF(AND(MONTH(E619)='IN-NX'!$J$5,'IN-NX'!$D$7=D619),"x","")</f>
        <v/>
      </c>
      <c r="AE619" s="87" t="str">
        <f>IF(AND(OR(LEFT(TH!N619,2)="15",LEFT(TH!O619,2)="15"),'152-CT'!$J$8=TH!F619),"x","")</f>
        <v/>
      </c>
      <c r="AF619" s="87" t="str">
        <f>IF(AND(OR(LEFT(TH!N619,2)="15",LEFT(TH!O619,2)="15"),'THE KHO'!$E$7=TH!F619),"x","")</f>
        <v/>
      </c>
      <c r="AG619" s="87" t="str">
        <f>IF(AND(N619="1521",MONTH(C619)='BK NL'!$M$11),"x","")</f>
        <v/>
      </c>
    </row>
    <row r="620" spans="1:33" ht="15.75" customHeight="1">
      <c r="A620" s="399" t="str">
        <f>IF(B620&lt;&gt;"",IF(AND(B620&gt;=_TM1,B620&lt;=_TM2,OR(TH!N620="1111",TH!O620="1111")),TH!D620,""),"")</f>
        <v/>
      </c>
      <c r="B620" s="63" t="str">
        <f t="shared" si="14"/>
        <v/>
      </c>
      <c r="C620" s="64"/>
      <c r="D620" s="64"/>
      <c r="E620" s="64"/>
      <c r="F620" s="67"/>
      <c r="G620" s="376"/>
      <c r="H620" s="75"/>
      <c r="I620" s="518"/>
      <c r="J620" s="518"/>
      <c r="K620" s="509"/>
      <c r="L620" s="518"/>
      <c r="M620" s="65"/>
      <c r="N620" s="66"/>
      <c r="O620" s="66"/>
      <c r="P620" s="87" t="str">
        <f>IF(AND('331-CT'!$E$7=TH!H620,OR(N620="331",O620="331")),"x","")</f>
        <v/>
      </c>
      <c r="Q620" s="87" t="str">
        <f>IF(AND(B620='111'!$L$11,OR($N620=$Q$7,$O620=$Q$7)),"x","")</f>
        <v/>
      </c>
      <c r="R620" s="87" t="str">
        <f>IF(AND($N620=$Q$7,$B620&lt;'111'!$L$11),"x","")</f>
        <v/>
      </c>
      <c r="S620" s="87" t="str">
        <f>IF(AND($O620=$Q$7,$B620&lt;'111'!$L$11),"x","")</f>
        <v/>
      </c>
      <c r="T620" s="87" t="str">
        <f>IF(ISERROR(FIND('112'!$M$9,G620,1)),"",IF((AND(FIND('112'!$M$9,G620,1)&gt;=1,B620='112'!$K$9,OR($N620='112'!$I$6,$O620='112'!$I$6))),"x",""))</f>
        <v/>
      </c>
      <c r="U620" s="87" t="str">
        <f>IF(ISERROR(FIND('112'!$M$9,G620,1)),"",IF((AND(FIND('112'!$M$9,G620,1)&gt;=1,B620&lt;'112'!$K$9,$N620='112'!$I$6)),"x",""))</f>
        <v/>
      </c>
      <c r="V620" s="87" t="str">
        <f>IF(ISERROR(FIND('112'!$M$9,G620,1)),"",IF((AND(FIND('112'!$M$9,G620,1)&gt;=1,B620&lt;'112'!$K$9,$O620='112'!$I$6)),"x",""))</f>
        <v/>
      </c>
      <c r="W620" s="87" t="str">
        <f>IF(AND($B620&gt;='1331'!$I$9,$B620&lt;='1331'!$J$9,OR($N620=$W$7,$O620=$W$7)),"x","")</f>
        <v/>
      </c>
      <c r="X620" s="87" t="str">
        <f>IF(AND($N620=$W$7,$B620&lt;'1331'!$I$9),"x","")</f>
        <v/>
      </c>
      <c r="Y620" s="87" t="str">
        <f>IF(AND($O620=$W$7,$B620&lt;'1331'!$I$9),"x","")</f>
        <v/>
      </c>
      <c r="Z620" s="87" t="str">
        <f>IF(AND('341-CT'!$H$9=H620,OR(LEFT(N620,3)=$Z$7,LEFT(O620,3)=$Z$7)),"x","")</f>
        <v/>
      </c>
      <c r="AA620" s="87" t="str">
        <f>IF(OR(TH!N620=TH!$AA$7,O620=TH!$AA$7),"x","")</f>
        <v/>
      </c>
      <c r="AB620" s="87" t="str">
        <f>IF(AND(OR(N620="131",O620="131"),H620='131-CT'!$H$9),"x","")</f>
        <v/>
      </c>
      <c r="AC620" s="87"/>
      <c r="AD620" s="87" t="str">
        <f>IF(AND(MONTH(E620)='IN-NX'!$J$5,'IN-NX'!$D$7=D620),"x","")</f>
        <v/>
      </c>
      <c r="AE620" s="87" t="str">
        <f>IF(AND(OR(LEFT(TH!N620,2)="15",LEFT(TH!O620,2)="15"),'152-CT'!$J$8=TH!F620),"x","")</f>
        <v/>
      </c>
      <c r="AF620" s="87" t="str">
        <f>IF(AND(OR(LEFT(TH!N620,2)="15",LEFT(TH!O620,2)="15"),'THE KHO'!$E$7=TH!F620),"x","")</f>
        <v/>
      </c>
      <c r="AG620" s="87" t="str">
        <f>IF(AND(N620="1521",MONTH(C620)='BK NL'!$M$11),"x","")</f>
        <v/>
      </c>
    </row>
    <row r="621" spans="1:33" ht="15.75" customHeight="1">
      <c r="A621" s="399" t="str">
        <f>IF(B621&lt;&gt;"",IF(AND(B621&gt;=_TM1,B621&lt;=_TM2,OR(TH!N621="1111",TH!O621="1111")),TH!D621,""),"")</f>
        <v/>
      </c>
      <c r="B621" s="63" t="str">
        <f t="shared" si="14"/>
        <v/>
      </c>
      <c r="C621" s="64"/>
      <c r="D621" s="64"/>
      <c r="E621" s="64"/>
      <c r="F621" s="67"/>
      <c r="G621" s="376"/>
      <c r="H621" s="75"/>
      <c r="I621" s="518"/>
      <c r="J621" s="518"/>
      <c r="K621" s="509"/>
      <c r="L621" s="518"/>
      <c r="M621" s="65"/>
      <c r="N621" s="66"/>
      <c r="O621" s="66"/>
      <c r="P621" s="87" t="str">
        <f>IF(AND('331-CT'!$E$7=TH!H621,OR(N621="331",O621="331")),"x","")</f>
        <v/>
      </c>
      <c r="Q621" s="87" t="str">
        <f>IF(AND(B621='111'!$L$11,OR($N621=$Q$7,$O621=$Q$7)),"x","")</f>
        <v/>
      </c>
      <c r="R621" s="87" t="str">
        <f>IF(AND($N621=$Q$7,$B621&lt;'111'!$L$11),"x","")</f>
        <v/>
      </c>
      <c r="S621" s="87" t="str">
        <f>IF(AND($O621=$Q$7,$B621&lt;'111'!$L$11),"x","")</f>
        <v/>
      </c>
      <c r="T621" s="87" t="str">
        <f>IF(ISERROR(FIND('112'!$M$9,G621,1)),"",IF((AND(FIND('112'!$M$9,G621,1)&gt;=1,B621='112'!$K$9,OR($N621='112'!$I$6,$O621='112'!$I$6))),"x",""))</f>
        <v/>
      </c>
      <c r="U621" s="87" t="str">
        <f>IF(ISERROR(FIND('112'!$M$9,G621,1)),"",IF((AND(FIND('112'!$M$9,G621,1)&gt;=1,B621&lt;'112'!$K$9,$N621='112'!$I$6)),"x",""))</f>
        <v/>
      </c>
      <c r="V621" s="87" t="str">
        <f>IF(ISERROR(FIND('112'!$M$9,G621,1)),"",IF((AND(FIND('112'!$M$9,G621,1)&gt;=1,B621&lt;'112'!$K$9,$O621='112'!$I$6)),"x",""))</f>
        <v/>
      </c>
      <c r="W621" s="87" t="str">
        <f>IF(AND($B621&gt;='1331'!$I$9,$B621&lt;='1331'!$J$9,OR($N621=$W$7,$O621=$W$7)),"x","")</f>
        <v/>
      </c>
      <c r="X621" s="87" t="str">
        <f>IF(AND($N621=$W$7,$B621&lt;'1331'!$I$9),"x","")</f>
        <v/>
      </c>
      <c r="Y621" s="87" t="str">
        <f>IF(AND($O621=$W$7,$B621&lt;'1331'!$I$9),"x","")</f>
        <v/>
      </c>
      <c r="Z621" s="87" t="str">
        <f>IF(AND('341-CT'!$H$9=H621,OR(LEFT(N621,3)=$Z$7,LEFT(O621,3)=$Z$7)),"x","")</f>
        <v/>
      </c>
      <c r="AA621" s="87" t="str">
        <f>IF(OR(TH!N621=TH!$AA$7,O621=TH!$AA$7),"x","")</f>
        <v/>
      </c>
      <c r="AB621" s="87" t="str">
        <f>IF(AND(OR(N621="131",O621="131"),H621='131-CT'!$H$9),"x","")</f>
        <v/>
      </c>
      <c r="AC621" s="87"/>
      <c r="AD621" s="87" t="str">
        <f>IF(AND(MONTH(E621)='IN-NX'!$J$5,'IN-NX'!$D$7=D621),"x","")</f>
        <v/>
      </c>
      <c r="AE621" s="87" t="str">
        <f>IF(AND(OR(LEFT(TH!N621,2)="15",LEFT(TH!O621,2)="15"),'152-CT'!$J$8=TH!F621),"x","")</f>
        <v/>
      </c>
      <c r="AF621" s="87" t="str">
        <f>IF(AND(OR(LEFT(TH!N621,2)="15",LEFT(TH!O621,2)="15"),'THE KHO'!$E$7=TH!F621),"x","")</f>
        <v/>
      </c>
      <c r="AG621" s="87" t="str">
        <f>IF(AND(N621="1521",MONTH(C621)='BK NL'!$M$11),"x","")</f>
        <v/>
      </c>
    </row>
    <row r="622" spans="1:33" ht="15.75" customHeight="1">
      <c r="A622" s="399" t="str">
        <f>IF(B622&lt;&gt;"",IF(AND(B622&gt;=_TM1,B622&lt;=_TM2,OR(TH!N622="1111",TH!O622="1111")),TH!D622,""),"")</f>
        <v/>
      </c>
      <c r="B622" s="63" t="str">
        <f t="shared" ref="B622:B685" si="15">IF(C622&lt;&gt;"",MONTH(C622),"")</f>
        <v/>
      </c>
      <c r="C622" s="64"/>
      <c r="D622" s="64"/>
      <c r="E622" s="64"/>
      <c r="F622" s="67"/>
      <c r="G622" s="376"/>
      <c r="H622" s="75"/>
      <c r="I622" s="518"/>
      <c r="J622" s="518"/>
      <c r="K622" s="509"/>
      <c r="L622" s="518"/>
      <c r="M622" s="65"/>
      <c r="N622" s="66"/>
      <c r="O622" s="66"/>
      <c r="P622" s="87" t="str">
        <f>IF(AND('331-CT'!$E$7=TH!H622,OR(N622="331",O622="331")),"x","")</f>
        <v/>
      </c>
      <c r="Q622" s="87" t="str">
        <f>IF(AND(B622='111'!$L$11,OR($N622=$Q$7,$O622=$Q$7)),"x","")</f>
        <v/>
      </c>
      <c r="R622" s="87" t="str">
        <f>IF(AND($N622=$Q$7,$B622&lt;'111'!$L$11),"x","")</f>
        <v/>
      </c>
      <c r="S622" s="87" t="str">
        <f>IF(AND($O622=$Q$7,$B622&lt;'111'!$L$11),"x","")</f>
        <v/>
      </c>
      <c r="T622" s="87" t="str">
        <f>IF(ISERROR(FIND('112'!$M$9,G622,1)),"",IF((AND(FIND('112'!$M$9,G622,1)&gt;=1,B622='112'!$K$9,OR($N622='112'!$I$6,$O622='112'!$I$6))),"x",""))</f>
        <v/>
      </c>
      <c r="U622" s="87" t="str">
        <f>IF(ISERROR(FIND('112'!$M$9,G622,1)),"",IF((AND(FIND('112'!$M$9,G622,1)&gt;=1,B622&lt;'112'!$K$9,$N622='112'!$I$6)),"x",""))</f>
        <v/>
      </c>
      <c r="V622" s="87" t="str">
        <f>IF(ISERROR(FIND('112'!$M$9,G622,1)),"",IF((AND(FIND('112'!$M$9,G622,1)&gt;=1,B622&lt;'112'!$K$9,$O622='112'!$I$6)),"x",""))</f>
        <v/>
      </c>
      <c r="W622" s="87" t="str">
        <f>IF(AND($B622&gt;='1331'!$I$9,$B622&lt;='1331'!$J$9,OR($N622=$W$7,$O622=$W$7)),"x","")</f>
        <v/>
      </c>
      <c r="X622" s="87" t="str">
        <f>IF(AND($N622=$W$7,$B622&lt;'1331'!$I$9),"x","")</f>
        <v/>
      </c>
      <c r="Y622" s="87" t="str">
        <f>IF(AND($O622=$W$7,$B622&lt;'1331'!$I$9),"x","")</f>
        <v/>
      </c>
      <c r="Z622" s="87" t="str">
        <f>IF(AND('341-CT'!$H$9=H622,OR(LEFT(N622,3)=$Z$7,LEFT(O622,3)=$Z$7)),"x","")</f>
        <v/>
      </c>
      <c r="AA622" s="87" t="str">
        <f>IF(OR(TH!N622=TH!$AA$7,O622=TH!$AA$7),"x","")</f>
        <v/>
      </c>
      <c r="AB622" s="87" t="str">
        <f>IF(AND(OR(N622="131",O622="131"),H622='131-CT'!$H$9),"x","")</f>
        <v/>
      </c>
      <c r="AC622" s="87"/>
      <c r="AD622" s="87" t="str">
        <f>IF(AND(MONTH(E622)='IN-NX'!$J$5,'IN-NX'!$D$7=D622),"x","")</f>
        <v/>
      </c>
      <c r="AE622" s="87" t="str">
        <f>IF(AND(OR(LEFT(TH!N622,2)="15",LEFT(TH!O622,2)="15"),'152-CT'!$J$8=TH!F622),"x","")</f>
        <v/>
      </c>
      <c r="AF622" s="87" t="str">
        <f>IF(AND(OR(LEFT(TH!N622,2)="15",LEFT(TH!O622,2)="15"),'THE KHO'!$E$7=TH!F622),"x","")</f>
        <v/>
      </c>
      <c r="AG622" s="87" t="str">
        <f>IF(AND(N622="1521",MONTH(C622)='BK NL'!$M$11),"x","")</f>
        <v/>
      </c>
    </row>
    <row r="623" spans="1:33" ht="15.75" customHeight="1">
      <c r="A623" s="399" t="str">
        <f>IF(B623&lt;&gt;"",IF(AND(B623&gt;=_TM1,B623&lt;=_TM2,OR(TH!N623="1111",TH!O623="1111")),TH!D623,""),"")</f>
        <v/>
      </c>
      <c r="B623" s="63" t="str">
        <f t="shared" si="15"/>
        <v/>
      </c>
      <c r="C623" s="64"/>
      <c r="D623" s="64"/>
      <c r="E623" s="64"/>
      <c r="F623" s="67"/>
      <c r="G623" s="362"/>
      <c r="H623" s="75"/>
      <c r="I623" s="518"/>
      <c r="J623" s="518"/>
      <c r="K623" s="509"/>
      <c r="L623" s="518"/>
      <c r="M623" s="65"/>
      <c r="N623" s="66"/>
      <c r="O623" s="66"/>
      <c r="P623" s="87" t="str">
        <f>IF(AND('331-CT'!$E$7=TH!H623,OR(N623="331",O623="331")),"x","")</f>
        <v/>
      </c>
      <c r="Q623" s="87" t="str">
        <f>IF(AND(B623='111'!$L$11,OR($N623=$Q$7,$O623=$Q$7)),"x","")</f>
        <v/>
      </c>
      <c r="R623" s="87" t="str">
        <f>IF(AND($N623=$Q$7,$B623&lt;'111'!$L$11),"x","")</f>
        <v/>
      </c>
      <c r="S623" s="87" t="str">
        <f>IF(AND($O623=$Q$7,$B623&lt;'111'!$L$11),"x","")</f>
        <v/>
      </c>
      <c r="T623" s="87" t="str">
        <f>IF(ISERROR(FIND('112'!$M$9,G623,1)),"",IF((AND(FIND('112'!$M$9,G623,1)&gt;=1,B623='112'!$K$9,OR($N623='112'!$I$6,$O623='112'!$I$6))),"x",""))</f>
        <v/>
      </c>
      <c r="U623" s="87" t="str">
        <f>IF(ISERROR(FIND('112'!$M$9,G623,1)),"",IF((AND(FIND('112'!$M$9,G623,1)&gt;=1,B623&lt;'112'!$K$9,$N623='112'!$I$6)),"x",""))</f>
        <v/>
      </c>
      <c r="V623" s="87" t="str">
        <f>IF(ISERROR(FIND('112'!$M$9,G623,1)),"",IF((AND(FIND('112'!$M$9,G623,1)&gt;=1,B623&lt;'112'!$K$9,$O623='112'!$I$6)),"x",""))</f>
        <v/>
      </c>
      <c r="W623" s="87" t="str">
        <f>IF(AND($B623&gt;='1331'!$I$9,$B623&lt;='1331'!$J$9,OR($N623=$W$7,$O623=$W$7)),"x","")</f>
        <v/>
      </c>
      <c r="X623" s="87" t="str">
        <f>IF(AND($N623=$W$7,$B623&lt;'1331'!$I$9),"x","")</f>
        <v/>
      </c>
      <c r="Y623" s="87" t="str">
        <f>IF(AND($O623=$W$7,$B623&lt;'1331'!$I$9),"x","")</f>
        <v/>
      </c>
      <c r="Z623" s="87" t="str">
        <f>IF(AND('341-CT'!$H$9=H623,OR(LEFT(N623,3)=$Z$7,LEFT(O623,3)=$Z$7)),"x","")</f>
        <v/>
      </c>
      <c r="AA623" s="87" t="str">
        <f>IF(OR(TH!N623=TH!$AA$7,O623=TH!$AA$7),"x","")</f>
        <v/>
      </c>
      <c r="AB623" s="87" t="str">
        <f>IF(AND(OR(N623="131",O623="131"),H623='131-CT'!$H$9),"x","")</f>
        <v/>
      </c>
      <c r="AC623" s="87"/>
      <c r="AD623" s="87" t="str">
        <f>IF(AND(MONTH(E623)='IN-NX'!$J$5,'IN-NX'!$D$7=D623),"x","")</f>
        <v/>
      </c>
      <c r="AE623" s="87" t="str">
        <f>IF(AND(OR(LEFT(TH!N623,2)="15",LEFT(TH!O623,2)="15"),'152-CT'!$J$8=TH!F623),"x","")</f>
        <v/>
      </c>
      <c r="AF623" s="87" t="str">
        <f>IF(AND(OR(LEFT(TH!N623,2)="15",LEFT(TH!O623,2)="15"),'THE KHO'!$E$7=TH!F623),"x","")</f>
        <v/>
      </c>
      <c r="AG623" s="87" t="str">
        <f>IF(AND(N623="1521",MONTH(C623)='BK NL'!$M$11),"x","")</f>
        <v/>
      </c>
    </row>
    <row r="624" spans="1:33" ht="15.75" customHeight="1">
      <c r="A624" s="399" t="str">
        <f>IF(B624&lt;&gt;"",IF(AND(B624&gt;=_TM1,B624&lt;=_TM2,OR(TH!N624="1111",TH!O624="1111")),TH!D624,""),"")</f>
        <v/>
      </c>
      <c r="B624" s="63" t="str">
        <f t="shared" si="15"/>
        <v/>
      </c>
      <c r="C624" s="64"/>
      <c r="D624" s="64"/>
      <c r="E624" s="64"/>
      <c r="F624" s="67"/>
      <c r="G624" s="376"/>
      <c r="H624" s="75"/>
      <c r="I624" s="518"/>
      <c r="J624" s="518"/>
      <c r="K624" s="509"/>
      <c r="L624" s="518"/>
      <c r="M624" s="65"/>
      <c r="N624" s="66"/>
      <c r="O624" s="66"/>
      <c r="P624" s="87" t="str">
        <f>IF(AND('331-CT'!$E$7=TH!H624,OR(N624="331",O624="331")),"x","")</f>
        <v/>
      </c>
      <c r="Q624" s="87" t="str">
        <f>IF(AND(B624='111'!$L$11,OR($N624=$Q$7,$O624=$Q$7)),"x","")</f>
        <v/>
      </c>
      <c r="R624" s="87" t="str">
        <f>IF(AND($N624=$Q$7,$B624&lt;'111'!$L$11),"x","")</f>
        <v/>
      </c>
      <c r="S624" s="87" t="str">
        <f>IF(AND($O624=$Q$7,$B624&lt;'111'!$L$11),"x","")</f>
        <v/>
      </c>
      <c r="T624" s="87" t="str">
        <f>IF(ISERROR(FIND('112'!$M$9,G624,1)),"",IF((AND(FIND('112'!$M$9,G624,1)&gt;=1,B624='112'!$K$9,OR($N624='112'!$I$6,$O624='112'!$I$6))),"x",""))</f>
        <v/>
      </c>
      <c r="U624" s="87" t="str">
        <f>IF(ISERROR(FIND('112'!$M$9,G624,1)),"",IF((AND(FIND('112'!$M$9,G624,1)&gt;=1,B624&lt;'112'!$K$9,$N624='112'!$I$6)),"x",""))</f>
        <v/>
      </c>
      <c r="V624" s="87" t="str">
        <f>IF(ISERROR(FIND('112'!$M$9,G624,1)),"",IF((AND(FIND('112'!$M$9,G624,1)&gt;=1,B624&lt;'112'!$K$9,$O624='112'!$I$6)),"x",""))</f>
        <v/>
      </c>
      <c r="W624" s="87" t="str">
        <f>IF(AND($B624&gt;='1331'!$I$9,$B624&lt;='1331'!$J$9,OR($N624=$W$7,$O624=$W$7)),"x","")</f>
        <v/>
      </c>
      <c r="X624" s="87" t="str">
        <f>IF(AND($N624=$W$7,$B624&lt;'1331'!$I$9),"x","")</f>
        <v/>
      </c>
      <c r="Y624" s="87" t="str">
        <f>IF(AND($O624=$W$7,$B624&lt;'1331'!$I$9),"x","")</f>
        <v/>
      </c>
      <c r="Z624" s="87" t="str">
        <f>IF(AND('341-CT'!$H$9=H624,OR(LEFT(N624,3)=$Z$7,LEFT(O624,3)=$Z$7)),"x","")</f>
        <v/>
      </c>
      <c r="AA624" s="87" t="str">
        <f>IF(OR(TH!N624=TH!$AA$7,O624=TH!$AA$7),"x","")</f>
        <v/>
      </c>
      <c r="AB624" s="87" t="str">
        <f>IF(AND(OR(N624="131",O624="131"),H624='131-CT'!$H$9),"x","")</f>
        <v/>
      </c>
      <c r="AC624" s="87"/>
      <c r="AD624" s="87" t="str">
        <f>IF(AND(MONTH(E624)='IN-NX'!$J$5,'IN-NX'!$D$7=D624),"x","")</f>
        <v/>
      </c>
      <c r="AE624" s="87" t="str">
        <f>IF(AND(OR(LEFT(TH!N624,2)="15",LEFT(TH!O624,2)="15"),'152-CT'!$J$8=TH!F624),"x","")</f>
        <v/>
      </c>
      <c r="AF624" s="87" t="str">
        <f>IF(AND(OR(LEFT(TH!N624,2)="15",LEFT(TH!O624,2)="15"),'THE KHO'!$E$7=TH!F624),"x","")</f>
        <v/>
      </c>
      <c r="AG624" s="87" t="str">
        <f>IF(AND(N624="1521",MONTH(C624)='BK NL'!$M$11),"x","")</f>
        <v/>
      </c>
    </row>
    <row r="625" spans="1:33" ht="15.75" customHeight="1">
      <c r="A625" s="399" t="str">
        <f>IF(B625&lt;&gt;"",IF(AND(B625&gt;=_TM1,B625&lt;=_TM2,OR(TH!N625="1111",TH!O625="1111")),TH!D625,""),"")</f>
        <v/>
      </c>
      <c r="B625" s="63" t="str">
        <f t="shared" si="15"/>
        <v/>
      </c>
      <c r="C625" s="64"/>
      <c r="D625" s="64"/>
      <c r="E625" s="64"/>
      <c r="F625" s="67"/>
      <c r="G625" s="376"/>
      <c r="H625" s="367"/>
      <c r="I625" s="516"/>
      <c r="J625" s="516"/>
      <c r="K625" s="507"/>
      <c r="L625" s="516"/>
      <c r="M625" s="65"/>
      <c r="N625" s="66"/>
      <c r="O625" s="66"/>
      <c r="P625" s="87" t="str">
        <f>IF(AND('331-CT'!$E$7=TH!H625,OR(N625="331",O625="331")),"x","")</f>
        <v/>
      </c>
      <c r="Q625" s="87" t="str">
        <f>IF(AND(B625='111'!$L$11,OR($N625=$Q$7,$O625=$Q$7)),"x","")</f>
        <v/>
      </c>
      <c r="R625" s="87" t="str">
        <f>IF(AND($N625=$Q$7,$B625&lt;'111'!$L$11),"x","")</f>
        <v/>
      </c>
      <c r="S625" s="87" t="str">
        <f>IF(AND($O625=$Q$7,$B625&lt;'111'!$L$11),"x","")</f>
        <v/>
      </c>
      <c r="T625" s="87" t="str">
        <f>IF(ISERROR(FIND('112'!$M$9,G625,1)),"",IF((AND(FIND('112'!$M$9,G625,1)&gt;=1,B625='112'!$K$9,OR($N625='112'!$I$6,$O625='112'!$I$6))),"x",""))</f>
        <v/>
      </c>
      <c r="U625" s="87" t="str">
        <f>IF(ISERROR(FIND('112'!$M$9,G625,1)),"",IF((AND(FIND('112'!$M$9,G625,1)&gt;=1,B625&lt;'112'!$K$9,$N625='112'!$I$6)),"x",""))</f>
        <v/>
      </c>
      <c r="V625" s="87" t="str">
        <f>IF(ISERROR(FIND('112'!$M$9,G625,1)),"",IF((AND(FIND('112'!$M$9,G625,1)&gt;=1,B625&lt;'112'!$K$9,$O625='112'!$I$6)),"x",""))</f>
        <v/>
      </c>
      <c r="W625" s="87" t="str">
        <f>IF(AND($B625&gt;='1331'!$I$9,$B625&lt;='1331'!$J$9,OR($N625=$W$7,$O625=$W$7)),"x","")</f>
        <v/>
      </c>
      <c r="X625" s="87" t="str">
        <f>IF(AND($N625=$W$7,$B625&lt;'1331'!$I$9),"x","")</f>
        <v/>
      </c>
      <c r="Y625" s="87" t="str">
        <f>IF(AND($O625=$W$7,$B625&lt;'1331'!$I$9),"x","")</f>
        <v/>
      </c>
      <c r="Z625" s="87" t="str">
        <f>IF(AND('341-CT'!$H$9=H625,OR(LEFT(N625,3)=$Z$7,LEFT(O625,3)=$Z$7)),"x","")</f>
        <v/>
      </c>
      <c r="AA625" s="87" t="str">
        <f>IF(OR(TH!N625=TH!$AA$7,O625=TH!$AA$7),"x","")</f>
        <v/>
      </c>
      <c r="AB625" s="87" t="str">
        <f>IF(AND(OR(N625="131",O625="131"),H625='131-CT'!$H$9),"x","")</f>
        <v/>
      </c>
      <c r="AC625" s="87"/>
      <c r="AD625" s="87" t="str">
        <f>IF(AND(MONTH(E625)='IN-NX'!$J$5,'IN-NX'!$D$7=D625),"x","")</f>
        <v/>
      </c>
      <c r="AE625" s="87" t="str">
        <f>IF(AND(OR(LEFT(TH!N625,2)="15",LEFT(TH!O625,2)="15"),'152-CT'!$J$8=TH!F625),"x","")</f>
        <v/>
      </c>
      <c r="AF625" s="87" t="str">
        <f>IF(AND(OR(LEFT(TH!N625,2)="15",LEFT(TH!O625,2)="15"),'THE KHO'!$E$7=TH!F625),"x","")</f>
        <v/>
      </c>
      <c r="AG625" s="87" t="str">
        <f>IF(AND(N625="1521",MONTH(C625)='BK NL'!$M$11),"x","")</f>
        <v/>
      </c>
    </row>
    <row r="626" spans="1:33" ht="15.75" customHeight="1">
      <c r="A626" s="399" t="str">
        <f>IF(B626&lt;&gt;"",IF(AND(B626&gt;=_TM1,B626&lt;=_TM2,OR(TH!N626="1111",TH!O626="1111")),TH!D626,""),"")</f>
        <v/>
      </c>
      <c r="B626" s="63" t="str">
        <f t="shared" si="15"/>
        <v/>
      </c>
      <c r="C626" s="64"/>
      <c r="D626" s="64"/>
      <c r="E626" s="64"/>
      <c r="F626" s="67"/>
      <c r="G626" s="376"/>
      <c r="H626" s="367"/>
      <c r="I626" s="516"/>
      <c r="J626" s="516"/>
      <c r="K626" s="507"/>
      <c r="L626" s="516"/>
      <c r="M626" s="65"/>
      <c r="N626" s="66"/>
      <c r="O626" s="66"/>
      <c r="P626" s="87" t="str">
        <f>IF(AND('331-CT'!$E$7=TH!H626,OR(N626="331",O626="331")),"x","")</f>
        <v/>
      </c>
      <c r="Q626" s="87" t="str">
        <f>IF(AND(B626='111'!$L$11,OR($N626=$Q$7,$O626=$Q$7)),"x","")</f>
        <v/>
      </c>
      <c r="R626" s="87" t="str">
        <f>IF(AND($N626=$Q$7,$B626&lt;'111'!$L$11),"x","")</f>
        <v/>
      </c>
      <c r="S626" s="87" t="str">
        <f>IF(AND($O626=$Q$7,$B626&lt;'111'!$L$11),"x","")</f>
        <v/>
      </c>
      <c r="T626" s="87" t="str">
        <f>IF(ISERROR(FIND('112'!$M$9,G626,1)),"",IF((AND(FIND('112'!$M$9,G626,1)&gt;=1,B626='112'!$K$9,OR($N626='112'!$I$6,$O626='112'!$I$6))),"x",""))</f>
        <v/>
      </c>
      <c r="U626" s="87" t="str">
        <f>IF(ISERROR(FIND('112'!$M$9,G626,1)),"",IF((AND(FIND('112'!$M$9,G626,1)&gt;=1,B626&lt;'112'!$K$9,$N626='112'!$I$6)),"x",""))</f>
        <v/>
      </c>
      <c r="V626" s="87" t="str">
        <f>IF(ISERROR(FIND('112'!$M$9,G626,1)),"",IF((AND(FIND('112'!$M$9,G626,1)&gt;=1,B626&lt;'112'!$K$9,$O626='112'!$I$6)),"x",""))</f>
        <v/>
      </c>
      <c r="W626" s="87" t="str">
        <f>IF(AND($B626&gt;='1331'!$I$9,$B626&lt;='1331'!$J$9,OR($N626=$W$7,$O626=$W$7)),"x","")</f>
        <v/>
      </c>
      <c r="X626" s="87" t="str">
        <f>IF(AND($N626=$W$7,$B626&lt;'1331'!$I$9),"x","")</f>
        <v/>
      </c>
      <c r="Y626" s="87" t="str">
        <f>IF(AND($O626=$W$7,$B626&lt;'1331'!$I$9),"x","")</f>
        <v/>
      </c>
      <c r="Z626" s="87" t="str">
        <f>IF(AND('341-CT'!$H$9=H626,OR(LEFT(N626,3)=$Z$7,LEFT(O626,3)=$Z$7)),"x","")</f>
        <v/>
      </c>
      <c r="AA626" s="87" t="str">
        <f>IF(OR(TH!N626=TH!$AA$7,O626=TH!$AA$7),"x","")</f>
        <v/>
      </c>
      <c r="AB626" s="87" t="str">
        <f>IF(AND(OR(N626="131",O626="131"),H626='131-CT'!$H$9),"x","")</f>
        <v/>
      </c>
      <c r="AC626" s="87"/>
      <c r="AD626" s="87" t="str">
        <f>IF(AND(MONTH(E626)='IN-NX'!$J$5,'IN-NX'!$D$7=D626),"x","")</f>
        <v/>
      </c>
      <c r="AE626" s="87" t="str">
        <f>IF(AND(OR(LEFT(TH!N626,2)="15",LEFT(TH!O626,2)="15"),'152-CT'!$J$8=TH!F626),"x","")</f>
        <v/>
      </c>
      <c r="AF626" s="87" t="str">
        <f>IF(AND(OR(LEFT(TH!N626,2)="15",LEFT(TH!O626,2)="15"),'THE KHO'!$E$7=TH!F626),"x","")</f>
        <v/>
      </c>
      <c r="AG626" s="87" t="str">
        <f>IF(AND(N626="1521",MONTH(C626)='BK NL'!$M$11),"x","")</f>
        <v/>
      </c>
    </row>
    <row r="627" spans="1:33" ht="15.75" customHeight="1">
      <c r="A627" s="399" t="str">
        <f>IF(B627&lt;&gt;"",IF(AND(B627&gt;=_TM1,B627&lt;=_TM2,OR(TH!N627="1111",TH!O627="1111")),TH!D627,""),"")</f>
        <v/>
      </c>
      <c r="B627" s="63" t="str">
        <f t="shared" si="15"/>
        <v/>
      </c>
      <c r="C627" s="64"/>
      <c r="D627" s="64"/>
      <c r="E627" s="64"/>
      <c r="F627" s="67"/>
      <c r="G627" s="376"/>
      <c r="H627" s="75"/>
      <c r="I627" s="518"/>
      <c r="J627" s="518"/>
      <c r="K627" s="509"/>
      <c r="L627" s="518"/>
      <c r="M627" s="65"/>
      <c r="N627" s="66"/>
      <c r="O627" s="66"/>
      <c r="P627" s="87" t="str">
        <f>IF(AND('331-CT'!$E$7=TH!H627,OR(N627="331",O627="331")),"x","")</f>
        <v/>
      </c>
      <c r="Q627" s="87" t="str">
        <f>IF(AND(B627='111'!$L$11,OR($N627=$Q$7,$O627=$Q$7)),"x","")</f>
        <v/>
      </c>
      <c r="R627" s="87" t="str">
        <f>IF(AND($N627=$Q$7,$B627&lt;'111'!$L$11),"x","")</f>
        <v/>
      </c>
      <c r="S627" s="87" t="str">
        <f>IF(AND($O627=$Q$7,$B627&lt;'111'!$L$11),"x","")</f>
        <v/>
      </c>
      <c r="T627" s="87" t="str">
        <f>IF(ISERROR(FIND('112'!$M$9,G627,1)),"",IF((AND(FIND('112'!$M$9,G627,1)&gt;=1,B627='112'!$K$9,OR($N627='112'!$I$6,$O627='112'!$I$6))),"x",""))</f>
        <v/>
      </c>
      <c r="U627" s="87" t="str">
        <f>IF(ISERROR(FIND('112'!$M$9,G627,1)),"",IF((AND(FIND('112'!$M$9,G627,1)&gt;=1,B627&lt;'112'!$K$9,$N627='112'!$I$6)),"x",""))</f>
        <v/>
      </c>
      <c r="V627" s="87" t="str">
        <f>IF(ISERROR(FIND('112'!$M$9,G627,1)),"",IF((AND(FIND('112'!$M$9,G627,1)&gt;=1,B627&lt;'112'!$K$9,$O627='112'!$I$6)),"x",""))</f>
        <v/>
      </c>
      <c r="W627" s="87" t="str">
        <f>IF(AND($B627&gt;='1331'!$I$9,$B627&lt;='1331'!$J$9,OR($N627=$W$7,$O627=$W$7)),"x","")</f>
        <v/>
      </c>
      <c r="X627" s="87" t="str">
        <f>IF(AND($N627=$W$7,$B627&lt;'1331'!$I$9),"x","")</f>
        <v/>
      </c>
      <c r="Y627" s="87" t="str">
        <f>IF(AND($O627=$W$7,$B627&lt;'1331'!$I$9),"x","")</f>
        <v/>
      </c>
      <c r="Z627" s="87" t="str">
        <f>IF(AND('341-CT'!$H$9=H627,OR(LEFT(N627,3)=$Z$7,LEFT(O627,3)=$Z$7)),"x","")</f>
        <v/>
      </c>
      <c r="AA627" s="87" t="str">
        <f>IF(OR(TH!N627=TH!$AA$7,O627=TH!$AA$7),"x","")</f>
        <v/>
      </c>
      <c r="AB627" s="87" t="str">
        <f>IF(AND(OR(N627="131",O627="131"),H627='131-CT'!$H$9),"x","")</f>
        <v/>
      </c>
      <c r="AC627" s="87"/>
      <c r="AD627" s="87" t="str">
        <f>IF(AND(MONTH(E627)='IN-NX'!$J$5,'IN-NX'!$D$7=D627),"x","")</f>
        <v/>
      </c>
      <c r="AE627" s="87" t="str">
        <f>IF(AND(OR(LEFT(TH!N627,2)="15",LEFT(TH!O627,2)="15"),'152-CT'!$J$8=TH!F627),"x","")</f>
        <v/>
      </c>
      <c r="AF627" s="87" t="str">
        <f>IF(AND(OR(LEFT(TH!N627,2)="15",LEFT(TH!O627,2)="15"),'THE KHO'!$E$7=TH!F627),"x","")</f>
        <v/>
      </c>
      <c r="AG627" s="87" t="str">
        <f>IF(AND(N627="1521",MONTH(C627)='BK NL'!$M$11),"x","")</f>
        <v/>
      </c>
    </row>
    <row r="628" spans="1:33" ht="15.75" customHeight="1">
      <c r="A628" s="399" t="str">
        <f>IF(B628&lt;&gt;"",IF(AND(B628&gt;=_TM1,B628&lt;=_TM2,OR(TH!N628="1111",TH!O628="1111")),TH!D628,""),"")</f>
        <v/>
      </c>
      <c r="B628" s="63" t="str">
        <f t="shared" si="15"/>
        <v/>
      </c>
      <c r="C628" s="64"/>
      <c r="D628" s="64"/>
      <c r="E628" s="64"/>
      <c r="F628" s="67"/>
      <c r="G628" s="376"/>
      <c r="H628" s="75"/>
      <c r="I628" s="518"/>
      <c r="J628" s="518"/>
      <c r="K628" s="509"/>
      <c r="L628" s="518"/>
      <c r="M628" s="65"/>
      <c r="N628" s="66"/>
      <c r="O628" s="66"/>
      <c r="P628" s="87" t="str">
        <f>IF(AND('331-CT'!$E$7=TH!H628,OR(N628="331",O628="331")),"x","")</f>
        <v/>
      </c>
      <c r="Q628" s="87" t="str">
        <f>IF(AND(B628='111'!$L$11,OR($N628=$Q$7,$O628=$Q$7)),"x","")</f>
        <v/>
      </c>
      <c r="R628" s="87" t="str">
        <f>IF(AND($N628=$Q$7,$B628&lt;'111'!$L$11),"x","")</f>
        <v/>
      </c>
      <c r="S628" s="87" t="str">
        <f>IF(AND($O628=$Q$7,$B628&lt;'111'!$L$11),"x","")</f>
        <v/>
      </c>
      <c r="T628" s="87" t="str">
        <f>IF(ISERROR(FIND('112'!$M$9,G628,1)),"",IF((AND(FIND('112'!$M$9,G628,1)&gt;=1,B628='112'!$K$9,OR($N628='112'!$I$6,$O628='112'!$I$6))),"x",""))</f>
        <v/>
      </c>
      <c r="U628" s="87" t="str">
        <f>IF(ISERROR(FIND('112'!$M$9,G628,1)),"",IF((AND(FIND('112'!$M$9,G628,1)&gt;=1,B628&lt;'112'!$K$9,$N628='112'!$I$6)),"x",""))</f>
        <v/>
      </c>
      <c r="V628" s="87" t="str">
        <f>IF(ISERROR(FIND('112'!$M$9,G628,1)),"",IF((AND(FIND('112'!$M$9,G628,1)&gt;=1,B628&lt;'112'!$K$9,$O628='112'!$I$6)),"x",""))</f>
        <v/>
      </c>
      <c r="W628" s="87" t="str">
        <f>IF(AND($B628&gt;='1331'!$I$9,$B628&lt;='1331'!$J$9,OR($N628=$W$7,$O628=$W$7)),"x","")</f>
        <v/>
      </c>
      <c r="X628" s="87" t="str">
        <f>IF(AND($N628=$W$7,$B628&lt;'1331'!$I$9),"x","")</f>
        <v/>
      </c>
      <c r="Y628" s="87" t="str">
        <f>IF(AND($O628=$W$7,$B628&lt;'1331'!$I$9),"x","")</f>
        <v/>
      </c>
      <c r="Z628" s="87" t="str">
        <f>IF(AND('341-CT'!$H$9=H628,OR(LEFT(N628,3)=$Z$7,LEFT(O628,3)=$Z$7)),"x","")</f>
        <v/>
      </c>
      <c r="AA628" s="87" t="str">
        <f>IF(OR(TH!N628=TH!$AA$7,O628=TH!$AA$7),"x","")</f>
        <v/>
      </c>
      <c r="AB628" s="87" t="str">
        <f>IF(AND(OR(N628="131",O628="131"),H628='131-CT'!$H$9),"x","")</f>
        <v/>
      </c>
      <c r="AC628" s="87"/>
      <c r="AD628" s="87" t="str">
        <f>IF(AND(MONTH(E628)='IN-NX'!$J$5,'IN-NX'!$D$7=D628),"x","")</f>
        <v/>
      </c>
      <c r="AE628" s="87" t="str">
        <f>IF(AND(OR(LEFT(TH!N628,2)="15",LEFT(TH!O628,2)="15"),'152-CT'!$J$8=TH!F628),"x","")</f>
        <v/>
      </c>
      <c r="AF628" s="87" t="str">
        <f>IF(AND(OR(LEFT(TH!N628,2)="15",LEFT(TH!O628,2)="15"),'THE KHO'!$E$7=TH!F628),"x","")</f>
        <v/>
      </c>
      <c r="AG628" s="87" t="str">
        <f>IF(AND(N628="1521",MONTH(C628)='BK NL'!$M$11),"x","")</f>
        <v/>
      </c>
    </row>
    <row r="629" spans="1:33" ht="15.75" customHeight="1">
      <c r="A629" s="399" t="str">
        <f>IF(B629&lt;&gt;"",IF(AND(B629&gt;=_TM1,B629&lt;=_TM2,OR(TH!N629="1111",TH!O629="1111")),TH!D629,""),"")</f>
        <v/>
      </c>
      <c r="B629" s="63" t="str">
        <f t="shared" si="15"/>
        <v/>
      </c>
      <c r="C629" s="64"/>
      <c r="D629" s="64"/>
      <c r="E629" s="64"/>
      <c r="F629" s="67"/>
      <c r="G629" s="362"/>
      <c r="H629" s="75"/>
      <c r="I629" s="518"/>
      <c r="J629" s="518"/>
      <c r="K629" s="509"/>
      <c r="L629" s="518"/>
      <c r="M629" s="65"/>
      <c r="N629" s="66"/>
      <c r="O629" s="66"/>
      <c r="P629" s="87" t="str">
        <f>IF(AND('331-CT'!$E$7=TH!H629,OR(N629="331",O629="331")),"x","")</f>
        <v/>
      </c>
      <c r="Q629" s="87" t="str">
        <f>IF(AND(B629='111'!$L$11,OR($N629=$Q$7,$O629=$Q$7)),"x","")</f>
        <v/>
      </c>
      <c r="R629" s="87" t="str">
        <f>IF(AND($N629=$Q$7,$B629&lt;'111'!$L$11),"x","")</f>
        <v/>
      </c>
      <c r="S629" s="87" t="str">
        <f>IF(AND($O629=$Q$7,$B629&lt;'111'!$L$11),"x","")</f>
        <v/>
      </c>
      <c r="T629" s="87" t="str">
        <f>IF(ISERROR(FIND('112'!$M$9,G629,1)),"",IF((AND(FIND('112'!$M$9,G629,1)&gt;=1,B629='112'!$K$9,OR($N629='112'!$I$6,$O629='112'!$I$6))),"x",""))</f>
        <v/>
      </c>
      <c r="U629" s="87" t="str">
        <f>IF(ISERROR(FIND('112'!$M$9,G629,1)),"",IF((AND(FIND('112'!$M$9,G629,1)&gt;=1,B629&lt;'112'!$K$9,$N629='112'!$I$6)),"x",""))</f>
        <v/>
      </c>
      <c r="V629" s="87" t="str">
        <f>IF(ISERROR(FIND('112'!$M$9,G629,1)),"",IF((AND(FIND('112'!$M$9,G629,1)&gt;=1,B629&lt;'112'!$K$9,$O629='112'!$I$6)),"x",""))</f>
        <v/>
      </c>
      <c r="W629" s="87" t="str">
        <f>IF(AND($B629&gt;='1331'!$I$9,$B629&lt;='1331'!$J$9,OR($N629=$W$7,$O629=$W$7)),"x","")</f>
        <v/>
      </c>
      <c r="X629" s="87" t="str">
        <f>IF(AND($N629=$W$7,$B629&lt;'1331'!$I$9),"x","")</f>
        <v/>
      </c>
      <c r="Y629" s="87" t="str">
        <f>IF(AND($O629=$W$7,$B629&lt;'1331'!$I$9),"x","")</f>
        <v/>
      </c>
      <c r="Z629" s="87" t="str">
        <f>IF(AND('341-CT'!$H$9=H629,OR(LEFT(N629,3)=$Z$7,LEFT(O629,3)=$Z$7)),"x","")</f>
        <v/>
      </c>
      <c r="AA629" s="87" t="str">
        <f>IF(OR(TH!N629=TH!$AA$7,O629=TH!$AA$7),"x","")</f>
        <v/>
      </c>
      <c r="AB629" s="87" t="str">
        <f>IF(AND(OR(N629="131",O629="131"),H629='131-CT'!$H$9),"x","")</f>
        <v/>
      </c>
      <c r="AC629" s="87"/>
      <c r="AD629" s="87" t="str">
        <f>IF(AND(MONTH(E629)='IN-NX'!$J$5,'IN-NX'!$D$7=D629),"x","")</f>
        <v/>
      </c>
      <c r="AE629" s="87" t="str">
        <f>IF(AND(OR(LEFT(TH!N629,2)="15",LEFT(TH!O629,2)="15"),'152-CT'!$J$8=TH!F629),"x","")</f>
        <v/>
      </c>
      <c r="AF629" s="87" t="str">
        <f>IF(AND(OR(LEFT(TH!N629,2)="15",LEFT(TH!O629,2)="15"),'THE KHO'!$E$7=TH!F629),"x","")</f>
        <v/>
      </c>
      <c r="AG629" s="87" t="str">
        <f>IF(AND(N629="1521",MONTH(C629)='BK NL'!$M$11),"x","")</f>
        <v/>
      </c>
    </row>
    <row r="630" spans="1:33" ht="15.75" customHeight="1">
      <c r="A630" s="399" t="str">
        <f>IF(B630&lt;&gt;"",IF(AND(B630&gt;=_TM1,B630&lt;=_TM2,OR(TH!N630="1111",TH!O630="1111")),TH!D630,""),"")</f>
        <v/>
      </c>
      <c r="B630" s="63" t="str">
        <f t="shared" si="15"/>
        <v/>
      </c>
      <c r="C630" s="64"/>
      <c r="D630" s="64"/>
      <c r="E630" s="64"/>
      <c r="F630" s="67"/>
      <c r="G630" s="362"/>
      <c r="H630" s="75"/>
      <c r="I630" s="518"/>
      <c r="J630" s="518"/>
      <c r="K630" s="509"/>
      <c r="L630" s="518"/>
      <c r="M630" s="65"/>
      <c r="N630" s="66"/>
      <c r="O630" s="66"/>
      <c r="P630" s="87" t="str">
        <f>IF(AND('331-CT'!$E$7=TH!H630,OR(N630="331",O630="331")),"x","")</f>
        <v/>
      </c>
      <c r="Q630" s="87" t="str">
        <f>IF(AND(B630='111'!$L$11,OR($N630=$Q$7,$O630=$Q$7)),"x","")</f>
        <v/>
      </c>
      <c r="R630" s="87" t="str">
        <f>IF(AND($N630=$Q$7,$B630&lt;'111'!$L$11),"x","")</f>
        <v/>
      </c>
      <c r="S630" s="87" t="str">
        <f>IF(AND($O630=$Q$7,$B630&lt;'111'!$L$11),"x","")</f>
        <v/>
      </c>
      <c r="T630" s="87" t="str">
        <f>IF(ISERROR(FIND('112'!$M$9,G630,1)),"",IF((AND(FIND('112'!$M$9,G630,1)&gt;=1,B630='112'!$K$9,OR($N630='112'!$I$6,$O630='112'!$I$6))),"x",""))</f>
        <v/>
      </c>
      <c r="U630" s="87" t="str">
        <f>IF(ISERROR(FIND('112'!$M$9,G630,1)),"",IF((AND(FIND('112'!$M$9,G630,1)&gt;=1,B630&lt;'112'!$K$9,$N630='112'!$I$6)),"x",""))</f>
        <v/>
      </c>
      <c r="V630" s="87" t="str">
        <f>IF(ISERROR(FIND('112'!$M$9,G630,1)),"",IF((AND(FIND('112'!$M$9,G630,1)&gt;=1,B630&lt;'112'!$K$9,$O630='112'!$I$6)),"x",""))</f>
        <v/>
      </c>
      <c r="W630" s="87" t="str">
        <f>IF(AND($B630&gt;='1331'!$I$9,$B630&lt;='1331'!$J$9,OR($N630=$W$7,$O630=$W$7)),"x","")</f>
        <v/>
      </c>
      <c r="X630" s="87" t="str">
        <f>IF(AND($N630=$W$7,$B630&lt;'1331'!$I$9),"x","")</f>
        <v/>
      </c>
      <c r="Y630" s="87" t="str">
        <f>IF(AND($O630=$W$7,$B630&lt;'1331'!$I$9),"x","")</f>
        <v/>
      </c>
      <c r="Z630" s="87" t="str">
        <f>IF(AND('341-CT'!$H$9=H630,OR(LEFT(N630,3)=$Z$7,LEFT(O630,3)=$Z$7)),"x","")</f>
        <v/>
      </c>
      <c r="AA630" s="87" t="str">
        <f>IF(OR(TH!N630=TH!$AA$7,O630=TH!$AA$7),"x","")</f>
        <v/>
      </c>
      <c r="AB630" s="87" t="str">
        <f>IF(AND(OR(N630="131",O630="131"),H630='131-CT'!$H$9),"x","")</f>
        <v/>
      </c>
      <c r="AC630" s="87"/>
      <c r="AD630" s="87" t="str">
        <f>IF(AND(MONTH(E630)='IN-NX'!$J$5,'IN-NX'!$D$7=D630),"x","")</f>
        <v/>
      </c>
      <c r="AE630" s="87" t="str">
        <f>IF(AND(OR(LEFT(TH!N630,2)="15",LEFT(TH!O630,2)="15"),'152-CT'!$J$8=TH!F630),"x","")</f>
        <v/>
      </c>
      <c r="AF630" s="87" t="str">
        <f>IF(AND(OR(LEFT(TH!N630,2)="15",LEFT(TH!O630,2)="15"),'THE KHO'!$E$7=TH!F630),"x","")</f>
        <v/>
      </c>
      <c r="AG630" s="87" t="str">
        <f>IF(AND(N630="1521",MONTH(C630)='BK NL'!$M$11),"x","")</f>
        <v/>
      </c>
    </row>
    <row r="631" spans="1:33" ht="15.75" customHeight="1">
      <c r="A631" s="399" t="str">
        <f>IF(B631&lt;&gt;"",IF(AND(B631&gt;=_TM1,B631&lt;=_TM2,OR(TH!N631="1111",TH!O631="1111")),TH!D631,""),"")</f>
        <v/>
      </c>
      <c r="B631" s="63" t="str">
        <f t="shared" si="15"/>
        <v/>
      </c>
      <c r="C631" s="64"/>
      <c r="D631" s="64"/>
      <c r="E631" s="64"/>
      <c r="F631" s="67"/>
      <c r="G631" s="362"/>
      <c r="H631" s="75"/>
      <c r="I631" s="518"/>
      <c r="J631" s="518"/>
      <c r="K631" s="509"/>
      <c r="L631" s="518"/>
      <c r="M631" s="65"/>
      <c r="N631" s="66"/>
      <c r="O631" s="66"/>
      <c r="P631" s="87" t="str">
        <f>IF(AND('331-CT'!$E$7=TH!H631,OR(N631="331",O631="331")),"x","")</f>
        <v/>
      </c>
      <c r="Q631" s="87" t="str">
        <f>IF(AND(B631='111'!$L$11,OR($N631=$Q$7,$O631=$Q$7)),"x","")</f>
        <v/>
      </c>
      <c r="R631" s="87" t="str">
        <f>IF(AND($N631=$Q$7,$B631&lt;'111'!$L$11),"x","")</f>
        <v/>
      </c>
      <c r="S631" s="87" t="str">
        <f>IF(AND($O631=$Q$7,$B631&lt;'111'!$L$11),"x","")</f>
        <v/>
      </c>
      <c r="T631" s="87" t="str">
        <f>IF(ISERROR(FIND('112'!$M$9,G631,1)),"",IF((AND(FIND('112'!$M$9,G631,1)&gt;=1,B631='112'!$K$9,OR($N631='112'!$I$6,$O631='112'!$I$6))),"x",""))</f>
        <v/>
      </c>
      <c r="U631" s="87" t="str">
        <f>IF(ISERROR(FIND('112'!$M$9,G631,1)),"",IF((AND(FIND('112'!$M$9,G631,1)&gt;=1,B631&lt;'112'!$K$9,$N631='112'!$I$6)),"x",""))</f>
        <v/>
      </c>
      <c r="V631" s="87" t="str">
        <f>IF(ISERROR(FIND('112'!$M$9,G631,1)),"",IF((AND(FIND('112'!$M$9,G631,1)&gt;=1,B631&lt;'112'!$K$9,$O631='112'!$I$6)),"x",""))</f>
        <v/>
      </c>
      <c r="W631" s="87" t="str">
        <f>IF(AND($B631&gt;='1331'!$I$9,$B631&lt;='1331'!$J$9,OR($N631=$W$7,$O631=$W$7)),"x","")</f>
        <v/>
      </c>
      <c r="X631" s="87" t="str">
        <f>IF(AND($N631=$W$7,$B631&lt;'1331'!$I$9),"x","")</f>
        <v/>
      </c>
      <c r="Y631" s="87" t="str">
        <f>IF(AND($O631=$W$7,$B631&lt;'1331'!$I$9),"x","")</f>
        <v/>
      </c>
      <c r="Z631" s="87" t="str">
        <f>IF(AND('341-CT'!$H$9=H631,OR(LEFT(N631,3)=$Z$7,LEFT(O631,3)=$Z$7)),"x","")</f>
        <v/>
      </c>
      <c r="AA631" s="87" t="str">
        <f>IF(OR(TH!N631=TH!$AA$7,O631=TH!$AA$7),"x","")</f>
        <v/>
      </c>
      <c r="AB631" s="87" t="str">
        <f>IF(AND(OR(N631="131",O631="131"),H631='131-CT'!$H$9),"x","")</f>
        <v/>
      </c>
      <c r="AC631" s="87"/>
      <c r="AD631" s="87" t="str">
        <f>IF(AND(MONTH(E631)='IN-NX'!$J$5,'IN-NX'!$D$7=D631),"x","")</f>
        <v/>
      </c>
      <c r="AE631" s="87" t="str">
        <f>IF(AND(OR(LEFT(TH!N631,2)="15",LEFT(TH!O631,2)="15"),'152-CT'!$J$8=TH!F631),"x","")</f>
        <v/>
      </c>
      <c r="AF631" s="87" t="str">
        <f>IF(AND(OR(LEFT(TH!N631,2)="15",LEFT(TH!O631,2)="15"),'THE KHO'!$E$7=TH!F631),"x","")</f>
        <v/>
      </c>
      <c r="AG631" s="87" t="str">
        <f>IF(AND(N631="1521",MONTH(C631)='BK NL'!$M$11),"x","")</f>
        <v/>
      </c>
    </row>
    <row r="632" spans="1:33" ht="15.75" customHeight="1">
      <c r="A632" s="399" t="str">
        <f>IF(B632&lt;&gt;"",IF(AND(B632&gt;=_TM1,B632&lt;=_TM2,OR(TH!N632="1111",TH!O632="1111")),TH!D632,""),"")</f>
        <v/>
      </c>
      <c r="B632" s="63" t="str">
        <f t="shared" si="15"/>
        <v/>
      </c>
      <c r="C632" s="64"/>
      <c r="D632" s="64"/>
      <c r="E632" s="64"/>
      <c r="F632" s="67"/>
      <c r="G632" s="362"/>
      <c r="H632" s="75"/>
      <c r="I632" s="518"/>
      <c r="J632" s="518"/>
      <c r="K632" s="509"/>
      <c r="L632" s="518"/>
      <c r="M632" s="65"/>
      <c r="N632" s="66"/>
      <c r="O632" s="66"/>
      <c r="P632" s="87" t="str">
        <f>IF(AND('331-CT'!$E$7=TH!H632,OR(N632="331",O632="331")),"x","")</f>
        <v/>
      </c>
      <c r="Q632" s="87" t="str">
        <f>IF(AND(B632='111'!$L$11,OR($N632=$Q$7,$O632=$Q$7)),"x","")</f>
        <v/>
      </c>
      <c r="R632" s="87" t="str">
        <f>IF(AND($N632=$Q$7,$B632&lt;'111'!$L$11),"x","")</f>
        <v/>
      </c>
      <c r="S632" s="87" t="str">
        <f>IF(AND($O632=$Q$7,$B632&lt;'111'!$L$11),"x","")</f>
        <v/>
      </c>
      <c r="T632" s="87" t="str">
        <f>IF(ISERROR(FIND('112'!$M$9,G632,1)),"",IF((AND(FIND('112'!$M$9,G632,1)&gt;=1,B632='112'!$K$9,OR($N632='112'!$I$6,$O632='112'!$I$6))),"x",""))</f>
        <v/>
      </c>
      <c r="U632" s="87" t="str">
        <f>IF(ISERROR(FIND('112'!$M$9,G632,1)),"",IF((AND(FIND('112'!$M$9,G632,1)&gt;=1,B632&lt;'112'!$K$9,$N632='112'!$I$6)),"x",""))</f>
        <v/>
      </c>
      <c r="V632" s="87" t="str">
        <f>IF(ISERROR(FIND('112'!$M$9,G632,1)),"",IF((AND(FIND('112'!$M$9,G632,1)&gt;=1,B632&lt;'112'!$K$9,$O632='112'!$I$6)),"x",""))</f>
        <v/>
      </c>
      <c r="W632" s="87" t="str">
        <f>IF(AND($B632&gt;='1331'!$I$9,$B632&lt;='1331'!$J$9,OR($N632=$W$7,$O632=$W$7)),"x","")</f>
        <v/>
      </c>
      <c r="X632" s="87" t="str">
        <f>IF(AND($N632=$W$7,$B632&lt;'1331'!$I$9),"x","")</f>
        <v/>
      </c>
      <c r="Y632" s="87" t="str">
        <f>IF(AND($O632=$W$7,$B632&lt;'1331'!$I$9),"x","")</f>
        <v/>
      </c>
      <c r="Z632" s="87" t="str">
        <f>IF(AND('341-CT'!$H$9=H632,OR(LEFT(N632,3)=$Z$7,LEFT(O632,3)=$Z$7)),"x","")</f>
        <v/>
      </c>
      <c r="AA632" s="87" t="str">
        <f>IF(OR(TH!N632=TH!$AA$7,O632=TH!$AA$7),"x","")</f>
        <v/>
      </c>
      <c r="AB632" s="87" t="str">
        <f>IF(AND(OR(N632="131",O632="131"),H632='131-CT'!$H$9),"x","")</f>
        <v/>
      </c>
      <c r="AC632" s="87"/>
      <c r="AD632" s="87" t="str">
        <f>IF(AND(MONTH(E632)='IN-NX'!$J$5,'IN-NX'!$D$7=D632),"x","")</f>
        <v/>
      </c>
      <c r="AE632" s="87" t="str">
        <f>IF(AND(OR(LEFT(TH!N632,2)="15",LEFT(TH!O632,2)="15"),'152-CT'!$J$8=TH!F632),"x","")</f>
        <v/>
      </c>
      <c r="AF632" s="87" t="str">
        <f>IF(AND(OR(LEFT(TH!N632,2)="15",LEFT(TH!O632,2)="15"),'THE KHO'!$E$7=TH!F632),"x","")</f>
        <v/>
      </c>
      <c r="AG632" s="87" t="str">
        <f>IF(AND(N632="1521",MONTH(C632)='BK NL'!$M$11),"x","")</f>
        <v/>
      </c>
    </row>
    <row r="633" spans="1:33" ht="15.75" customHeight="1">
      <c r="A633" s="399" t="str">
        <f>IF(B633&lt;&gt;"",IF(AND(B633&gt;=_TM1,B633&lt;=_TM2,OR(TH!N633="1111",TH!O633="1111")),TH!D633,""),"")</f>
        <v/>
      </c>
      <c r="B633" s="63" t="str">
        <f t="shared" si="15"/>
        <v/>
      </c>
      <c r="C633" s="64"/>
      <c r="D633" s="64"/>
      <c r="E633" s="64"/>
      <c r="F633" s="67"/>
      <c r="G633" s="362"/>
      <c r="H633" s="75"/>
      <c r="I633" s="518"/>
      <c r="J633" s="518"/>
      <c r="K633" s="509"/>
      <c r="L633" s="518"/>
      <c r="M633" s="65"/>
      <c r="N633" s="66"/>
      <c r="O633" s="66"/>
      <c r="P633" s="87" t="str">
        <f>IF(AND('331-CT'!$E$7=TH!H633,OR(N633="331",O633="331")),"x","")</f>
        <v/>
      </c>
      <c r="Q633" s="87" t="str">
        <f>IF(AND(B633='111'!$L$11,OR($N633=$Q$7,$O633=$Q$7)),"x","")</f>
        <v/>
      </c>
      <c r="R633" s="87" t="str">
        <f>IF(AND($N633=$Q$7,$B633&lt;'111'!$L$11),"x","")</f>
        <v/>
      </c>
      <c r="S633" s="87" t="str">
        <f>IF(AND($O633=$Q$7,$B633&lt;'111'!$L$11),"x","")</f>
        <v/>
      </c>
      <c r="T633" s="87" t="str">
        <f>IF(ISERROR(FIND('112'!$M$9,G633,1)),"",IF((AND(FIND('112'!$M$9,G633,1)&gt;=1,B633='112'!$K$9,OR($N633='112'!$I$6,$O633='112'!$I$6))),"x",""))</f>
        <v/>
      </c>
      <c r="U633" s="87" t="str">
        <f>IF(ISERROR(FIND('112'!$M$9,G633,1)),"",IF((AND(FIND('112'!$M$9,G633,1)&gt;=1,B633&lt;'112'!$K$9,$N633='112'!$I$6)),"x",""))</f>
        <v/>
      </c>
      <c r="V633" s="87" t="str">
        <f>IF(ISERROR(FIND('112'!$M$9,G633,1)),"",IF((AND(FIND('112'!$M$9,G633,1)&gt;=1,B633&lt;'112'!$K$9,$O633='112'!$I$6)),"x",""))</f>
        <v/>
      </c>
      <c r="W633" s="87" t="str">
        <f>IF(AND($B633&gt;='1331'!$I$9,$B633&lt;='1331'!$J$9,OR($N633=$W$7,$O633=$W$7)),"x","")</f>
        <v/>
      </c>
      <c r="X633" s="87" t="str">
        <f>IF(AND($N633=$W$7,$B633&lt;'1331'!$I$9),"x","")</f>
        <v/>
      </c>
      <c r="Y633" s="87" t="str">
        <f>IF(AND($O633=$W$7,$B633&lt;'1331'!$I$9),"x","")</f>
        <v/>
      </c>
      <c r="Z633" s="87" t="str">
        <f>IF(AND('341-CT'!$H$9=H633,OR(LEFT(N633,3)=$Z$7,LEFT(O633,3)=$Z$7)),"x","")</f>
        <v/>
      </c>
      <c r="AA633" s="87" t="str">
        <f>IF(OR(TH!N633=TH!$AA$7,O633=TH!$AA$7),"x","")</f>
        <v/>
      </c>
      <c r="AB633" s="87" t="str">
        <f>IF(AND(OR(N633="131",O633="131"),H633='131-CT'!$H$9),"x","")</f>
        <v/>
      </c>
      <c r="AC633" s="87"/>
      <c r="AD633" s="87" t="str">
        <f>IF(AND(MONTH(E633)='IN-NX'!$J$5,'IN-NX'!$D$7=D633),"x","")</f>
        <v/>
      </c>
      <c r="AE633" s="87" t="str">
        <f>IF(AND(OR(LEFT(TH!N633,2)="15",LEFT(TH!O633,2)="15"),'152-CT'!$J$8=TH!F633),"x","")</f>
        <v/>
      </c>
      <c r="AF633" s="87" t="str">
        <f>IF(AND(OR(LEFT(TH!N633,2)="15",LEFT(TH!O633,2)="15"),'THE KHO'!$E$7=TH!F633),"x","")</f>
        <v/>
      </c>
      <c r="AG633" s="87" t="str">
        <f>IF(AND(N633="1521",MONTH(C633)='BK NL'!$M$11),"x","")</f>
        <v/>
      </c>
    </row>
    <row r="634" spans="1:33" ht="15.75" customHeight="1">
      <c r="A634" s="399" t="str">
        <f>IF(B634&lt;&gt;"",IF(AND(B634&gt;=_TM1,B634&lt;=_TM2,OR(TH!N634="1111",TH!O634="1111")),TH!D634,""),"")</f>
        <v/>
      </c>
      <c r="B634" s="63" t="str">
        <f t="shared" si="15"/>
        <v/>
      </c>
      <c r="C634" s="64"/>
      <c r="D634" s="64"/>
      <c r="E634" s="64"/>
      <c r="F634" s="67"/>
      <c r="G634" s="362"/>
      <c r="H634" s="75"/>
      <c r="I634" s="518"/>
      <c r="J634" s="518"/>
      <c r="K634" s="509"/>
      <c r="L634" s="518"/>
      <c r="M634" s="65"/>
      <c r="N634" s="66"/>
      <c r="O634" s="66"/>
      <c r="P634" s="87" t="str">
        <f>IF(AND('331-CT'!$E$7=TH!H634,OR(N634="331",O634="331")),"x","")</f>
        <v/>
      </c>
      <c r="Q634" s="87" t="str">
        <f>IF(AND(B634='111'!$L$11,OR($N634=$Q$7,$O634=$Q$7)),"x","")</f>
        <v/>
      </c>
      <c r="R634" s="87" t="str">
        <f>IF(AND($N634=$Q$7,$B634&lt;'111'!$L$11),"x","")</f>
        <v/>
      </c>
      <c r="S634" s="87" t="str">
        <f>IF(AND($O634=$Q$7,$B634&lt;'111'!$L$11),"x","")</f>
        <v/>
      </c>
      <c r="T634" s="87" t="str">
        <f>IF(ISERROR(FIND('112'!$M$9,G634,1)),"",IF((AND(FIND('112'!$M$9,G634,1)&gt;=1,B634='112'!$K$9,OR($N634='112'!$I$6,$O634='112'!$I$6))),"x",""))</f>
        <v/>
      </c>
      <c r="U634" s="87" t="str">
        <f>IF(ISERROR(FIND('112'!$M$9,G634,1)),"",IF((AND(FIND('112'!$M$9,G634,1)&gt;=1,B634&lt;'112'!$K$9,$N634='112'!$I$6)),"x",""))</f>
        <v/>
      </c>
      <c r="V634" s="87" t="str">
        <f>IF(ISERROR(FIND('112'!$M$9,G634,1)),"",IF((AND(FIND('112'!$M$9,G634,1)&gt;=1,B634&lt;'112'!$K$9,$O634='112'!$I$6)),"x",""))</f>
        <v/>
      </c>
      <c r="W634" s="87" t="str">
        <f>IF(AND($B634&gt;='1331'!$I$9,$B634&lt;='1331'!$J$9,OR($N634=$W$7,$O634=$W$7)),"x","")</f>
        <v/>
      </c>
      <c r="X634" s="87" t="str">
        <f>IF(AND($N634=$W$7,$B634&lt;'1331'!$I$9),"x","")</f>
        <v/>
      </c>
      <c r="Y634" s="87" t="str">
        <f>IF(AND($O634=$W$7,$B634&lt;'1331'!$I$9),"x","")</f>
        <v/>
      </c>
      <c r="Z634" s="87" t="str">
        <f>IF(AND('341-CT'!$H$9=H634,OR(LEFT(N634,3)=$Z$7,LEFT(O634,3)=$Z$7)),"x","")</f>
        <v/>
      </c>
      <c r="AA634" s="87" t="str">
        <f>IF(OR(TH!N634=TH!$AA$7,O634=TH!$AA$7),"x","")</f>
        <v/>
      </c>
      <c r="AB634" s="87" t="str">
        <f>IF(AND(OR(N634="131",O634="131"),H634='131-CT'!$H$9),"x","")</f>
        <v/>
      </c>
      <c r="AC634" s="87"/>
      <c r="AD634" s="87" t="str">
        <f>IF(AND(MONTH(E634)='IN-NX'!$J$5,'IN-NX'!$D$7=D634),"x","")</f>
        <v/>
      </c>
      <c r="AE634" s="87" t="str">
        <f>IF(AND(OR(LEFT(TH!N634,2)="15",LEFT(TH!O634,2)="15"),'152-CT'!$J$8=TH!F634),"x","")</f>
        <v/>
      </c>
      <c r="AF634" s="87" t="str">
        <f>IF(AND(OR(LEFT(TH!N634,2)="15",LEFT(TH!O634,2)="15"),'THE KHO'!$E$7=TH!F634),"x","")</f>
        <v/>
      </c>
      <c r="AG634" s="87" t="str">
        <f>IF(AND(N634="1521",MONTH(C634)='BK NL'!$M$11),"x","")</f>
        <v/>
      </c>
    </row>
    <row r="635" spans="1:33" ht="15.75" customHeight="1">
      <c r="A635" s="399" t="str">
        <f>IF(B635&lt;&gt;"",IF(AND(B635&gt;=_TM1,B635&lt;=_TM2,OR(TH!N635="1111",TH!O635="1111")),TH!D635,""),"")</f>
        <v/>
      </c>
      <c r="B635" s="63" t="str">
        <f t="shared" si="15"/>
        <v/>
      </c>
      <c r="C635" s="64"/>
      <c r="D635" s="64"/>
      <c r="E635" s="64"/>
      <c r="F635" s="67"/>
      <c r="G635" s="362"/>
      <c r="H635" s="75"/>
      <c r="I635" s="518"/>
      <c r="J635" s="518"/>
      <c r="K635" s="509"/>
      <c r="L635" s="518"/>
      <c r="M635" s="65"/>
      <c r="N635" s="66"/>
      <c r="O635" s="66"/>
      <c r="P635" s="87" t="str">
        <f>IF(AND('331-CT'!$E$7=TH!H635,OR(N635="331",O635="331")),"x","")</f>
        <v/>
      </c>
      <c r="Q635" s="87" t="str">
        <f>IF(AND(B635='111'!$L$11,OR($N635=$Q$7,$O635=$Q$7)),"x","")</f>
        <v/>
      </c>
      <c r="R635" s="87" t="str">
        <f>IF(AND($N635=$Q$7,$B635&lt;'111'!$L$11),"x","")</f>
        <v/>
      </c>
      <c r="S635" s="87" t="str">
        <f>IF(AND($O635=$Q$7,$B635&lt;'111'!$L$11),"x","")</f>
        <v/>
      </c>
      <c r="T635" s="87" t="str">
        <f>IF(ISERROR(FIND('112'!$M$9,G635,1)),"",IF((AND(FIND('112'!$M$9,G635,1)&gt;=1,B635='112'!$K$9,OR($N635='112'!$I$6,$O635='112'!$I$6))),"x",""))</f>
        <v/>
      </c>
      <c r="U635" s="87" t="str">
        <f>IF(ISERROR(FIND('112'!$M$9,G635,1)),"",IF((AND(FIND('112'!$M$9,G635,1)&gt;=1,B635&lt;'112'!$K$9,$N635='112'!$I$6)),"x",""))</f>
        <v/>
      </c>
      <c r="V635" s="87" t="str">
        <f>IF(ISERROR(FIND('112'!$M$9,G635,1)),"",IF((AND(FIND('112'!$M$9,G635,1)&gt;=1,B635&lt;'112'!$K$9,$O635='112'!$I$6)),"x",""))</f>
        <v/>
      </c>
      <c r="W635" s="87" t="str">
        <f>IF(AND($B635&gt;='1331'!$I$9,$B635&lt;='1331'!$J$9,OR($N635=$W$7,$O635=$W$7)),"x","")</f>
        <v/>
      </c>
      <c r="X635" s="87" t="str">
        <f>IF(AND($N635=$W$7,$B635&lt;'1331'!$I$9),"x","")</f>
        <v/>
      </c>
      <c r="Y635" s="87" t="str">
        <f>IF(AND($O635=$W$7,$B635&lt;'1331'!$I$9),"x","")</f>
        <v/>
      </c>
      <c r="Z635" s="87" t="str">
        <f>IF(AND('341-CT'!$H$9=H635,OR(LEFT(N635,3)=$Z$7,LEFT(O635,3)=$Z$7)),"x","")</f>
        <v/>
      </c>
      <c r="AA635" s="87" t="str">
        <f>IF(OR(TH!N635=TH!$AA$7,O635=TH!$AA$7),"x","")</f>
        <v/>
      </c>
      <c r="AB635" s="87" t="str">
        <f>IF(AND(OR(N635="131",O635="131"),H635='131-CT'!$H$9),"x","")</f>
        <v/>
      </c>
      <c r="AC635" s="87"/>
      <c r="AD635" s="87" t="str">
        <f>IF(AND(MONTH(E635)='IN-NX'!$J$5,'IN-NX'!$D$7=D635),"x","")</f>
        <v/>
      </c>
      <c r="AE635" s="87" t="str">
        <f>IF(AND(OR(LEFT(TH!N635,2)="15",LEFT(TH!O635,2)="15"),'152-CT'!$J$8=TH!F635),"x","")</f>
        <v/>
      </c>
      <c r="AF635" s="87" t="str">
        <f>IF(AND(OR(LEFT(TH!N635,2)="15",LEFT(TH!O635,2)="15"),'THE KHO'!$E$7=TH!F635),"x","")</f>
        <v/>
      </c>
      <c r="AG635" s="87" t="str">
        <f>IF(AND(N635="1521",MONTH(C635)='BK NL'!$M$11),"x","")</f>
        <v/>
      </c>
    </row>
    <row r="636" spans="1:33" ht="15.75" customHeight="1">
      <c r="A636" s="399" t="str">
        <f>IF(B636&lt;&gt;"",IF(AND(B636&gt;=_TM1,B636&lt;=_TM2,OR(TH!N636="1111",TH!O636="1111")),TH!D636,""),"")</f>
        <v/>
      </c>
      <c r="B636" s="63" t="str">
        <f t="shared" si="15"/>
        <v/>
      </c>
      <c r="C636" s="64"/>
      <c r="D636" s="64"/>
      <c r="E636" s="64"/>
      <c r="F636" s="67"/>
      <c r="G636" s="362"/>
      <c r="H636" s="75"/>
      <c r="I636" s="518"/>
      <c r="J636" s="518"/>
      <c r="K636" s="509"/>
      <c r="L636" s="518"/>
      <c r="M636" s="65"/>
      <c r="N636" s="66"/>
      <c r="O636" s="66"/>
      <c r="P636" s="87" t="str">
        <f>IF(AND('331-CT'!$E$7=TH!H636,OR(N636="331",O636="331")),"x","")</f>
        <v/>
      </c>
      <c r="Q636" s="87" t="str">
        <f>IF(AND(B636='111'!$L$11,OR($N636=$Q$7,$O636=$Q$7)),"x","")</f>
        <v/>
      </c>
      <c r="R636" s="87" t="str">
        <f>IF(AND($N636=$Q$7,$B636&lt;'111'!$L$11),"x","")</f>
        <v/>
      </c>
      <c r="S636" s="87" t="str">
        <f>IF(AND($O636=$Q$7,$B636&lt;'111'!$L$11),"x","")</f>
        <v/>
      </c>
      <c r="T636" s="87" t="str">
        <f>IF(ISERROR(FIND('112'!$M$9,G636,1)),"",IF((AND(FIND('112'!$M$9,G636,1)&gt;=1,B636='112'!$K$9,OR($N636='112'!$I$6,$O636='112'!$I$6))),"x",""))</f>
        <v/>
      </c>
      <c r="U636" s="87" t="str">
        <f>IF(ISERROR(FIND('112'!$M$9,G636,1)),"",IF((AND(FIND('112'!$M$9,G636,1)&gt;=1,B636&lt;'112'!$K$9,$N636='112'!$I$6)),"x",""))</f>
        <v/>
      </c>
      <c r="V636" s="87" t="str">
        <f>IF(ISERROR(FIND('112'!$M$9,G636,1)),"",IF((AND(FIND('112'!$M$9,G636,1)&gt;=1,B636&lt;'112'!$K$9,$O636='112'!$I$6)),"x",""))</f>
        <v/>
      </c>
      <c r="W636" s="87" t="str">
        <f>IF(AND($B636&gt;='1331'!$I$9,$B636&lt;='1331'!$J$9,OR($N636=$W$7,$O636=$W$7)),"x","")</f>
        <v/>
      </c>
      <c r="X636" s="87" t="str">
        <f>IF(AND($N636=$W$7,$B636&lt;'1331'!$I$9),"x","")</f>
        <v/>
      </c>
      <c r="Y636" s="87" t="str">
        <f>IF(AND($O636=$W$7,$B636&lt;'1331'!$I$9),"x","")</f>
        <v/>
      </c>
      <c r="Z636" s="87" t="str">
        <f>IF(AND('341-CT'!$H$9=H636,OR(LEFT(N636,3)=$Z$7,LEFT(O636,3)=$Z$7)),"x","")</f>
        <v/>
      </c>
      <c r="AA636" s="87" t="str">
        <f>IF(OR(TH!N636=TH!$AA$7,O636=TH!$AA$7),"x","")</f>
        <v/>
      </c>
      <c r="AB636" s="87" t="str">
        <f>IF(AND(OR(N636="131",O636="131"),H636='131-CT'!$H$9),"x","")</f>
        <v/>
      </c>
      <c r="AC636" s="87"/>
      <c r="AD636" s="87" t="str">
        <f>IF(AND(MONTH(E636)='IN-NX'!$J$5,'IN-NX'!$D$7=D636),"x","")</f>
        <v/>
      </c>
      <c r="AE636" s="87" t="str">
        <f>IF(AND(OR(LEFT(TH!N636,2)="15",LEFT(TH!O636,2)="15"),'152-CT'!$J$8=TH!F636),"x","")</f>
        <v/>
      </c>
      <c r="AF636" s="87" t="str">
        <f>IF(AND(OR(LEFT(TH!N636,2)="15",LEFT(TH!O636,2)="15"),'THE KHO'!$E$7=TH!F636),"x","")</f>
        <v/>
      </c>
      <c r="AG636" s="87" t="str">
        <f>IF(AND(N636="1521",MONTH(C636)='BK NL'!$M$11),"x","")</f>
        <v/>
      </c>
    </row>
    <row r="637" spans="1:33" ht="15.75" customHeight="1">
      <c r="A637" s="399" t="str">
        <f>IF(B637&lt;&gt;"",IF(AND(B637&gt;=_TM1,B637&lt;=_TM2,OR(TH!N637="1111",TH!O637="1111")),TH!D637,""),"")</f>
        <v/>
      </c>
      <c r="B637" s="63" t="str">
        <f t="shared" si="15"/>
        <v/>
      </c>
      <c r="C637" s="64"/>
      <c r="D637" s="64"/>
      <c r="E637" s="64"/>
      <c r="F637" s="67"/>
      <c r="G637" s="362"/>
      <c r="H637" s="75"/>
      <c r="I637" s="518"/>
      <c r="J637" s="518"/>
      <c r="K637" s="509"/>
      <c r="L637" s="518"/>
      <c r="M637" s="65"/>
      <c r="N637" s="66"/>
      <c r="O637" s="66"/>
      <c r="P637" s="87" t="str">
        <f>IF(AND('331-CT'!$E$7=TH!H637,OR(N637="331",O637="331")),"x","")</f>
        <v/>
      </c>
      <c r="Q637" s="87" t="str">
        <f>IF(AND(B637='111'!$L$11,OR($N637=$Q$7,$O637=$Q$7)),"x","")</f>
        <v/>
      </c>
      <c r="R637" s="87" t="str">
        <f>IF(AND($N637=$Q$7,$B637&lt;'111'!$L$11),"x","")</f>
        <v/>
      </c>
      <c r="S637" s="87" t="str">
        <f>IF(AND($O637=$Q$7,$B637&lt;'111'!$L$11),"x","")</f>
        <v/>
      </c>
      <c r="T637" s="87" t="str">
        <f>IF(ISERROR(FIND('112'!$M$9,G637,1)),"",IF((AND(FIND('112'!$M$9,G637,1)&gt;=1,B637='112'!$K$9,OR($N637='112'!$I$6,$O637='112'!$I$6))),"x",""))</f>
        <v/>
      </c>
      <c r="U637" s="87" t="str">
        <f>IF(ISERROR(FIND('112'!$M$9,G637,1)),"",IF((AND(FIND('112'!$M$9,G637,1)&gt;=1,B637&lt;'112'!$K$9,$N637='112'!$I$6)),"x",""))</f>
        <v/>
      </c>
      <c r="V637" s="87" t="str">
        <f>IF(ISERROR(FIND('112'!$M$9,G637,1)),"",IF((AND(FIND('112'!$M$9,G637,1)&gt;=1,B637&lt;'112'!$K$9,$O637='112'!$I$6)),"x",""))</f>
        <v/>
      </c>
      <c r="W637" s="87" t="str">
        <f>IF(AND($B637&gt;='1331'!$I$9,$B637&lt;='1331'!$J$9,OR($N637=$W$7,$O637=$W$7)),"x","")</f>
        <v/>
      </c>
      <c r="X637" s="87" t="str">
        <f>IF(AND($N637=$W$7,$B637&lt;'1331'!$I$9),"x","")</f>
        <v/>
      </c>
      <c r="Y637" s="87" t="str">
        <f>IF(AND($O637=$W$7,$B637&lt;'1331'!$I$9),"x","")</f>
        <v/>
      </c>
      <c r="Z637" s="87" t="str">
        <f>IF(AND('341-CT'!$H$9=H637,OR(LEFT(N637,3)=$Z$7,LEFT(O637,3)=$Z$7)),"x","")</f>
        <v/>
      </c>
      <c r="AA637" s="87" t="str">
        <f>IF(OR(TH!N637=TH!$AA$7,O637=TH!$AA$7),"x","")</f>
        <v/>
      </c>
      <c r="AB637" s="87" t="str">
        <f>IF(AND(OR(N637="131",O637="131"),H637='131-CT'!$H$9),"x","")</f>
        <v/>
      </c>
      <c r="AC637" s="87"/>
      <c r="AD637" s="87" t="str">
        <f>IF(AND(MONTH(E637)='IN-NX'!$J$5,'IN-NX'!$D$7=D637),"x","")</f>
        <v/>
      </c>
      <c r="AE637" s="87" t="str">
        <f>IF(AND(OR(LEFT(TH!N637,2)="15",LEFT(TH!O637,2)="15"),'152-CT'!$J$8=TH!F637),"x","")</f>
        <v/>
      </c>
      <c r="AF637" s="87" t="str">
        <f>IF(AND(OR(LEFT(TH!N637,2)="15",LEFT(TH!O637,2)="15"),'THE KHO'!$E$7=TH!F637),"x","")</f>
        <v/>
      </c>
      <c r="AG637" s="87" t="str">
        <f>IF(AND(N637="1521",MONTH(C637)='BK NL'!$M$11),"x","")</f>
        <v/>
      </c>
    </row>
    <row r="638" spans="1:33" ht="15.75" customHeight="1">
      <c r="A638" s="399" t="str">
        <f>IF(B638&lt;&gt;"",IF(AND(B638&gt;=_TM1,B638&lt;=_TM2,OR(TH!N638="1111",TH!O638="1111")),TH!D638,""),"")</f>
        <v/>
      </c>
      <c r="B638" s="63" t="str">
        <f t="shared" si="15"/>
        <v/>
      </c>
      <c r="C638" s="64"/>
      <c r="D638" s="64"/>
      <c r="E638" s="64"/>
      <c r="F638" s="67"/>
      <c r="G638" s="362"/>
      <c r="H638" s="75"/>
      <c r="I638" s="518"/>
      <c r="J638" s="518"/>
      <c r="K638" s="509"/>
      <c r="L638" s="518"/>
      <c r="M638" s="65"/>
      <c r="N638" s="66"/>
      <c r="O638" s="66"/>
      <c r="P638" s="87" t="str">
        <f>IF(AND('331-CT'!$E$7=TH!H638,OR(N638="331",O638="331")),"x","")</f>
        <v/>
      </c>
      <c r="Q638" s="87" t="str">
        <f>IF(AND(B638='111'!$L$11,OR($N638=$Q$7,$O638=$Q$7)),"x","")</f>
        <v/>
      </c>
      <c r="R638" s="87" t="str">
        <f>IF(AND($N638=$Q$7,$B638&lt;'111'!$L$11),"x","")</f>
        <v/>
      </c>
      <c r="S638" s="87" t="str">
        <f>IF(AND($O638=$Q$7,$B638&lt;'111'!$L$11),"x","")</f>
        <v/>
      </c>
      <c r="T638" s="87" t="str">
        <f>IF(ISERROR(FIND('112'!$M$9,G638,1)),"",IF((AND(FIND('112'!$M$9,G638,1)&gt;=1,B638='112'!$K$9,OR($N638='112'!$I$6,$O638='112'!$I$6))),"x",""))</f>
        <v/>
      </c>
      <c r="U638" s="87" t="str">
        <f>IF(ISERROR(FIND('112'!$M$9,G638,1)),"",IF((AND(FIND('112'!$M$9,G638,1)&gt;=1,B638&lt;'112'!$K$9,$N638='112'!$I$6)),"x",""))</f>
        <v/>
      </c>
      <c r="V638" s="87" t="str">
        <f>IF(ISERROR(FIND('112'!$M$9,G638,1)),"",IF((AND(FIND('112'!$M$9,G638,1)&gt;=1,B638&lt;'112'!$K$9,$O638='112'!$I$6)),"x",""))</f>
        <v/>
      </c>
      <c r="W638" s="87" t="str">
        <f>IF(AND($B638&gt;='1331'!$I$9,$B638&lt;='1331'!$J$9,OR($N638=$W$7,$O638=$W$7)),"x","")</f>
        <v/>
      </c>
      <c r="X638" s="87" t="str">
        <f>IF(AND($N638=$W$7,$B638&lt;'1331'!$I$9),"x","")</f>
        <v/>
      </c>
      <c r="Y638" s="87" t="str">
        <f>IF(AND($O638=$W$7,$B638&lt;'1331'!$I$9),"x","")</f>
        <v/>
      </c>
      <c r="Z638" s="87" t="str">
        <f>IF(AND('341-CT'!$H$9=H638,OR(LEFT(N638,3)=$Z$7,LEFT(O638,3)=$Z$7)),"x","")</f>
        <v/>
      </c>
      <c r="AA638" s="87" t="str">
        <f>IF(OR(TH!N638=TH!$AA$7,O638=TH!$AA$7),"x","")</f>
        <v/>
      </c>
      <c r="AB638" s="87" t="str">
        <f>IF(AND(OR(N638="131",O638="131"),H638='131-CT'!$H$9),"x","")</f>
        <v/>
      </c>
      <c r="AC638" s="87"/>
      <c r="AD638" s="87" t="str">
        <f>IF(AND(MONTH(E638)='IN-NX'!$J$5,'IN-NX'!$D$7=D638),"x","")</f>
        <v/>
      </c>
      <c r="AE638" s="87" t="str">
        <f>IF(AND(OR(LEFT(TH!N638,2)="15",LEFT(TH!O638,2)="15"),'152-CT'!$J$8=TH!F638),"x","")</f>
        <v/>
      </c>
      <c r="AF638" s="87" t="str">
        <f>IF(AND(OR(LEFT(TH!N638,2)="15",LEFT(TH!O638,2)="15"),'THE KHO'!$E$7=TH!F638),"x","")</f>
        <v/>
      </c>
      <c r="AG638" s="87" t="str">
        <f>IF(AND(N638="1521",MONTH(C638)='BK NL'!$M$11),"x","")</f>
        <v/>
      </c>
    </row>
    <row r="639" spans="1:33" ht="15.75" customHeight="1">
      <c r="A639" s="399" t="str">
        <f>IF(B639&lt;&gt;"",IF(AND(B639&gt;=_TM1,B639&lt;=_TM2,OR(TH!N639="1111",TH!O639="1111")),TH!D639,""),"")</f>
        <v/>
      </c>
      <c r="B639" s="63" t="str">
        <f t="shared" si="15"/>
        <v/>
      </c>
      <c r="C639" s="64"/>
      <c r="D639" s="64"/>
      <c r="E639" s="64"/>
      <c r="F639" s="67"/>
      <c r="G639" s="362"/>
      <c r="H639" s="75"/>
      <c r="I639" s="518"/>
      <c r="J639" s="518"/>
      <c r="K639" s="509"/>
      <c r="L639" s="518"/>
      <c r="M639" s="65"/>
      <c r="N639" s="66"/>
      <c r="O639" s="66"/>
      <c r="P639" s="87" t="str">
        <f>IF(AND('331-CT'!$E$7=TH!H639,OR(N639="331",O639="331")),"x","")</f>
        <v/>
      </c>
      <c r="Q639" s="87" t="str">
        <f>IF(AND(B639='111'!$L$11,OR($N639=$Q$7,$O639=$Q$7)),"x","")</f>
        <v/>
      </c>
      <c r="R639" s="87" t="str">
        <f>IF(AND($N639=$Q$7,$B639&lt;'111'!$L$11),"x","")</f>
        <v/>
      </c>
      <c r="S639" s="87" t="str">
        <f>IF(AND($O639=$Q$7,$B639&lt;'111'!$L$11),"x","")</f>
        <v/>
      </c>
      <c r="T639" s="87" t="str">
        <f>IF(ISERROR(FIND('112'!$M$9,G639,1)),"",IF((AND(FIND('112'!$M$9,G639,1)&gt;=1,B639='112'!$K$9,OR($N639='112'!$I$6,$O639='112'!$I$6))),"x",""))</f>
        <v/>
      </c>
      <c r="U639" s="87" t="str">
        <f>IF(ISERROR(FIND('112'!$M$9,G639,1)),"",IF((AND(FIND('112'!$M$9,G639,1)&gt;=1,B639&lt;'112'!$K$9,$N639='112'!$I$6)),"x",""))</f>
        <v/>
      </c>
      <c r="V639" s="87" t="str">
        <f>IF(ISERROR(FIND('112'!$M$9,G639,1)),"",IF((AND(FIND('112'!$M$9,G639,1)&gt;=1,B639&lt;'112'!$K$9,$O639='112'!$I$6)),"x",""))</f>
        <v/>
      </c>
      <c r="W639" s="87" t="str">
        <f>IF(AND($B639&gt;='1331'!$I$9,$B639&lt;='1331'!$J$9,OR($N639=$W$7,$O639=$W$7)),"x","")</f>
        <v/>
      </c>
      <c r="X639" s="87" t="str">
        <f>IF(AND($N639=$W$7,$B639&lt;'1331'!$I$9),"x","")</f>
        <v/>
      </c>
      <c r="Y639" s="87" t="str">
        <f>IF(AND($O639=$W$7,$B639&lt;'1331'!$I$9),"x","")</f>
        <v/>
      </c>
      <c r="Z639" s="87" t="str">
        <f>IF(AND('341-CT'!$H$9=H639,OR(LEFT(N639,3)=$Z$7,LEFT(O639,3)=$Z$7)),"x","")</f>
        <v/>
      </c>
      <c r="AA639" s="87" t="str">
        <f>IF(OR(TH!N639=TH!$AA$7,O639=TH!$AA$7),"x","")</f>
        <v/>
      </c>
      <c r="AB639" s="87" t="str">
        <f>IF(AND(OR(N639="131",O639="131"),H639='131-CT'!$H$9),"x","")</f>
        <v/>
      </c>
      <c r="AC639" s="87"/>
      <c r="AD639" s="87" t="str">
        <f>IF(AND(MONTH(E639)='IN-NX'!$J$5,'IN-NX'!$D$7=D639),"x","")</f>
        <v/>
      </c>
      <c r="AE639" s="87" t="str">
        <f>IF(AND(OR(LEFT(TH!N639,2)="15",LEFT(TH!O639,2)="15"),'152-CT'!$J$8=TH!F639),"x","")</f>
        <v/>
      </c>
      <c r="AF639" s="87" t="str">
        <f>IF(AND(OR(LEFT(TH!N639,2)="15",LEFT(TH!O639,2)="15"),'THE KHO'!$E$7=TH!F639),"x","")</f>
        <v/>
      </c>
      <c r="AG639" s="87" t="str">
        <f>IF(AND(N639="1521",MONTH(C639)='BK NL'!$M$11),"x","")</f>
        <v/>
      </c>
    </row>
    <row r="640" spans="1:33" ht="15.75" customHeight="1">
      <c r="A640" s="399" t="str">
        <f>IF(B640&lt;&gt;"",IF(AND(B640&gt;=_TM1,B640&lt;=_TM2,OR(TH!N640="1111",TH!O640="1111")),TH!D640,""),"")</f>
        <v/>
      </c>
      <c r="B640" s="63" t="str">
        <f t="shared" si="15"/>
        <v/>
      </c>
      <c r="C640" s="64"/>
      <c r="D640" s="64"/>
      <c r="E640" s="64"/>
      <c r="F640" s="67"/>
      <c r="G640" s="362"/>
      <c r="H640" s="75"/>
      <c r="I640" s="518"/>
      <c r="J640" s="518"/>
      <c r="K640" s="509"/>
      <c r="L640" s="518"/>
      <c r="M640" s="65"/>
      <c r="N640" s="66"/>
      <c r="O640" s="66"/>
      <c r="P640" s="87" t="str">
        <f>IF(AND('331-CT'!$E$7=TH!H640,OR(N640="331",O640="331")),"x","")</f>
        <v/>
      </c>
      <c r="Q640" s="87" t="str">
        <f>IF(AND(B640='111'!$L$11,OR($N640=$Q$7,$O640=$Q$7)),"x","")</f>
        <v/>
      </c>
      <c r="R640" s="87" t="str">
        <f>IF(AND($N640=$Q$7,$B640&lt;'111'!$L$11),"x","")</f>
        <v/>
      </c>
      <c r="S640" s="87" t="str">
        <f>IF(AND($O640=$Q$7,$B640&lt;'111'!$L$11),"x","")</f>
        <v/>
      </c>
      <c r="T640" s="87" t="str">
        <f>IF(ISERROR(FIND('112'!$M$9,G640,1)),"",IF((AND(FIND('112'!$M$9,G640,1)&gt;=1,B640='112'!$K$9,OR($N640='112'!$I$6,$O640='112'!$I$6))),"x",""))</f>
        <v/>
      </c>
      <c r="U640" s="87" t="str">
        <f>IF(ISERROR(FIND('112'!$M$9,G640,1)),"",IF((AND(FIND('112'!$M$9,G640,1)&gt;=1,B640&lt;'112'!$K$9,$N640='112'!$I$6)),"x",""))</f>
        <v/>
      </c>
      <c r="V640" s="87" t="str">
        <f>IF(ISERROR(FIND('112'!$M$9,G640,1)),"",IF((AND(FIND('112'!$M$9,G640,1)&gt;=1,B640&lt;'112'!$K$9,$O640='112'!$I$6)),"x",""))</f>
        <v/>
      </c>
      <c r="W640" s="87" t="str">
        <f>IF(AND($B640&gt;='1331'!$I$9,$B640&lt;='1331'!$J$9,OR($N640=$W$7,$O640=$W$7)),"x","")</f>
        <v/>
      </c>
      <c r="X640" s="87" t="str">
        <f>IF(AND($N640=$W$7,$B640&lt;'1331'!$I$9),"x","")</f>
        <v/>
      </c>
      <c r="Y640" s="87" t="str">
        <f>IF(AND($O640=$W$7,$B640&lt;'1331'!$I$9),"x","")</f>
        <v/>
      </c>
      <c r="Z640" s="87" t="str">
        <f>IF(AND('341-CT'!$H$9=H640,OR(LEFT(N640,3)=$Z$7,LEFT(O640,3)=$Z$7)),"x","")</f>
        <v/>
      </c>
      <c r="AA640" s="87" t="str">
        <f>IF(OR(TH!N640=TH!$AA$7,O640=TH!$AA$7),"x","")</f>
        <v/>
      </c>
      <c r="AB640" s="87" t="str">
        <f>IF(AND(OR(N640="131",O640="131"),H640='131-CT'!$H$9),"x","")</f>
        <v/>
      </c>
      <c r="AC640" s="87"/>
      <c r="AD640" s="87" t="str">
        <f>IF(AND(MONTH(E640)='IN-NX'!$J$5,'IN-NX'!$D$7=D640),"x","")</f>
        <v/>
      </c>
      <c r="AE640" s="87" t="str">
        <f>IF(AND(OR(LEFT(TH!N640,2)="15",LEFT(TH!O640,2)="15"),'152-CT'!$J$8=TH!F640),"x","")</f>
        <v/>
      </c>
      <c r="AF640" s="87" t="str">
        <f>IF(AND(OR(LEFT(TH!N640,2)="15",LEFT(TH!O640,2)="15"),'THE KHO'!$E$7=TH!F640),"x","")</f>
        <v/>
      </c>
      <c r="AG640" s="87" t="str">
        <f>IF(AND(N640="1521",MONTH(C640)='BK NL'!$M$11),"x","")</f>
        <v/>
      </c>
    </row>
    <row r="641" spans="1:33" ht="15.75" customHeight="1">
      <c r="A641" s="399" t="str">
        <f>IF(B641&lt;&gt;"",IF(AND(B641&gt;=_TM1,B641&lt;=_TM2,OR(TH!N641="1111",TH!O641="1111")),TH!D641,""),"")</f>
        <v/>
      </c>
      <c r="B641" s="63" t="str">
        <f t="shared" si="15"/>
        <v/>
      </c>
      <c r="C641" s="64"/>
      <c r="D641" s="64"/>
      <c r="E641" s="64"/>
      <c r="F641" s="67"/>
      <c r="G641" s="362"/>
      <c r="H641" s="75"/>
      <c r="I641" s="518"/>
      <c r="J641" s="518"/>
      <c r="K641" s="509"/>
      <c r="L641" s="518"/>
      <c r="M641" s="65"/>
      <c r="N641" s="66"/>
      <c r="O641" s="66"/>
      <c r="P641" s="87" t="str">
        <f>IF(AND('331-CT'!$E$7=TH!H641,OR(N641="331",O641="331")),"x","")</f>
        <v/>
      </c>
      <c r="Q641" s="87" t="str">
        <f>IF(AND(B641='111'!$L$11,OR($N641=$Q$7,$O641=$Q$7)),"x","")</f>
        <v/>
      </c>
      <c r="R641" s="87" t="str">
        <f>IF(AND($N641=$Q$7,$B641&lt;'111'!$L$11),"x","")</f>
        <v/>
      </c>
      <c r="S641" s="87" t="str">
        <f>IF(AND($O641=$Q$7,$B641&lt;'111'!$L$11),"x","")</f>
        <v/>
      </c>
      <c r="T641" s="87" t="str">
        <f>IF(ISERROR(FIND('112'!$M$9,G641,1)),"",IF((AND(FIND('112'!$M$9,G641,1)&gt;=1,B641='112'!$K$9,OR($N641='112'!$I$6,$O641='112'!$I$6))),"x",""))</f>
        <v/>
      </c>
      <c r="U641" s="87" t="str">
        <f>IF(ISERROR(FIND('112'!$M$9,G641,1)),"",IF((AND(FIND('112'!$M$9,G641,1)&gt;=1,B641&lt;'112'!$K$9,$N641='112'!$I$6)),"x",""))</f>
        <v/>
      </c>
      <c r="V641" s="87" t="str">
        <f>IF(ISERROR(FIND('112'!$M$9,G641,1)),"",IF((AND(FIND('112'!$M$9,G641,1)&gt;=1,B641&lt;'112'!$K$9,$O641='112'!$I$6)),"x",""))</f>
        <v/>
      </c>
      <c r="W641" s="87" t="str">
        <f>IF(AND($B641&gt;='1331'!$I$9,$B641&lt;='1331'!$J$9,OR($N641=$W$7,$O641=$W$7)),"x","")</f>
        <v/>
      </c>
      <c r="X641" s="87" t="str">
        <f>IF(AND($N641=$W$7,$B641&lt;'1331'!$I$9),"x","")</f>
        <v/>
      </c>
      <c r="Y641" s="87" t="str">
        <f>IF(AND($O641=$W$7,$B641&lt;'1331'!$I$9),"x","")</f>
        <v/>
      </c>
      <c r="Z641" s="87" t="str">
        <f>IF(AND('341-CT'!$H$9=H641,OR(LEFT(N641,3)=$Z$7,LEFT(O641,3)=$Z$7)),"x","")</f>
        <v/>
      </c>
      <c r="AA641" s="87" t="str">
        <f>IF(OR(TH!N641=TH!$AA$7,O641=TH!$AA$7),"x","")</f>
        <v/>
      </c>
      <c r="AB641" s="87" t="str">
        <f>IF(AND(OR(N641="131",O641="131"),H641='131-CT'!$H$9),"x","")</f>
        <v/>
      </c>
      <c r="AC641" s="87"/>
      <c r="AD641" s="87" t="str">
        <f>IF(AND(MONTH(E641)='IN-NX'!$J$5,'IN-NX'!$D$7=D641),"x","")</f>
        <v/>
      </c>
      <c r="AE641" s="87" t="str">
        <f>IF(AND(OR(LEFT(TH!N641,2)="15",LEFT(TH!O641,2)="15"),'152-CT'!$J$8=TH!F641),"x","")</f>
        <v/>
      </c>
      <c r="AF641" s="87" t="str">
        <f>IF(AND(OR(LEFT(TH!N641,2)="15",LEFT(TH!O641,2)="15"),'THE KHO'!$E$7=TH!F641),"x","")</f>
        <v/>
      </c>
      <c r="AG641" s="87" t="str">
        <f>IF(AND(N641="1521",MONTH(C641)='BK NL'!$M$11),"x","")</f>
        <v/>
      </c>
    </row>
    <row r="642" spans="1:33" ht="15.75" customHeight="1">
      <c r="A642" s="399" t="str">
        <f>IF(B642&lt;&gt;"",IF(AND(B642&gt;=_TM1,B642&lt;=_TM2,OR(TH!N642="1111",TH!O642="1111")),TH!D642,""),"")</f>
        <v/>
      </c>
      <c r="B642" s="63" t="str">
        <f t="shared" si="15"/>
        <v/>
      </c>
      <c r="C642" s="64"/>
      <c r="D642" s="64"/>
      <c r="E642" s="64"/>
      <c r="F642" s="67"/>
      <c r="G642" s="376"/>
      <c r="H642" s="365"/>
      <c r="I642" s="518"/>
      <c r="J642" s="518"/>
      <c r="K642" s="509"/>
      <c r="L642" s="518"/>
      <c r="M642" s="65"/>
      <c r="N642" s="66"/>
      <c r="O642" s="66"/>
      <c r="P642" s="87" t="str">
        <f>IF(AND('331-CT'!$E$7=TH!H642,OR(N642="331",O642="331")),"x","")</f>
        <v/>
      </c>
      <c r="Q642" s="87" t="str">
        <f>IF(AND(B642='111'!$L$11,OR($N642=$Q$7,$O642=$Q$7)),"x","")</f>
        <v/>
      </c>
      <c r="R642" s="87" t="str">
        <f>IF(AND($N642=$Q$7,$B642&lt;'111'!$L$11),"x","")</f>
        <v/>
      </c>
      <c r="S642" s="87" t="str">
        <f>IF(AND($O642=$Q$7,$B642&lt;'111'!$L$11),"x","")</f>
        <v/>
      </c>
      <c r="T642" s="87" t="str">
        <f>IF(ISERROR(FIND('112'!$M$9,G642,1)),"",IF((AND(FIND('112'!$M$9,G642,1)&gt;=1,B642='112'!$K$9,OR($N642='112'!$I$6,$O642='112'!$I$6))),"x",""))</f>
        <v/>
      </c>
      <c r="U642" s="87" t="str">
        <f>IF(ISERROR(FIND('112'!$M$9,G642,1)),"",IF((AND(FIND('112'!$M$9,G642,1)&gt;=1,B642&lt;'112'!$K$9,$N642='112'!$I$6)),"x",""))</f>
        <v/>
      </c>
      <c r="V642" s="87" t="str">
        <f>IF(ISERROR(FIND('112'!$M$9,G642,1)),"",IF((AND(FIND('112'!$M$9,G642,1)&gt;=1,B642&lt;'112'!$K$9,$O642='112'!$I$6)),"x",""))</f>
        <v/>
      </c>
      <c r="W642" s="87" t="str">
        <f>IF(AND($B642&gt;='1331'!$I$9,$B642&lt;='1331'!$J$9,OR($N642=$W$7,$O642=$W$7)),"x","")</f>
        <v/>
      </c>
      <c r="X642" s="87" t="str">
        <f>IF(AND($N642=$W$7,$B642&lt;'1331'!$I$9),"x","")</f>
        <v/>
      </c>
      <c r="Y642" s="87" t="str">
        <f>IF(AND($O642=$W$7,$B642&lt;'1331'!$I$9),"x","")</f>
        <v/>
      </c>
      <c r="Z642" s="87" t="str">
        <f>IF(AND('341-CT'!$H$9=H642,OR(LEFT(N642,3)=$Z$7,LEFT(O642,3)=$Z$7)),"x","")</f>
        <v/>
      </c>
      <c r="AA642" s="87" t="str">
        <f>IF(OR(TH!N642=TH!$AA$7,O642=TH!$AA$7),"x","")</f>
        <v/>
      </c>
      <c r="AB642" s="87" t="str">
        <f>IF(AND(OR(N642="131",O642="131"),H642='131-CT'!$H$9),"x","")</f>
        <v/>
      </c>
      <c r="AC642" s="87"/>
      <c r="AD642" s="87" t="str">
        <f>IF(AND(MONTH(E642)='IN-NX'!$J$5,'IN-NX'!$D$7=D642),"x","")</f>
        <v/>
      </c>
      <c r="AE642" s="87" t="str">
        <f>IF(AND(OR(LEFT(TH!N642,2)="15",LEFT(TH!O642,2)="15"),'152-CT'!$J$8=TH!F642),"x","")</f>
        <v/>
      </c>
      <c r="AF642" s="87" t="str">
        <f>IF(AND(OR(LEFT(TH!N642,2)="15",LEFT(TH!O642,2)="15"),'THE KHO'!$E$7=TH!F642),"x","")</f>
        <v/>
      </c>
      <c r="AG642" s="87" t="str">
        <f>IF(AND(N642="1521",MONTH(C642)='BK NL'!$M$11),"x","")</f>
        <v/>
      </c>
    </row>
    <row r="643" spans="1:33" ht="15.75" customHeight="1">
      <c r="A643" s="399" t="str">
        <f>IF(B643&lt;&gt;"",IF(AND(B643&gt;=_TM1,B643&lt;=_TM2,OR(TH!N643="1111",TH!O643="1111")),TH!D643,""),"")</f>
        <v/>
      </c>
      <c r="B643" s="63" t="str">
        <f t="shared" si="15"/>
        <v/>
      </c>
      <c r="C643" s="64"/>
      <c r="D643" s="64"/>
      <c r="E643" s="64"/>
      <c r="F643" s="67"/>
      <c r="G643" s="376"/>
      <c r="H643" s="365"/>
      <c r="I643" s="518"/>
      <c r="J643" s="518"/>
      <c r="K643" s="509"/>
      <c r="L643" s="518"/>
      <c r="M643" s="65"/>
      <c r="N643" s="66"/>
      <c r="O643" s="66"/>
      <c r="P643" s="87" t="str">
        <f>IF(AND('331-CT'!$E$7=TH!H643,OR(N643="331",O643="331")),"x","")</f>
        <v/>
      </c>
      <c r="Q643" s="87" t="str">
        <f>IF(AND(B643='111'!$L$11,OR($N643=$Q$7,$O643=$Q$7)),"x","")</f>
        <v/>
      </c>
      <c r="R643" s="87" t="str">
        <f>IF(AND($N643=$Q$7,$B643&lt;'111'!$L$11),"x","")</f>
        <v/>
      </c>
      <c r="S643" s="87" t="str">
        <f>IF(AND($O643=$Q$7,$B643&lt;'111'!$L$11),"x","")</f>
        <v/>
      </c>
      <c r="T643" s="87" t="str">
        <f>IF(ISERROR(FIND('112'!$M$9,G643,1)),"",IF((AND(FIND('112'!$M$9,G643,1)&gt;=1,B643='112'!$K$9,OR($N643='112'!$I$6,$O643='112'!$I$6))),"x",""))</f>
        <v/>
      </c>
      <c r="U643" s="87" t="str">
        <f>IF(ISERROR(FIND('112'!$M$9,G643,1)),"",IF((AND(FIND('112'!$M$9,G643,1)&gt;=1,B643&lt;'112'!$K$9,$N643='112'!$I$6)),"x",""))</f>
        <v/>
      </c>
      <c r="V643" s="87" t="str">
        <f>IF(ISERROR(FIND('112'!$M$9,G643,1)),"",IF((AND(FIND('112'!$M$9,G643,1)&gt;=1,B643&lt;'112'!$K$9,$O643='112'!$I$6)),"x",""))</f>
        <v/>
      </c>
      <c r="W643" s="87" t="str">
        <f>IF(AND($B643&gt;='1331'!$I$9,$B643&lt;='1331'!$J$9,OR($N643=$W$7,$O643=$W$7)),"x","")</f>
        <v/>
      </c>
      <c r="X643" s="87" t="str">
        <f>IF(AND($N643=$W$7,$B643&lt;'1331'!$I$9),"x","")</f>
        <v/>
      </c>
      <c r="Y643" s="87" t="str">
        <f>IF(AND($O643=$W$7,$B643&lt;'1331'!$I$9),"x","")</f>
        <v/>
      </c>
      <c r="Z643" s="87" t="str">
        <f>IF(AND('341-CT'!$H$9=H643,OR(LEFT(N643,3)=$Z$7,LEFT(O643,3)=$Z$7)),"x","")</f>
        <v/>
      </c>
      <c r="AA643" s="87" t="str">
        <f>IF(OR(TH!N643=TH!$AA$7,O643=TH!$AA$7),"x","")</f>
        <v/>
      </c>
      <c r="AB643" s="87" t="str">
        <f>IF(AND(OR(N643="131",O643="131"),H643='131-CT'!$H$9),"x","")</f>
        <v/>
      </c>
      <c r="AC643" s="87"/>
      <c r="AD643" s="87" t="str">
        <f>IF(AND(MONTH(E643)='IN-NX'!$J$5,'IN-NX'!$D$7=D643),"x","")</f>
        <v/>
      </c>
      <c r="AE643" s="87" t="str">
        <f>IF(AND(OR(LEFT(TH!N643,2)="15",LEFT(TH!O643,2)="15"),'152-CT'!$J$8=TH!F643),"x","")</f>
        <v/>
      </c>
      <c r="AF643" s="87" t="str">
        <f>IF(AND(OR(LEFT(TH!N643,2)="15",LEFT(TH!O643,2)="15"),'THE KHO'!$E$7=TH!F643),"x","")</f>
        <v/>
      </c>
      <c r="AG643" s="87" t="str">
        <f>IF(AND(N643="1521",MONTH(C643)='BK NL'!$M$11),"x","")</f>
        <v/>
      </c>
    </row>
    <row r="644" spans="1:33" ht="15.75" customHeight="1">
      <c r="A644" s="399" t="str">
        <f>IF(B644&lt;&gt;"",IF(AND(B644&gt;=_TM1,B644&lt;=_TM2,OR(TH!N644="1111",TH!O644="1111")),TH!D644,""),"")</f>
        <v/>
      </c>
      <c r="B644" s="63" t="str">
        <f t="shared" si="15"/>
        <v/>
      </c>
      <c r="C644" s="64"/>
      <c r="D644" s="64"/>
      <c r="E644" s="64"/>
      <c r="F644" s="67"/>
      <c r="G644" s="376"/>
      <c r="H644" s="75"/>
      <c r="I644" s="518"/>
      <c r="J644" s="518"/>
      <c r="K644" s="509"/>
      <c r="L644" s="518"/>
      <c r="M644" s="65"/>
      <c r="N644" s="387"/>
      <c r="O644" s="66"/>
      <c r="P644" s="87" t="str">
        <f>IF(AND('331-CT'!$E$7=TH!H644,OR(N644="331",O644="331")),"x","")</f>
        <v/>
      </c>
      <c r="Q644" s="87" t="str">
        <f>IF(AND(B644='111'!$L$11,OR($N644=$Q$7,$O644=$Q$7)),"x","")</f>
        <v/>
      </c>
      <c r="R644" s="87" t="str">
        <f>IF(AND($N644=$Q$7,$B644&lt;'111'!$L$11),"x","")</f>
        <v/>
      </c>
      <c r="S644" s="87" t="str">
        <f>IF(AND($O644=$Q$7,$B644&lt;'111'!$L$11),"x","")</f>
        <v/>
      </c>
      <c r="T644" s="87" t="str">
        <f>IF(ISERROR(FIND('112'!$M$9,G644,1)),"",IF((AND(FIND('112'!$M$9,G644,1)&gt;=1,B644='112'!$K$9,OR($N644='112'!$I$6,$O644='112'!$I$6))),"x",""))</f>
        <v/>
      </c>
      <c r="U644" s="87" t="str">
        <f>IF(ISERROR(FIND('112'!$M$9,G644,1)),"",IF((AND(FIND('112'!$M$9,G644,1)&gt;=1,B644&lt;'112'!$K$9,$N644='112'!$I$6)),"x",""))</f>
        <v/>
      </c>
      <c r="V644" s="87" t="str">
        <f>IF(ISERROR(FIND('112'!$M$9,G644,1)),"",IF((AND(FIND('112'!$M$9,G644,1)&gt;=1,B644&lt;'112'!$K$9,$O644='112'!$I$6)),"x",""))</f>
        <v/>
      </c>
      <c r="W644" s="87" t="str">
        <f>IF(AND($B644&gt;='1331'!$I$9,$B644&lt;='1331'!$J$9,OR($N644=$W$7,$O644=$W$7)),"x","")</f>
        <v/>
      </c>
      <c r="X644" s="87" t="str">
        <f>IF(AND($N644=$W$7,$B644&lt;'1331'!$I$9),"x","")</f>
        <v/>
      </c>
      <c r="Y644" s="87" t="str">
        <f>IF(AND($O644=$W$7,$B644&lt;'1331'!$I$9),"x","")</f>
        <v/>
      </c>
      <c r="Z644" s="87" t="str">
        <f>IF(AND('341-CT'!$H$9=H644,OR(LEFT(N644,3)=$Z$7,LEFT(O644,3)=$Z$7)),"x","")</f>
        <v/>
      </c>
      <c r="AA644" s="87" t="str">
        <f>IF(OR(TH!N644=TH!$AA$7,O644=TH!$AA$7),"x","")</f>
        <v/>
      </c>
      <c r="AB644" s="87" t="str">
        <f>IF(AND(OR(N644="131",O644="131"),H644='131-CT'!$H$9),"x","")</f>
        <v/>
      </c>
      <c r="AC644" s="87"/>
      <c r="AD644" s="87" t="str">
        <f>IF(AND(MONTH(E644)='IN-NX'!$J$5,'IN-NX'!$D$7=D644),"x","")</f>
        <v/>
      </c>
      <c r="AE644" s="87" t="str">
        <f>IF(AND(OR(LEFT(TH!N644,2)="15",LEFT(TH!O644,2)="15"),'152-CT'!$J$8=TH!F644),"x","")</f>
        <v/>
      </c>
      <c r="AF644" s="87" t="str">
        <f>IF(AND(OR(LEFT(TH!N644,2)="15",LEFT(TH!O644,2)="15"),'THE KHO'!$E$7=TH!F644),"x","")</f>
        <v/>
      </c>
      <c r="AG644" s="87" t="str">
        <f>IF(AND(N644="1521",MONTH(C644)='BK NL'!$M$11),"x","")</f>
        <v/>
      </c>
    </row>
    <row r="645" spans="1:33" ht="17.25" customHeight="1">
      <c r="A645" s="399" t="str">
        <f>IF(B645&lt;&gt;"",IF(AND(B645&gt;=_TM1,B645&lt;=_TM2,OR(TH!N645="1111",TH!O645="1111")),TH!D645,""),"")</f>
        <v/>
      </c>
      <c r="B645" s="63" t="str">
        <f t="shared" si="15"/>
        <v/>
      </c>
      <c r="C645" s="64"/>
      <c r="D645" s="64"/>
      <c r="E645" s="64"/>
      <c r="F645" s="67"/>
      <c r="G645" s="376"/>
      <c r="H645" s="75"/>
      <c r="I645" s="518"/>
      <c r="J645" s="518"/>
      <c r="K645" s="509"/>
      <c r="L645" s="518"/>
      <c r="M645" s="65"/>
      <c r="N645" s="387"/>
      <c r="O645" s="66"/>
      <c r="P645" s="87" t="str">
        <f>IF(AND('331-CT'!$E$7=TH!H645,OR(N645="331",O645="331")),"x","")</f>
        <v/>
      </c>
      <c r="Q645" s="87" t="str">
        <f>IF(AND(B645='111'!$L$11,OR($N645=$Q$7,$O645=$Q$7)),"x","")</f>
        <v/>
      </c>
      <c r="R645" s="87" t="str">
        <f>IF(AND($N645=$Q$7,$B645&lt;'111'!$L$11),"x","")</f>
        <v/>
      </c>
      <c r="S645" s="87" t="str">
        <f>IF(AND($O645=$Q$7,$B645&lt;'111'!$L$11),"x","")</f>
        <v/>
      </c>
      <c r="T645" s="87" t="str">
        <f>IF(ISERROR(FIND('112'!$M$9,G645,1)),"",IF((AND(FIND('112'!$M$9,G645,1)&gt;=1,B645='112'!$K$9,OR($N645='112'!$I$6,$O645='112'!$I$6))),"x",""))</f>
        <v/>
      </c>
      <c r="U645" s="87" t="str">
        <f>IF(ISERROR(FIND('112'!$M$9,G645,1)),"",IF((AND(FIND('112'!$M$9,G645,1)&gt;=1,B645&lt;'112'!$K$9,$N645='112'!$I$6)),"x",""))</f>
        <v/>
      </c>
      <c r="V645" s="87" t="str">
        <f>IF(ISERROR(FIND('112'!$M$9,G645,1)),"",IF((AND(FIND('112'!$M$9,G645,1)&gt;=1,B645&lt;'112'!$K$9,$O645='112'!$I$6)),"x",""))</f>
        <v/>
      </c>
      <c r="W645" s="87" t="str">
        <f>IF(AND($B645&gt;='1331'!$I$9,$B645&lt;='1331'!$J$9,OR($N645=$W$7,$O645=$W$7)),"x","")</f>
        <v/>
      </c>
      <c r="X645" s="87" t="str">
        <f>IF(AND($N645=$W$7,$B645&lt;'1331'!$I$9),"x","")</f>
        <v/>
      </c>
      <c r="Y645" s="87" t="str">
        <f>IF(AND($O645=$W$7,$B645&lt;'1331'!$I$9),"x","")</f>
        <v/>
      </c>
      <c r="Z645" s="87" t="str">
        <f>IF(AND('341-CT'!$H$9=H645,OR(LEFT(N645,3)=$Z$7,LEFT(O645,3)=$Z$7)),"x","")</f>
        <v/>
      </c>
      <c r="AA645" s="87" t="str">
        <f>IF(OR(TH!N645=TH!$AA$7,O645=TH!$AA$7),"x","")</f>
        <v/>
      </c>
      <c r="AB645" s="87" t="str">
        <f>IF(AND(OR(N645="131",O645="131"),H645='131-CT'!$H$9),"x","")</f>
        <v/>
      </c>
      <c r="AC645" s="87"/>
      <c r="AD645" s="87" t="str">
        <f>IF(AND(MONTH(E645)='IN-NX'!$J$5,'IN-NX'!$D$7=D645),"x","")</f>
        <v/>
      </c>
      <c r="AE645" s="87" t="str">
        <f>IF(AND(OR(LEFT(TH!N645,2)="15",LEFT(TH!O645,2)="15"),'152-CT'!$J$8=TH!F645),"x","")</f>
        <v/>
      </c>
      <c r="AF645" s="87" t="str">
        <f>IF(AND(OR(LEFT(TH!N645,2)="15",LEFT(TH!O645,2)="15"),'THE KHO'!$E$7=TH!F645),"x","")</f>
        <v/>
      </c>
      <c r="AG645" s="87" t="str">
        <f>IF(AND(N645="1521",MONTH(C645)='BK NL'!$M$11),"x","")</f>
        <v/>
      </c>
    </row>
    <row r="646" spans="1:33" ht="17.25" customHeight="1">
      <c r="A646" s="399" t="str">
        <f>IF(B646&lt;&gt;"",IF(AND(B646&gt;=_TM1,B646&lt;=_TM2,OR(TH!N646="1111",TH!O646="1111")),TH!D646,""),"")</f>
        <v/>
      </c>
      <c r="B646" s="63" t="str">
        <f t="shared" si="15"/>
        <v/>
      </c>
      <c r="C646" s="64"/>
      <c r="D646" s="64"/>
      <c r="E646" s="64"/>
      <c r="F646" s="67"/>
      <c r="G646" s="376"/>
      <c r="H646" s="75"/>
      <c r="I646" s="518"/>
      <c r="J646" s="518"/>
      <c r="K646" s="509"/>
      <c r="L646" s="518"/>
      <c r="M646" s="65"/>
      <c r="N646" s="66"/>
      <c r="O646" s="66"/>
      <c r="P646" s="87" t="str">
        <f>IF(AND('331-CT'!$E$7=TH!H646,OR(N646="331",O646="331")),"x","")</f>
        <v/>
      </c>
      <c r="Q646" s="87" t="str">
        <f>IF(AND(B646='111'!$L$11,OR($N646=$Q$7,$O646=$Q$7)),"x","")</f>
        <v/>
      </c>
      <c r="R646" s="87" t="str">
        <f>IF(AND($N646=$Q$7,$B646&lt;'111'!$L$11),"x","")</f>
        <v/>
      </c>
      <c r="S646" s="87" t="str">
        <f>IF(AND($O646=$Q$7,$B646&lt;'111'!$L$11),"x","")</f>
        <v/>
      </c>
      <c r="T646" s="87" t="str">
        <f>IF(ISERROR(FIND('112'!$M$9,G646,1)),"",IF((AND(FIND('112'!$M$9,G646,1)&gt;=1,B646='112'!$K$9,OR($N646='112'!$I$6,$O646='112'!$I$6))),"x",""))</f>
        <v/>
      </c>
      <c r="U646" s="87" t="str">
        <f>IF(ISERROR(FIND('112'!$M$9,G646,1)),"",IF((AND(FIND('112'!$M$9,G646,1)&gt;=1,B646&lt;'112'!$K$9,$N646='112'!$I$6)),"x",""))</f>
        <v/>
      </c>
      <c r="V646" s="87" t="str">
        <f>IF(ISERROR(FIND('112'!$M$9,G646,1)),"",IF((AND(FIND('112'!$M$9,G646,1)&gt;=1,B646&lt;'112'!$K$9,$O646='112'!$I$6)),"x",""))</f>
        <v/>
      </c>
      <c r="W646" s="87" t="str">
        <f>IF(AND($B646&gt;='1331'!$I$9,$B646&lt;='1331'!$J$9,OR($N646=$W$7,$O646=$W$7)),"x","")</f>
        <v/>
      </c>
      <c r="X646" s="87" t="str">
        <f>IF(AND($N646=$W$7,$B646&lt;'1331'!$I$9),"x","")</f>
        <v/>
      </c>
      <c r="Y646" s="87" t="str">
        <f>IF(AND($O646=$W$7,$B646&lt;'1331'!$I$9),"x","")</f>
        <v/>
      </c>
      <c r="Z646" s="87" t="str">
        <f>IF(AND('341-CT'!$H$9=H646,OR(LEFT(N646,3)=$Z$7,LEFT(O646,3)=$Z$7)),"x","")</f>
        <v/>
      </c>
      <c r="AA646" s="87" t="str">
        <f>IF(OR(TH!N646=TH!$AA$7,O646=TH!$AA$7),"x","")</f>
        <v/>
      </c>
      <c r="AB646" s="87" t="str">
        <f>IF(AND(OR(N646="131",O646="131"),H646='131-CT'!$H$9),"x","")</f>
        <v/>
      </c>
      <c r="AC646" s="87"/>
      <c r="AD646" s="87" t="str">
        <f>IF(AND(MONTH(E646)='IN-NX'!$J$5,'IN-NX'!$D$7=D646),"x","")</f>
        <v/>
      </c>
      <c r="AE646" s="87" t="str">
        <f>IF(AND(OR(LEFT(TH!N646,2)="15",LEFT(TH!O646,2)="15"),'152-CT'!$J$8=TH!F646),"x","")</f>
        <v/>
      </c>
      <c r="AF646" s="87" t="str">
        <f>IF(AND(OR(LEFT(TH!N646,2)="15",LEFT(TH!O646,2)="15"),'THE KHO'!$E$7=TH!F646),"x","")</f>
        <v/>
      </c>
      <c r="AG646" s="87" t="str">
        <f>IF(AND(N646="1521",MONTH(C646)='BK NL'!$M$11),"x","")</f>
        <v/>
      </c>
    </row>
    <row r="647" spans="1:33" ht="17.25" customHeight="1">
      <c r="A647" s="399" t="str">
        <f>IF(B647&lt;&gt;"",IF(AND(B647&gt;=_TM1,B647&lt;=_TM2,OR(TH!N647="1111",TH!O647="1111")),TH!D647,""),"")</f>
        <v/>
      </c>
      <c r="B647" s="63" t="str">
        <f t="shared" si="15"/>
        <v/>
      </c>
      <c r="C647" s="64"/>
      <c r="D647" s="64"/>
      <c r="E647" s="64"/>
      <c r="F647" s="67"/>
      <c r="G647" s="376"/>
      <c r="H647" s="75"/>
      <c r="I647" s="518"/>
      <c r="J647" s="518"/>
      <c r="K647" s="509"/>
      <c r="L647" s="518"/>
      <c r="M647" s="65"/>
      <c r="N647" s="66"/>
      <c r="O647" s="66"/>
      <c r="P647" s="87" t="str">
        <f>IF(AND('331-CT'!$E$7=TH!H647,OR(N647="331",O647="331")),"x","")</f>
        <v/>
      </c>
      <c r="Q647" s="87" t="str">
        <f>IF(AND(B647='111'!$L$11,OR($N647=$Q$7,$O647=$Q$7)),"x","")</f>
        <v/>
      </c>
      <c r="R647" s="87" t="str">
        <f>IF(AND($N647=$Q$7,$B647&lt;'111'!$L$11),"x","")</f>
        <v/>
      </c>
      <c r="S647" s="87" t="str">
        <f>IF(AND($O647=$Q$7,$B647&lt;'111'!$L$11),"x","")</f>
        <v/>
      </c>
      <c r="T647" s="87" t="str">
        <f>IF(ISERROR(FIND('112'!$M$9,G647,1)),"",IF((AND(FIND('112'!$M$9,G647,1)&gt;=1,B647='112'!$K$9,OR($N647='112'!$I$6,$O647='112'!$I$6))),"x",""))</f>
        <v/>
      </c>
      <c r="U647" s="87" t="str">
        <f>IF(ISERROR(FIND('112'!$M$9,G647,1)),"",IF((AND(FIND('112'!$M$9,G647,1)&gt;=1,B647&lt;'112'!$K$9,$N647='112'!$I$6)),"x",""))</f>
        <v/>
      </c>
      <c r="V647" s="87" t="str">
        <f>IF(ISERROR(FIND('112'!$M$9,G647,1)),"",IF((AND(FIND('112'!$M$9,G647,1)&gt;=1,B647&lt;'112'!$K$9,$O647='112'!$I$6)),"x",""))</f>
        <v/>
      </c>
      <c r="W647" s="87" t="str">
        <f>IF(AND($B647&gt;='1331'!$I$9,$B647&lt;='1331'!$J$9,OR($N647=$W$7,$O647=$W$7)),"x","")</f>
        <v/>
      </c>
      <c r="X647" s="87" t="str">
        <f>IF(AND($N647=$W$7,$B647&lt;'1331'!$I$9),"x","")</f>
        <v/>
      </c>
      <c r="Y647" s="87" t="str">
        <f>IF(AND($O647=$W$7,$B647&lt;'1331'!$I$9),"x","")</f>
        <v/>
      </c>
      <c r="Z647" s="87" t="str">
        <f>IF(AND('341-CT'!$H$9=H647,OR(LEFT(N647,3)=$Z$7,LEFT(O647,3)=$Z$7)),"x","")</f>
        <v/>
      </c>
      <c r="AA647" s="87" t="str">
        <f>IF(OR(TH!N647=TH!$AA$7,O647=TH!$AA$7),"x","")</f>
        <v/>
      </c>
      <c r="AB647" s="87" t="str">
        <f>IF(AND(OR(N647="131",O647="131"),H647='131-CT'!$H$9),"x","")</f>
        <v/>
      </c>
      <c r="AC647" s="87"/>
      <c r="AD647" s="87" t="str">
        <f>IF(AND(MONTH(E647)='IN-NX'!$J$5,'IN-NX'!$D$7=D647),"x","")</f>
        <v/>
      </c>
      <c r="AE647" s="87" t="str">
        <f>IF(AND(OR(LEFT(TH!N647,2)="15",LEFT(TH!O647,2)="15"),'152-CT'!$J$8=TH!F647),"x","")</f>
        <v/>
      </c>
      <c r="AF647" s="87" t="str">
        <f>IF(AND(OR(LEFT(TH!N647,2)="15",LEFT(TH!O647,2)="15"),'THE KHO'!$E$7=TH!F647),"x","")</f>
        <v/>
      </c>
      <c r="AG647" s="87" t="str">
        <f>IF(AND(N647="1521",MONTH(C647)='BK NL'!$M$11),"x","")</f>
        <v/>
      </c>
    </row>
    <row r="648" spans="1:33" s="414" customFormat="1" ht="17.25" customHeight="1">
      <c r="A648" s="399" t="str">
        <f>IF(B648&lt;&gt;"",IF(AND(B648&gt;=_TM1,B648&lt;=_TM2,OR(TH!N648="1111",TH!O648="1111")),TH!D648,""),"")</f>
        <v/>
      </c>
      <c r="B648" s="63" t="str">
        <f t="shared" si="15"/>
        <v/>
      </c>
      <c r="C648" s="64"/>
      <c r="D648" s="64"/>
      <c r="E648" s="64"/>
      <c r="F648" s="67"/>
      <c r="G648" s="376"/>
      <c r="H648" s="75"/>
      <c r="I648" s="518"/>
      <c r="J648" s="518"/>
      <c r="K648" s="509"/>
      <c r="L648" s="518"/>
      <c r="M648" s="65"/>
      <c r="N648" s="66"/>
      <c r="O648" s="66"/>
      <c r="P648" s="87" t="str">
        <f>IF(AND('331-CT'!$E$7=TH!H648,OR(N648="331",O648="331")),"x","")</f>
        <v/>
      </c>
      <c r="Q648" s="87" t="str">
        <f>IF(AND(B648='111'!$L$11,OR($N648=$Q$7,$O648=$Q$7)),"x","")</f>
        <v/>
      </c>
      <c r="R648" s="87" t="str">
        <f>IF(AND($N648=$Q$7,$B648&lt;'111'!$L$11),"x","")</f>
        <v/>
      </c>
      <c r="S648" s="87" t="str">
        <f>IF(AND($O648=$Q$7,$B648&lt;'111'!$L$11),"x","")</f>
        <v/>
      </c>
      <c r="T648" s="87" t="str">
        <f>IF(ISERROR(FIND('112'!$M$9,G648,1)),"",IF((AND(FIND('112'!$M$9,G648,1)&gt;=1,B648='112'!$K$9,OR($N648='112'!$I$6,$O648='112'!$I$6))),"x",""))</f>
        <v/>
      </c>
      <c r="U648" s="87" t="str">
        <f>IF(ISERROR(FIND('112'!$M$9,G648,1)),"",IF((AND(FIND('112'!$M$9,G648,1)&gt;=1,B648&lt;'112'!$K$9,$N648='112'!$I$6)),"x",""))</f>
        <v/>
      </c>
      <c r="V648" s="87" t="str">
        <f>IF(ISERROR(FIND('112'!$M$9,G648,1)),"",IF((AND(FIND('112'!$M$9,G648,1)&gt;=1,B648&lt;'112'!$K$9,$O648='112'!$I$6)),"x",""))</f>
        <v/>
      </c>
      <c r="W648" s="87" t="str">
        <f>IF(AND($B648&gt;='1331'!$I$9,$B648&lt;='1331'!$J$9,OR($N648=$W$7,$O648=$W$7)),"x","")</f>
        <v/>
      </c>
      <c r="X648" s="87" t="str">
        <f>IF(AND($N648=$W$7,$B648&lt;'1331'!$I$9),"x","")</f>
        <v/>
      </c>
      <c r="Y648" s="87" t="str">
        <f>IF(AND($O648=$W$7,$B648&lt;'1331'!$I$9),"x","")</f>
        <v/>
      </c>
      <c r="Z648" s="87" t="str">
        <f>IF(AND('341-CT'!$H$9=H648,OR(LEFT(N648,3)=$Z$7,LEFT(O648,3)=$Z$7)),"x","")</f>
        <v/>
      </c>
      <c r="AA648" s="87" t="str">
        <f>IF(OR(TH!N648=TH!$AA$7,O648=TH!$AA$7),"x","")</f>
        <v/>
      </c>
      <c r="AB648" s="87" t="str">
        <f>IF(AND(OR(N648="131",O648="131"),H648='131-CT'!$H$9),"x","")</f>
        <v/>
      </c>
      <c r="AC648" s="87"/>
      <c r="AD648" s="87" t="str">
        <f>IF(AND(MONTH(E648)='IN-NX'!$J$5,'IN-NX'!$D$7=D648),"x","")</f>
        <v/>
      </c>
      <c r="AE648" s="87" t="str">
        <f>IF(AND(OR(LEFT(TH!N648,2)="15",LEFT(TH!O648,2)="15"),'152-CT'!$J$8=TH!F648),"x","")</f>
        <v/>
      </c>
      <c r="AF648" s="87" t="str">
        <f>IF(AND(OR(LEFT(TH!N648,2)="15",LEFT(TH!O648,2)="15"),'THE KHO'!$E$7=TH!F648),"x","")</f>
        <v/>
      </c>
      <c r="AG648" s="87" t="str">
        <f>IF(AND(N648="1521",MONTH(C648)='BK NL'!$M$11),"x","")</f>
        <v/>
      </c>
    </row>
    <row r="649" spans="1:33" s="414" customFormat="1" ht="17.25" customHeight="1">
      <c r="A649" s="399" t="str">
        <f>IF(B649&lt;&gt;"",IF(AND(B649&gt;=_TM1,B649&lt;=_TM2,OR(TH!N649="1111",TH!O649="1111")),TH!D649,""),"")</f>
        <v/>
      </c>
      <c r="B649" s="63" t="str">
        <f t="shared" si="15"/>
        <v/>
      </c>
      <c r="C649" s="64"/>
      <c r="D649" s="64"/>
      <c r="E649" s="64"/>
      <c r="F649" s="67"/>
      <c r="G649" s="376"/>
      <c r="H649" s="75"/>
      <c r="I649" s="518"/>
      <c r="J649" s="518"/>
      <c r="K649" s="509"/>
      <c r="L649" s="518"/>
      <c r="M649" s="65"/>
      <c r="N649" s="66"/>
      <c r="O649" s="66"/>
      <c r="P649" s="87" t="str">
        <f>IF(AND('331-CT'!$E$7=TH!H649,OR(N649="331",O649="331")),"x","")</f>
        <v/>
      </c>
      <c r="Q649" s="87" t="str">
        <f>IF(AND(B649='111'!$L$11,OR($N649=$Q$7,$O649=$Q$7)),"x","")</f>
        <v/>
      </c>
      <c r="R649" s="87" t="str">
        <f>IF(AND($N649=$Q$7,$B649&lt;'111'!$L$11),"x","")</f>
        <v/>
      </c>
      <c r="S649" s="87" t="str">
        <f>IF(AND($O649=$Q$7,$B649&lt;'111'!$L$11),"x","")</f>
        <v/>
      </c>
      <c r="T649" s="87" t="str">
        <f>IF(ISERROR(FIND('112'!$M$9,G649,1)),"",IF((AND(FIND('112'!$M$9,G649,1)&gt;=1,B649='112'!$K$9,OR($N649='112'!$I$6,$O649='112'!$I$6))),"x",""))</f>
        <v/>
      </c>
      <c r="U649" s="87" t="str">
        <f>IF(ISERROR(FIND('112'!$M$9,G649,1)),"",IF((AND(FIND('112'!$M$9,G649,1)&gt;=1,B649&lt;'112'!$K$9,$N649='112'!$I$6)),"x",""))</f>
        <v/>
      </c>
      <c r="V649" s="87" t="str">
        <f>IF(ISERROR(FIND('112'!$M$9,G649,1)),"",IF((AND(FIND('112'!$M$9,G649,1)&gt;=1,B649&lt;'112'!$K$9,$O649='112'!$I$6)),"x",""))</f>
        <v/>
      </c>
      <c r="W649" s="87" t="str">
        <f>IF(AND($B649&gt;='1331'!$I$9,$B649&lt;='1331'!$J$9,OR($N649=$W$7,$O649=$W$7)),"x","")</f>
        <v/>
      </c>
      <c r="X649" s="87" t="str">
        <f>IF(AND($N649=$W$7,$B649&lt;'1331'!$I$9),"x","")</f>
        <v/>
      </c>
      <c r="Y649" s="87" t="str">
        <f>IF(AND($O649=$W$7,$B649&lt;'1331'!$I$9),"x","")</f>
        <v/>
      </c>
      <c r="Z649" s="87" t="str">
        <f>IF(AND('341-CT'!$H$9=H649,OR(LEFT(N649,3)=$Z$7,LEFT(O649,3)=$Z$7)),"x","")</f>
        <v/>
      </c>
      <c r="AA649" s="87" t="str">
        <f>IF(OR(TH!N649=TH!$AA$7,O649=TH!$AA$7),"x","")</f>
        <v/>
      </c>
      <c r="AB649" s="87" t="str">
        <f>IF(AND(OR(N649="131",O649="131"),H649='131-CT'!$H$9),"x","")</f>
        <v/>
      </c>
      <c r="AC649" s="87"/>
      <c r="AD649" s="87" t="str">
        <f>IF(AND(MONTH(E649)='IN-NX'!$J$5,'IN-NX'!$D$7=D649),"x","")</f>
        <v/>
      </c>
      <c r="AE649" s="87" t="str">
        <f>IF(AND(OR(LEFT(TH!N649,2)="15",LEFT(TH!O649,2)="15"),'152-CT'!$J$8=TH!F649),"x","")</f>
        <v/>
      </c>
      <c r="AF649" s="87" t="str">
        <f>IF(AND(OR(LEFT(TH!N649,2)="15",LEFT(TH!O649,2)="15"),'THE KHO'!$E$7=TH!F649),"x","")</f>
        <v/>
      </c>
      <c r="AG649" s="87" t="str">
        <f>IF(AND(N649="1521",MONTH(C649)='BK NL'!$M$11),"x","")</f>
        <v/>
      </c>
    </row>
    <row r="650" spans="1:33" ht="17.25" customHeight="1">
      <c r="A650" s="399" t="str">
        <f>IF(B650&lt;&gt;"",IF(AND(B650&gt;=_TM1,B650&lt;=_TM2,OR(TH!N650="1111",TH!O650="1111")),TH!D650,""),"")</f>
        <v/>
      </c>
      <c r="B650" s="63" t="str">
        <f t="shared" si="15"/>
        <v/>
      </c>
      <c r="C650" s="64"/>
      <c r="D650" s="64"/>
      <c r="E650" s="64"/>
      <c r="F650" s="67"/>
      <c r="G650" s="376"/>
      <c r="H650" s="75"/>
      <c r="I650" s="518"/>
      <c r="J650" s="518"/>
      <c r="K650" s="509"/>
      <c r="L650" s="518"/>
      <c r="M650" s="65"/>
      <c r="N650" s="66"/>
      <c r="O650" s="66"/>
      <c r="P650" s="87" t="str">
        <f>IF(AND('331-CT'!$E$7=TH!H650,OR(N650="331",O650="331")),"x","")</f>
        <v/>
      </c>
      <c r="Q650" s="87" t="str">
        <f>IF(AND(B650='111'!$L$11,OR($N650=$Q$7,$O650=$Q$7)),"x","")</f>
        <v/>
      </c>
      <c r="R650" s="87" t="str">
        <f>IF(AND($N650=$Q$7,$B650&lt;'111'!$L$11),"x","")</f>
        <v/>
      </c>
      <c r="S650" s="87" t="str">
        <f>IF(AND($O650=$Q$7,$B650&lt;'111'!$L$11),"x","")</f>
        <v/>
      </c>
      <c r="T650" s="87" t="str">
        <f>IF(ISERROR(FIND('112'!$M$9,G650,1)),"",IF((AND(FIND('112'!$M$9,G650,1)&gt;=1,B650='112'!$K$9,OR($N650='112'!$I$6,$O650='112'!$I$6))),"x",""))</f>
        <v/>
      </c>
      <c r="U650" s="87" t="str">
        <f>IF(ISERROR(FIND('112'!$M$9,G650,1)),"",IF((AND(FIND('112'!$M$9,G650,1)&gt;=1,B650&lt;'112'!$K$9,$N650='112'!$I$6)),"x",""))</f>
        <v/>
      </c>
      <c r="V650" s="87" t="str">
        <f>IF(ISERROR(FIND('112'!$M$9,G650,1)),"",IF((AND(FIND('112'!$M$9,G650,1)&gt;=1,B650&lt;'112'!$K$9,$O650='112'!$I$6)),"x",""))</f>
        <v/>
      </c>
      <c r="W650" s="87" t="str">
        <f>IF(AND($B650&gt;='1331'!$I$9,$B650&lt;='1331'!$J$9,OR($N650=$W$7,$O650=$W$7)),"x","")</f>
        <v/>
      </c>
      <c r="X650" s="87" t="str">
        <f>IF(AND($N650=$W$7,$B650&lt;'1331'!$I$9),"x","")</f>
        <v/>
      </c>
      <c r="Y650" s="87" t="str">
        <f>IF(AND($O650=$W$7,$B650&lt;'1331'!$I$9),"x","")</f>
        <v/>
      </c>
      <c r="Z650" s="87" t="str">
        <f>IF(AND('341-CT'!$H$9=H650,OR(LEFT(N650,3)=$Z$7,LEFT(O650,3)=$Z$7)),"x","")</f>
        <v/>
      </c>
      <c r="AA650" s="87" t="str">
        <f>IF(OR(TH!N650=TH!$AA$7,O650=TH!$AA$7),"x","")</f>
        <v/>
      </c>
      <c r="AB650" s="87" t="str">
        <f>IF(AND(OR(N650="131",O650="131"),H650='131-CT'!$H$9),"x","")</f>
        <v/>
      </c>
      <c r="AC650" s="87"/>
      <c r="AD650" s="87" t="str">
        <f>IF(AND(MONTH(E650)='IN-NX'!$J$5,'IN-NX'!$D$7=D650),"x","")</f>
        <v/>
      </c>
      <c r="AE650" s="87" t="str">
        <f>IF(AND(OR(LEFT(TH!N650,2)="15",LEFT(TH!O650,2)="15"),'152-CT'!$J$8=TH!F650),"x","")</f>
        <v/>
      </c>
      <c r="AF650" s="87" t="str">
        <f>IF(AND(OR(LEFT(TH!N650,2)="15",LEFT(TH!O650,2)="15"),'THE KHO'!$E$7=TH!F650),"x","")</f>
        <v/>
      </c>
      <c r="AG650" s="87" t="str">
        <f>IF(AND(N650="1521",MONTH(C650)='BK NL'!$M$11),"x","")</f>
        <v/>
      </c>
    </row>
    <row r="651" spans="1:33" ht="17.25" customHeight="1">
      <c r="A651" s="399" t="str">
        <f>IF(B651&lt;&gt;"",IF(AND(B651&gt;=_TM1,B651&lt;=_TM2,OR(TH!N651="1111",TH!O651="1111")),TH!D651,""),"")</f>
        <v/>
      </c>
      <c r="B651" s="63" t="str">
        <f t="shared" si="15"/>
        <v/>
      </c>
      <c r="C651" s="64"/>
      <c r="D651" s="64"/>
      <c r="E651" s="64"/>
      <c r="F651" s="67"/>
      <c r="G651" s="376"/>
      <c r="H651" s="75"/>
      <c r="I651" s="518"/>
      <c r="J651" s="518"/>
      <c r="K651" s="509"/>
      <c r="L651" s="518"/>
      <c r="M651" s="65"/>
      <c r="N651" s="66"/>
      <c r="O651" s="66"/>
      <c r="P651" s="87" t="str">
        <f>IF(AND('331-CT'!$E$7=TH!H651,OR(N651="331",O651="331")),"x","")</f>
        <v/>
      </c>
      <c r="Q651" s="87" t="str">
        <f>IF(AND(B651='111'!$L$11,OR($N651=$Q$7,$O651=$Q$7)),"x","")</f>
        <v/>
      </c>
      <c r="R651" s="87" t="str">
        <f>IF(AND($N651=$Q$7,$B651&lt;'111'!$L$11),"x","")</f>
        <v/>
      </c>
      <c r="S651" s="87" t="str">
        <f>IF(AND($O651=$Q$7,$B651&lt;'111'!$L$11),"x","")</f>
        <v/>
      </c>
      <c r="T651" s="87" t="str">
        <f>IF(ISERROR(FIND('112'!$M$9,G651,1)),"",IF((AND(FIND('112'!$M$9,G651,1)&gt;=1,B651='112'!$K$9,OR($N651='112'!$I$6,$O651='112'!$I$6))),"x",""))</f>
        <v/>
      </c>
      <c r="U651" s="87" t="str">
        <f>IF(ISERROR(FIND('112'!$M$9,G651,1)),"",IF((AND(FIND('112'!$M$9,G651,1)&gt;=1,B651&lt;'112'!$K$9,$N651='112'!$I$6)),"x",""))</f>
        <v/>
      </c>
      <c r="V651" s="87" t="str">
        <f>IF(ISERROR(FIND('112'!$M$9,G651,1)),"",IF((AND(FIND('112'!$M$9,G651,1)&gt;=1,B651&lt;'112'!$K$9,$O651='112'!$I$6)),"x",""))</f>
        <v/>
      </c>
      <c r="W651" s="87" t="str">
        <f>IF(AND($B651&gt;='1331'!$I$9,$B651&lt;='1331'!$J$9,OR($N651=$W$7,$O651=$W$7)),"x","")</f>
        <v/>
      </c>
      <c r="X651" s="87" t="str">
        <f>IF(AND($N651=$W$7,$B651&lt;'1331'!$I$9),"x","")</f>
        <v/>
      </c>
      <c r="Y651" s="87" t="str">
        <f>IF(AND($O651=$W$7,$B651&lt;'1331'!$I$9),"x","")</f>
        <v/>
      </c>
      <c r="Z651" s="87" t="str">
        <f>IF(AND('341-CT'!$H$9=H651,OR(LEFT(N651,3)=$Z$7,LEFT(O651,3)=$Z$7)),"x","")</f>
        <v/>
      </c>
      <c r="AA651" s="87" t="str">
        <f>IF(OR(TH!N651=TH!$AA$7,O651=TH!$AA$7),"x","")</f>
        <v/>
      </c>
      <c r="AB651" s="87" t="str">
        <f>IF(AND(OR(N651="131",O651="131"),H651='131-CT'!$H$9),"x","")</f>
        <v/>
      </c>
      <c r="AC651" s="87"/>
      <c r="AD651" s="87" t="str">
        <f>IF(AND(MONTH(E651)='IN-NX'!$J$5,'IN-NX'!$D$7=D651),"x","")</f>
        <v/>
      </c>
      <c r="AE651" s="87" t="str">
        <f>IF(AND(OR(LEFT(TH!N651,2)="15",LEFT(TH!O651,2)="15"),'152-CT'!$J$8=TH!F651),"x","")</f>
        <v/>
      </c>
      <c r="AF651" s="87" t="str">
        <f>IF(AND(OR(LEFT(TH!N651,2)="15",LEFT(TH!O651,2)="15"),'THE KHO'!$E$7=TH!F651),"x","")</f>
        <v/>
      </c>
      <c r="AG651" s="87" t="str">
        <f>IF(AND(N651="1521",MONTH(C651)='BK NL'!$M$11),"x","")</f>
        <v/>
      </c>
    </row>
    <row r="652" spans="1:33" ht="17.25" customHeight="1">
      <c r="A652" s="399" t="str">
        <f>IF(B652&lt;&gt;"",IF(AND(B652&gt;=_TM1,B652&lt;=_TM2,OR(TH!N652="1111",TH!O652="1111")),TH!D652,""),"")</f>
        <v/>
      </c>
      <c r="B652" s="63" t="str">
        <f t="shared" si="15"/>
        <v/>
      </c>
      <c r="C652" s="64"/>
      <c r="D652" s="64"/>
      <c r="E652" s="64"/>
      <c r="F652" s="67"/>
      <c r="G652" s="362"/>
      <c r="H652" s="75"/>
      <c r="I652" s="518"/>
      <c r="J652" s="518"/>
      <c r="K652" s="509"/>
      <c r="L652" s="518"/>
      <c r="M652" s="65"/>
      <c r="N652" s="66"/>
      <c r="O652" s="66"/>
      <c r="P652" s="87" t="str">
        <f>IF(AND('331-CT'!$E$7=TH!H652,OR(N652="331",O652="331")),"x","")</f>
        <v/>
      </c>
      <c r="Q652" s="87" t="str">
        <f>IF(AND(B652='111'!$L$11,OR($N652=$Q$7,$O652=$Q$7)),"x","")</f>
        <v/>
      </c>
      <c r="R652" s="87" t="str">
        <f>IF(AND($N652=$Q$7,$B652&lt;'111'!$L$11),"x","")</f>
        <v/>
      </c>
      <c r="S652" s="87" t="str">
        <f>IF(AND($O652=$Q$7,$B652&lt;'111'!$L$11),"x","")</f>
        <v/>
      </c>
      <c r="T652" s="87" t="str">
        <f>IF(ISERROR(FIND('112'!$M$9,G652,1)),"",IF((AND(FIND('112'!$M$9,G652,1)&gt;=1,B652='112'!$K$9,OR($N652='112'!$I$6,$O652='112'!$I$6))),"x",""))</f>
        <v/>
      </c>
      <c r="U652" s="87" t="str">
        <f>IF(ISERROR(FIND('112'!$M$9,G652,1)),"",IF((AND(FIND('112'!$M$9,G652,1)&gt;=1,B652&lt;'112'!$K$9,$N652='112'!$I$6)),"x",""))</f>
        <v/>
      </c>
      <c r="V652" s="87" t="str">
        <f>IF(ISERROR(FIND('112'!$M$9,G652,1)),"",IF((AND(FIND('112'!$M$9,G652,1)&gt;=1,B652&lt;'112'!$K$9,$O652='112'!$I$6)),"x",""))</f>
        <v/>
      </c>
      <c r="W652" s="87" t="str">
        <f>IF(AND($B652&gt;='1331'!$I$9,$B652&lt;='1331'!$J$9,OR($N652=$W$7,$O652=$W$7)),"x","")</f>
        <v/>
      </c>
      <c r="X652" s="87" t="str">
        <f>IF(AND($N652=$W$7,$B652&lt;'1331'!$I$9),"x","")</f>
        <v/>
      </c>
      <c r="Y652" s="87" t="str">
        <f>IF(AND($O652=$W$7,$B652&lt;'1331'!$I$9),"x","")</f>
        <v/>
      </c>
      <c r="Z652" s="87" t="str">
        <f>IF(AND('341-CT'!$H$9=H652,OR(LEFT(N652,3)=$Z$7,LEFT(O652,3)=$Z$7)),"x","")</f>
        <v/>
      </c>
      <c r="AA652" s="87" t="str">
        <f>IF(OR(TH!N652=TH!$AA$7,O652=TH!$AA$7),"x","")</f>
        <v/>
      </c>
      <c r="AB652" s="87" t="str">
        <f>IF(AND(OR(N652="131",O652="131"),H652='131-CT'!$H$9),"x","")</f>
        <v/>
      </c>
      <c r="AC652" s="87"/>
      <c r="AD652" s="87" t="str">
        <f>IF(AND(MONTH(E652)='IN-NX'!$J$5,'IN-NX'!$D$7=D652),"x","")</f>
        <v/>
      </c>
      <c r="AE652" s="87" t="str">
        <f>IF(AND(OR(LEFT(TH!N652,2)="15",LEFT(TH!O652,2)="15"),'152-CT'!$J$8=TH!F652),"x","")</f>
        <v/>
      </c>
      <c r="AF652" s="87" t="str">
        <f>IF(AND(OR(LEFT(TH!N652,2)="15",LEFT(TH!O652,2)="15"),'THE KHO'!$E$7=TH!F652),"x","")</f>
        <v/>
      </c>
      <c r="AG652" s="87" t="str">
        <f>IF(AND(N652="1521",MONTH(C652)='BK NL'!$M$11),"x","")</f>
        <v/>
      </c>
    </row>
    <row r="653" spans="1:33" ht="17.25" customHeight="1">
      <c r="A653" s="399" t="str">
        <f>IF(B653&lt;&gt;"",IF(AND(B653&gt;=_TM1,B653&lt;=_TM2,OR(TH!N653="1111",TH!O653="1111")),TH!D653,""),"")</f>
        <v/>
      </c>
      <c r="B653" s="63" t="str">
        <f t="shared" si="15"/>
        <v/>
      </c>
      <c r="C653" s="64"/>
      <c r="D653" s="64"/>
      <c r="E653" s="64"/>
      <c r="F653" s="67"/>
      <c r="G653" s="362"/>
      <c r="H653" s="75"/>
      <c r="I653" s="518"/>
      <c r="J653" s="518"/>
      <c r="K653" s="509"/>
      <c r="L653" s="518"/>
      <c r="M653" s="65"/>
      <c r="N653" s="66"/>
      <c r="O653" s="66"/>
      <c r="P653" s="87" t="str">
        <f>IF(AND('331-CT'!$E$7=TH!H653,OR(N653="331",O653="331")),"x","")</f>
        <v/>
      </c>
      <c r="Q653" s="87" t="str">
        <f>IF(AND(B653='111'!$L$11,OR($N653=$Q$7,$O653=$Q$7)),"x","")</f>
        <v/>
      </c>
      <c r="R653" s="87" t="str">
        <f>IF(AND($N653=$Q$7,$B653&lt;'111'!$L$11),"x","")</f>
        <v/>
      </c>
      <c r="S653" s="87" t="str">
        <f>IF(AND($O653=$Q$7,$B653&lt;'111'!$L$11),"x","")</f>
        <v/>
      </c>
      <c r="T653" s="87" t="str">
        <f>IF(ISERROR(FIND('112'!$M$9,G653,1)),"",IF((AND(FIND('112'!$M$9,G653,1)&gt;=1,B653='112'!$K$9,OR($N653='112'!$I$6,$O653='112'!$I$6))),"x",""))</f>
        <v/>
      </c>
      <c r="U653" s="87" t="str">
        <f>IF(ISERROR(FIND('112'!$M$9,G653,1)),"",IF((AND(FIND('112'!$M$9,G653,1)&gt;=1,B653&lt;'112'!$K$9,$N653='112'!$I$6)),"x",""))</f>
        <v/>
      </c>
      <c r="V653" s="87" t="str">
        <f>IF(ISERROR(FIND('112'!$M$9,G653,1)),"",IF((AND(FIND('112'!$M$9,G653,1)&gt;=1,B653&lt;'112'!$K$9,$O653='112'!$I$6)),"x",""))</f>
        <v/>
      </c>
      <c r="W653" s="87" t="str">
        <f>IF(AND($B653&gt;='1331'!$I$9,$B653&lt;='1331'!$J$9,OR($N653=$W$7,$O653=$W$7)),"x","")</f>
        <v/>
      </c>
      <c r="X653" s="87" t="str">
        <f>IF(AND($N653=$W$7,$B653&lt;'1331'!$I$9),"x","")</f>
        <v/>
      </c>
      <c r="Y653" s="87" t="str">
        <f>IF(AND($O653=$W$7,$B653&lt;'1331'!$I$9),"x","")</f>
        <v/>
      </c>
      <c r="Z653" s="87" t="str">
        <f>IF(AND('341-CT'!$H$9=H653,OR(LEFT(N653,3)=$Z$7,LEFT(O653,3)=$Z$7)),"x","")</f>
        <v/>
      </c>
      <c r="AA653" s="87" t="str">
        <f>IF(OR(TH!N653=TH!$AA$7,O653=TH!$AA$7),"x","")</f>
        <v/>
      </c>
      <c r="AB653" s="87" t="str">
        <f>IF(AND(OR(N653="131",O653="131"),H653='131-CT'!$H$9),"x","")</f>
        <v/>
      </c>
      <c r="AC653" s="87"/>
      <c r="AD653" s="87" t="str">
        <f>IF(AND(MONTH(E653)='IN-NX'!$J$5,'IN-NX'!$D$7=D653),"x","")</f>
        <v/>
      </c>
      <c r="AE653" s="87" t="str">
        <f>IF(AND(OR(LEFT(TH!N653,2)="15",LEFT(TH!O653,2)="15"),'152-CT'!$J$8=TH!F653),"x","")</f>
        <v/>
      </c>
      <c r="AF653" s="87" t="str">
        <f>IF(AND(OR(LEFT(TH!N653,2)="15",LEFT(TH!O653,2)="15"),'THE KHO'!$E$7=TH!F653),"x","")</f>
        <v/>
      </c>
      <c r="AG653" s="87" t="str">
        <f>IF(AND(N653="1521",MONTH(C653)='BK NL'!$M$11),"x","")</f>
        <v/>
      </c>
    </row>
    <row r="654" spans="1:33" ht="15.75" customHeight="1">
      <c r="A654" s="399" t="str">
        <f>IF(B654&lt;&gt;"",IF(AND(B654&gt;=_TM1,B654&lt;=_TM2,OR(TH!N654="1111",TH!O654="1111")),TH!D654,""),"")</f>
        <v/>
      </c>
      <c r="B654" s="63" t="str">
        <f t="shared" si="15"/>
        <v/>
      </c>
      <c r="C654" s="64"/>
      <c r="D654" s="64"/>
      <c r="E654" s="64"/>
      <c r="F654" s="67"/>
      <c r="G654" s="362"/>
      <c r="H654" s="75"/>
      <c r="I654" s="518"/>
      <c r="J654" s="518"/>
      <c r="K654" s="509"/>
      <c r="L654" s="518"/>
      <c r="M654" s="65"/>
      <c r="N654" s="66"/>
      <c r="O654" s="66"/>
      <c r="P654" s="87" t="str">
        <f>IF(AND('331-CT'!$E$7=TH!H654,OR(N654="331",O654="331")),"x","")</f>
        <v/>
      </c>
      <c r="Q654" s="87" t="str">
        <f>IF(AND(B654='111'!$L$11,OR($N654=$Q$7,$O654=$Q$7)),"x","")</f>
        <v/>
      </c>
      <c r="R654" s="87" t="str">
        <f>IF(AND($N654=$Q$7,$B654&lt;'111'!$L$11),"x","")</f>
        <v/>
      </c>
      <c r="S654" s="87" t="str">
        <f>IF(AND($O654=$Q$7,$B654&lt;'111'!$L$11),"x","")</f>
        <v/>
      </c>
      <c r="T654" s="87" t="str">
        <f>IF(ISERROR(FIND('112'!$M$9,G654,1)),"",IF((AND(FIND('112'!$M$9,G654,1)&gt;=1,B654='112'!$K$9,OR($N654='112'!$I$6,$O654='112'!$I$6))),"x",""))</f>
        <v/>
      </c>
      <c r="U654" s="87" t="str">
        <f>IF(ISERROR(FIND('112'!$M$9,G654,1)),"",IF((AND(FIND('112'!$M$9,G654,1)&gt;=1,B654&lt;'112'!$K$9,$N654='112'!$I$6)),"x",""))</f>
        <v/>
      </c>
      <c r="V654" s="87" t="str">
        <f>IF(ISERROR(FIND('112'!$M$9,G654,1)),"",IF((AND(FIND('112'!$M$9,G654,1)&gt;=1,B654&lt;'112'!$K$9,$O654='112'!$I$6)),"x",""))</f>
        <v/>
      </c>
      <c r="W654" s="87" t="str">
        <f>IF(AND($B654&gt;='1331'!$I$9,$B654&lt;='1331'!$J$9,OR($N654=$W$7,$O654=$W$7)),"x","")</f>
        <v/>
      </c>
      <c r="X654" s="87" t="str">
        <f>IF(AND($N654=$W$7,$B654&lt;'1331'!$I$9),"x","")</f>
        <v/>
      </c>
      <c r="Y654" s="87" t="str">
        <f>IF(AND($O654=$W$7,$B654&lt;'1331'!$I$9),"x","")</f>
        <v/>
      </c>
      <c r="Z654" s="87" t="str">
        <f>IF(AND('341-CT'!$H$9=H654,OR(LEFT(N654,3)=$Z$7,LEFT(O654,3)=$Z$7)),"x","")</f>
        <v/>
      </c>
      <c r="AA654" s="87" t="str">
        <f>IF(OR(TH!N654=TH!$AA$7,O654=TH!$AA$7),"x","")</f>
        <v/>
      </c>
      <c r="AB654" s="87" t="str">
        <f>IF(AND(OR(N654="131",O654="131"),H654='131-CT'!$H$9),"x","")</f>
        <v/>
      </c>
      <c r="AC654" s="87"/>
      <c r="AD654" s="87" t="str">
        <f>IF(AND(MONTH(E654)='IN-NX'!$J$5,'IN-NX'!$D$7=D654),"x","")</f>
        <v/>
      </c>
      <c r="AE654" s="87" t="str">
        <f>IF(AND(OR(LEFT(TH!N654,2)="15",LEFT(TH!O654,2)="15"),'152-CT'!$J$8=TH!F654),"x","")</f>
        <v/>
      </c>
      <c r="AF654" s="87" t="str">
        <f>IF(AND(OR(LEFT(TH!N654,2)="15",LEFT(TH!O654,2)="15"),'THE KHO'!$E$7=TH!F654),"x","")</f>
        <v/>
      </c>
      <c r="AG654" s="87" t="str">
        <f>IF(AND(N654="1521",MONTH(C654)='BK NL'!$M$11),"x","")</f>
        <v/>
      </c>
    </row>
    <row r="655" spans="1:33" ht="15.75" customHeight="1">
      <c r="A655" s="399" t="str">
        <f>IF(B655&lt;&gt;"",IF(AND(B655&gt;=_TM1,B655&lt;=_TM2,OR(TH!N655="1111",TH!O655="1111")),TH!D655,""),"")</f>
        <v/>
      </c>
      <c r="B655" s="63" t="str">
        <f t="shared" si="15"/>
        <v/>
      </c>
      <c r="C655" s="64"/>
      <c r="D655" s="64"/>
      <c r="E655" s="64"/>
      <c r="F655" s="67"/>
      <c r="G655" s="362"/>
      <c r="H655" s="75"/>
      <c r="I655" s="518"/>
      <c r="J655" s="518"/>
      <c r="K655" s="509"/>
      <c r="L655" s="518"/>
      <c r="M655" s="65"/>
      <c r="N655" s="66"/>
      <c r="O655" s="66"/>
      <c r="P655" s="87" t="str">
        <f>IF(AND('331-CT'!$E$7=TH!H655,OR(N655="331",O655="331")),"x","")</f>
        <v/>
      </c>
      <c r="Q655" s="87" t="str">
        <f>IF(AND(B655='111'!$L$11,OR($N655=$Q$7,$O655=$Q$7)),"x","")</f>
        <v/>
      </c>
      <c r="R655" s="87" t="str">
        <f>IF(AND($N655=$Q$7,$B655&lt;'111'!$L$11),"x","")</f>
        <v/>
      </c>
      <c r="S655" s="87" t="str">
        <f>IF(AND($O655=$Q$7,$B655&lt;'111'!$L$11),"x","")</f>
        <v/>
      </c>
      <c r="T655" s="87" t="str">
        <f>IF(ISERROR(FIND('112'!$M$9,G655,1)),"",IF((AND(FIND('112'!$M$9,G655,1)&gt;=1,B655='112'!$K$9,OR($N655='112'!$I$6,$O655='112'!$I$6))),"x",""))</f>
        <v/>
      </c>
      <c r="U655" s="87" t="str">
        <f>IF(ISERROR(FIND('112'!$M$9,G655,1)),"",IF((AND(FIND('112'!$M$9,G655,1)&gt;=1,B655&lt;'112'!$K$9,$N655='112'!$I$6)),"x",""))</f>
        <v/>
      </c>
      <c r="V655" s="87" t="str">
        <f>IF(ISERROR(FIND('112'!$M$9,G655,1)),"",IF((AND(FIND('112'!$M$9,G655,1)&gt;=1,B655&lt;'112'!$K$9,$O655='112'!$I$6)),"x",""))</f>
        <v/>
      </c>
      <c r="W655" s="87" t="str">
        <f>IF(AND($B655&gt;='1331'!$I$9,$B655&lt;='1331'!$J$9,OR($N655=$W$7,$O655=$W$7)),"x","")</f>
        <v/>
      </c>
      <c r="X655" s="87" t="str">
        <f>IF(AND($N655=$W$7,$B655&lt;'1331'!$I$9),"x","")</f>
        <v/>
      </c>
      <c r="Y655" s="87" t="str">
        <f>IF(AND($O655=$W$7,$B655&lt;'1331'!$I$9),"x","")</f>
        <v/>
      </c>
      <c r="Z655" s="87" t="str">
        <f>IF(AND('341-CT'!$H$9=H655,OR(LEFT(N655,3)=$Z$7,LEFT(O655,3)=$Z$7)),"x","")</f>
        <v/>
      </c>
      <c r="AA655" s="87" t="str">
        <f>IF(OR(TH!N655=TH!$AA$7,O655=TH!$AA$7),"x","")</f>
        <v/>
      </c>
      <c r="AB655" s="87" t="str">
        <f>IF(AND(OR(N655="131",O655="131"),H655='131-CT'!$H$9),"x","")</f>
        <v/>
      </c>
      <c r="AC655" s="87"/>
      <c r="AD655" s="87" t="str">
        <f>IF(AND(MONTH(E655)='IN-NX'!$J$5,'IN-NX'!$D$7=D655),"x","")</f>
        <v/>
      </c>
      <c r="AE655" s="87" t="str">
        <f>IF(AND(OR(LEFT(TH!N655,2)="15",LEFT(TH!O655,2)="15"),'152-CT'!$J$8=TH!F655),"x","")</f>
        <v/>
      </c>
      <c r="AF655" s="87" t="str">
        <f>IF(AND(OR(LEFT(TH!N655,2)="15",LEFT(TH!O655,2)="15"),'THE KHO'!$E$7=TH!F655),"x","")</f>
        <v/>
      </c>
      <c r="AG655" s="87" t="str">
        <f>IF(AND(N655="1521",MONTH(C655)='BK NL'!$M$11),"x","")</f>
        <v/>
      </c>
    </row>
    <row r="656" spans="1:33" ht="15.75" customHeight="1">
      <c r="A656" s="399" t="str">
        <f>IF(B656&lt;&gt;"",IF(AND(B656&gt;=_TM1,B656&lt;=_TM2,OR(TH!N656="1111",TH!O656="1111")),TH!D656,""),"")</f>
        <v/>
      </c>
      <c r="B656" s="63" t="str">
        <f t="shared" si="15"/>
        <v/>
      </c>
      <c r="C656" s="64"/>
      <c r="D656" s="64"/>
      <c r="E656" s="64"/>
      <c r="F656" s="67"/>
      <c r="G656" s="362"/>
      <c r="H656" s="75"/>
      <c r="I656" s="518"/>
      <c r="J656" s="518"/>
      <c r="K656" s="509"/>
      <c r="L656" s="518"/>
      <c r="M656" s="65"/>
      <c r="N656" s="66"/>
      <c r="O656" s="66"/>
      <c r="P656" s="87" t="str">
        <f>IF(AND('331-CT'!$E$7=TH!H656,OR(N656="331",O656="331")),"x","")</f>
        <v/>
      </c>
      <c r="Q656" s="87" t="str">
        <f>IF(AND(B656='111'!$L$11,OR($N656=$Q$7,$O656=$Q$7)),"x","")</f>
        <v/>
      </c>
      <c r="R656" s="87" t="str">
        <f>IF(AND($N656=$Q$7,$B656&lt;'111'!$L$11),"x","")</f>
        <v/>
      </c>
      <c r="S656" s="87" t="str">
        <f>IF(AND($O656=$Q$7,$B656&lt;'111'!$L$11),"x","")</f>
        <v/>
      </c>
      <c r="T656" s="87" t="str">
        <f>IF(ISERROR(FIND('112'!$M$9,G656,1)),"",IF((AND(FIND('112'!$M$9,G656,1)&gt;=1,B656='112'!$K$9,OR($N656='112'!$I$6,$O656='112'!$I$6))),"x",""))</f>
        <v/>
      </c>
      <c r="U656" s="87" t="str">
        <f>IF(ISERROR(FIND('112'!$M$9,G656,1)),"",IF((AND(FIND('112'!$M$9,G656,1)&gt;=1,B656&lt;'112'!$K$9,$N656='112'!$I$6)),"x",""))</f>
        <v/>
      </c>
      <c r="V656" s="87" t="str">
        <f>IF(ISERROR(FIND('112'!$M$9,G656,1)),"",IF((AND(FIND('112'!$M$9,G656,1)&gt;=1,B656&lt;'112'!$K$9,$O656='112'!$I$6)),"x",""))</f>
        <v/>
      </c>
      <c r="W656" s="87" t="str">
        <f>IF(AND($B656&gt;='1331'!$I$9,$B656&lt;='1331'!$J$9,OR($N656=$W$7,$O656=$W$7)),"x","")</f>
        <v/>
      </c>
      <c r="X656" s="87" t="str">
        <f>IF(AND($N656=$W$7,$B656&lt;'1331'!$I$9),"x","")</f>
        <v/>
      </c>
      <c r="Y656" s="87" t="str">
        <f>IF(AND($O656=$W$7,$B656&lt;'1331'!$I$9),"x","")</f>
        <v/>
      </c>
      <c r="Z656" s="87" t="str">
        <f>IF(AND('341-CT'!$H$9=H656,OR(LEFT(N656,3)=$Z$7,LEFT(O656,3)=$Z$7)),"x","")</f>
        <v/>
      </c>
      <c r="AA656" s="87" t="str">
        <f>IF(OR(TH!N656=TH!$AA$7,O656=TH!$AA$7),"x","")</f>
        <v/>
      </c>
      <c r="AB656" s="87" t="str">
        <f>IF(AND(OR(N656="131",O656="131"),H656='131-CT'!$H$9),"x","")</f>
        <v/>
      </c>
      <c r="AC656" s="87"/>
      <c r="AD656" s="87" t="str">
        <f>IF(AND(MONTH(E656)='IN-NX'!$J$5,'IN-NX'!$D$7=D656),"x","")</f>
        <v/>
      </c>
      <c r="AE656" s="87" t="str">
        <f>IF(AND(OR(LEFT(TH!N656,2)="15",LEFT(TH!O656,2)="15"),'152-CT'!$J$8=TH!F656),"x","")</f>
        <v/>
      </c>
      <c r="AF656" s="87" t="str">
        <f>IF(AND(OR(LEFT(TH!N656,2)="15",LEFT(TH!O656,2)="15"),'THE KHO'!$E$7=TH!F656),"x","")</f>
        <v/>
      </c>
      <c r="AG656" s="87" t="str">
        <f>IF(AND(N656="1521",MONTH(C656)='BK NL'!$M$11),"x","")</f>
        <v/>
      </c>
    </row>
    <row r="657" spans="1:33" ht="15.75" customHeight="1">
      <c r="A657" s="399" t="str">
        <f>IF(B657&lt;&gt;"",IF(AND(B657&gt;=_TM1,B657&lt;=_TM2,OR(TH!N657="1111",TH!O657="1111")),TH!D657,""),"")</f>
        <v/>
      </c>
      <c r="B657" s="63" t="str">
        <f t="shared" si="15"/>
        <v/>
      </c>
      <c r="C657" s="64"/>
      <c r="D657" s="64"/>
      <c r="E657" s="64"/>
      <c r="F657" s="67"/>
      <c r="G657" s="376"/>
      <c r="H657" s="75"/>
      <c r="I657" s="518"/>
      <c r="J657" s="518"/>
      <c r="K657" s="509"/>
      <c r="L657" s="518"/>
      <c r="M657" s="65"/>
      <c r="N657" s="66"/>
      <c r="O657" s="66"/>
      <c r="P657" s="87" t="str">
        <f>IF(AND('331-CT'!$E$7=TH!H657,OR(N657="331",O657="331")),"x","")</f>
        <v/>
      </c>
      <c r="Q657" s="87" t="str">
        <f>IF(AND(B657='111'!$L$11,OR($N657=$Q$7,$O657=$Q$7)),"x","")</f>
        <v/>
      </c>
      <c r="R657" s="87" t="str">
        <f>IF(AND($N657=$Q$7,$B657&lt;'111'!$L$11),"x","")</f>
        <v/>
      </c>
      <c r="S657" s="87" t="str">
        <f>IF(AND($O657=$Q$7,$B657&lt;'111'!$L$11),"x","")</f>
        <v/>
      </c>
      <c r="T657" s="87" t="str">
        <f>IF(ISERROR(FIND('112'!$M$9,G657,1)),"",IF((AND(FIND('112'!$M$9,G657,1)&gt;=1,B657='112'!$K$9,OR($N657='112'!$I$6,$O657='112'!$I$6))),"x",""))</f>
        <v/>
      </c>
      <c r="U657" s="87" t="str">
        <f>IF(ISERROR(FIND('112'!$M$9,G657,1)),"",IF((AND(FIND('112'!$M$9,G657,1)&gt;=1,B657&lt;'112'!$K$9,$N657='112'!$I$6)),"x",""))</f>
        <v/>
      </c>
      <c r="V657" s="87" t="str">
        <f>IF(ISERROR(FIND('112'!$M$9,G657,1)),"",IF((AND(FIND('112'!$M$9,G657,1)&gt;=1,B657&lt;'112'!$K$9,$O657='112'!$I$6)),"x",""))</f>
        <v/>
      </c>
      <c r="W657" s="87" t="str">
        <f>IF(AND($B657&gt;='1331'!$I$9,$B657&lt;='1331'!$J$9,OR($N657=$W$7,$O657=$W$7)),"x","")</f>
        <v/>
      </c>
      <c r="X657" s="87" t="str">
        <f>IF(AND($N657=$W$7,$B657&lt;'1331'!$I$9),"x","")</f>
        <v/>
      </c>
      <c r="Y657" s="87" t="str">
        <f>IF(AND($O657=$W$7,$B657&lt;'1331'!$I$9),"x","")</f>
        <v/>
      </c>
      <c r="Z657" s="87" t="str">
        <f>IF(AND('341-CT'!$H$9=H657,OR(LEFT(N657,3)=$Z$7,LEFT(O657,3)=$Z$7)),"x","")</f>
        <v/>
      </c>
      <c r="AA657" s="87" t="str">
        <f>IF(OR(TH!N657=TH!$AA$7,O657=TH!$AA$7),"x","")</f>
        <v/>
      </c>
      <c r="AB657" s="87" t="str">
        <f>IF(AND(OR(N657="131",O657="131"),H657='131-CT'!$H$9),"x","")</f>
        <v/>
      </c>
      <c r="AC657" s="87"/>
      <c r="AD657" s="87" t="str">
        <f>IF(AND(MONTH(E657)='IN-NX'!$J$5,'IN-NX'!$D$7=D657),"x","")</f>
        <v/>
      </c>
      <c r="AE657" s="87" t="str">
        <f>IF(AND(OR(LEFT(TH!N657,2)="15",LEFT(TH!O657,2)="15"),'152-CT'!$J$8=TH!F657),"x","")</f>
        <v/>
      </c>
      <c r="AF657" s="87" t="str">
        <f>IF(AND(OR(LEFT(TH!N657,2)="15",LEFT(TH!O657,2)="15"),'THE KHO'!$E$7=TH!F657),"x","")</f>
        <v/>
      </c>
      <c r="AG657" s="87" t="str">
        <f>IF(AND(N657="1521",MONTH(C657)='BK NL'!$M$11),"x","")</f>
        <v/>
      </c>
    </row>
    <row r="658" spans="1:33" ht="15.75" customHeight="1">
      <c r="A658" s="399" t="str">
        <f>IF(B658&lt;&gt;"",IF(AND(B658&gt;=_TM1,B658&lt;=_TM2,OR(TH!N658="1111",TH!O658="1111")),TH!D658,""),"")</f>
        <v/>
      </c>
      <c r="B658" s="63" t="str">
        <f t="shared" si="15"/>
        <v/>
      </c>
      <c r="C658" s="64"/>
      <c r="D658" s="64"/>
      <c r="E658" s="64"/>
      <c r="F658" s="67"/>
      <c r="G658" s="376"/>
      <c r="H658" s="75"/>
      <c r="I658" s="518"/>
      <c r="J658" s="518"/>
      <c r="K658" s="509"/>
      <c r="L658" s="518"/>
      <c r="M658" s="65"/>
      <c r="N658" s="66"/>
      <c r="O658" s="66"/>
      <c r="P658" s="87" t="str">
        <f>IF(AND('331-CT'!$E$7=TH!H658,OR(N658="331",O658="331")),"x","")</f>
        <v/>
      </c>
      <c r="Q658" s="87" t="str">
        <f>IF(AND(B658='111'!$L$11,OR($N658=$Q$7,$O658=$Q$7)),"x","")</f>
        <v/>
      </c>
      <c r="R658" s="87" t="str">
        <f>IF(AND($N658=$Q$7,$B658&lt;'111'!$L$11),"x","")</f>
        <v/>
      </c>
      <c r="S658" s="87" t="str">
        <f>IF(AND($O658=$Q$7,$B658&lt;'111'!$L$11),"x","")</f>
        <v/>
      </c>
      <c r="T658" s="87" t="str">
        <f>IF(ISERROR(FIND('112'!$M$9,G658,1)),"",IF((AND(FIND('112'!$M$9,G658,1)&gt;=1,B658='112'!$K$9,OR($N658='112'!$I$6,$O658='112'!$I$6))),"x",""))</f>
        <v/>
      </c>
      <c r="U658" s="87" t="str">
        <f>IF(ISERROR(FIND('112'!$M$9,G658,1)),"",IF((AND(FIND('112'!$M$9,G658,1)&gt;=1,B658&lt;'112'!$K$9,$N658='112'!$I$6)),"x",""))</f>
        <v/>
      </c>
      <c r="V658" s="87" t="str">
        <f>IF(ISERROR(FIND('112'!$M$9,G658,1)),"",IF((AND(FIND('112'!$M$9,G658,1)&gt;=1,B658&lt;'112'!$K$9,$O658='112'!$I$6)),"x",""))</f>
        <v/>
      </c>
      <c r="W658" s="87" t="str">
        <f>IF(AND($B658&gt;='1331'!$I$9,$B658&lt;='1331'!$J$9,OR($N658=$W$7,$O658=$W$7)),"x","")</f>
        <v/>
      </c>
      <c r="X658" s="87" t="str">
        <f>IF(AND($N658=$W$7,$B658&lt;'1331'!$I$9),"x","")</f>
        <v/>
      </c>
      <c r="Y658" s="87" t="str">
        <f>IF(AND($O658=$W$7,$B658&lt;'1331'!$I$9),"x","")</f>
        <v/>
      </c>
      <c r="Z658" s="87" t="str">
        <f>IF(AND('341-CT'!$H$9=H658,OR(LEFT(N658,3)=$Z$7,LEFT(O658,3)=$Z$7)),"x","")</f>
        <v/>
      </c>
      <c r="AA658" s="87" t="str">
        <f>IF(OR(TH!N658=TH!$AA$7,O658=TH!$AA$7),"x","")</f>
        <v/>
      </c>
      <c r="AB658" s="87" t="str">
        <f>IF(AND(OR(N658="131",O658="131"),H658='131-CT'!$H$9),"x","")</f>
        <v/>
      </c>
      <c r="AC658" s="87"/>
      <c r="AD658" s="87" t="str">
        <f>IF(AND(MONTH(E658)='IN-NX'!$J$5,'IN-NX'!$D$7=D658),"x","")</f>
        <v/>
      </c>
      <c r="AE658" s="87" t="str">
        <f>IF(AND(OR(LEFT(TH!N658,2)="15",LEFT(TH!O658,2)="15"),'152-CT'!$J$8=TH!F658),"x","")</f>
        <v/>
      </c>
      <c r="AF658" s="87" t="str">
        <f>IF(AND(OR(LEFT(TH!N658,2)="15",LEFT(TH!O658,2)="15"),'THE KHO'!$E$7=TH!F658),"x","")</f>
        <v/>
      </c>
      <c r="AG658" s="87" t="str">
        <f>IF(AND(N658="1521",MONTH(C658)='BK NL'!$M$11),"x","")</f>
        <v/>
      </c>
    </row>
    <row r="659" spans="1:33" ht="15.75" customHeight="1">
      <c r="A659" s="399" t="str">
        <f>IF(B659&lt;&gt;"",IF(AND(B659&gt;=_TM1,B659&lt;=_TM2,OR(TH!N659="1111",TH!O659="1111")),TH!D659,""),"")</f>
        <v/>
      </c>
      <c r="B659" s="63" t="str">
        <f t="shared" si="15"/>
        <v/>
      </c>
      <c r="C659" s="64"/>
      <c r="D659" s="64"/>
      <c r="E659" s="64"/>
      <c r="F659" s="67"/>
      <c r="G659" s="376"/>
      <c r="H659" s="75"/>
      <c r="I659" s="518"/>
      <c r="J659" s="518"/>
      <c r="K659" s="509"/>
      <c r="L659" s="518"/>
      <c r="M659" s="65"/>
      <c r="N659" s="66"/>
      <c r="O659" s="66"/>
      <c r="P659" s="87" t="str">
        <f>IF(AND('331-CT'!$E$7=TH!H659,OR(N659="331",O659="331")),"x","")</f>
        <v/>
      </c>
      <c r="Q659" s="87" t="str">
        <f>IF(AND(B659='111'!$L$11,OR($N659=$Q$7,$O659=$Q$7)),"x","")</f>
        <v/>
      </c>
      <c r="R659" s="87" t="str">
        <f>IF(AND($N659=$Q$7,$B659&lt;'111'!$L$11),"x","")</f>
        <v/>
      </c>
      <c r="S659" s="87" t="str">
        <f>IF(AND($O659=$Q$7,$B659&lt;'111'!$L$11),"x","")</f>
        <v/>
      </c>
      <c r="T659" s="87" t="str">
        <f>IF(ISERROR(FIND('112'!$M$9,G659,1)),"",IF((AND(FIND('112'!$M$9,G659,1)&gt;=1,B659='112'!$K$9,OR($N659='112'!$I$6,$O659='112'!$I$6))),"x",""))</f>
        <v/>
      </c>
      <c r="U659" s="87" t="str">
        <f>IF(ISERROR(FIND('112'!$M$9,G659,1)),"",IF((AND(FIND('112'!$M$9,G659,1)&gt;=1,B659&lt;'112'!$K$9,$N659='112'!$I$6)),"x",""))</f>
        <v/>
      </c>
      <c r="V659" s="87" t="str">
        <f>IF(ISERROR(FIND('112'!$M$9,G659,1)),"",IF((AND(FIND('112'!$M$9,G659,1)&gt;=1,B659&lt;'112'!$K$9,$O659='112'!$I$6)),"x",""))</f>
        <v/>
      </c>
      <c r="W659" s="87" t="str">
        <f>IF(AND($B659&gt;='1331'!$I$9,$B659&lt;='1331'!$J$9,OR($N659=$W$7,$O659=$W$7)),"x","")</f>
        <v/>
      </c>
      <c r="X659" s="87" t="str">
        <f>IF(AND($N659=$W$7,$B659&lt;'1331'!$I$9),"x","")</f>
        <v/>
      </c>
      <c r="Y659" s="87" t="str">
        <f>IF(AND($O659=$W$7,$B659&lt;'1331'!$I$9),"x","")</f>
        <v/>
      </c>
      <c r="Z659" s="87" t="str">
        <f>IF(AND('341-CT'!$H$9=H659,OR(LEFT(N659,3)=$Z$7,LEFT(O659,3)=$Z$7)),"x","")</f>
        <v/>
      </c>
      <c r="AA659" s="87" t="str">
        <f>IF(OR(TH!N659=TH!$AA$7,O659=TH!$AA$7),"x","")</f>
        <v/>
      </c>
      <c r="AB659" s="87" t="str">
        <f>IF(AND(OR(N659="131",O659="131"),H659='131-CT'!$H$9),"x","")</f>
        <v/>
      </c>
      <c r="AC659" s="87"/>
      <c r="AD659" s="87" t="str">
        <f>IF(AND(MONTH(E659)='IN-NX'!$J$5,'IN-NX'!$D$7=D659),"x","")</f>
        <v/>
      </c>
      <c r="AE659" s="87" t="str">
        <f>IF(AND(OR(LEFT(TH!N659,2)="15",LEFT(TH!O659,2)="15"),'152-CT'!$J$8=TH!F659),"x","")</f>
        <v/>
      </c>
      <c r="AF659" s="87" t="str">
        <f>IF(AND(OR(LEFT(TH!N659,2)="15",LEFT(TH!O659,2)="15"),'THE KHO'!$E$7=TH!F659),"x","")</f>
        <v/>
      </c>
      <c r="AG659" s="87" t="str">
        <f>IF(AND(N659="1521",MONTH(C659)='BK NL'!$M$11),"x","")</f>
        <v/>
      </c>
    </row>
    <row r="660" spans="1:33" ht="15.75" customHeight="1">
      <c r="A660" s="399" t="str">
        <f>IF(B660&lt;&gt;"",IF(AND(B660&gt;=_TM1,B660&lt;=_TM2,OR(TH!N660="1111",TH!O660="1111")),TH!D660,""),"")</f>
        <v/>
      </c>
      <c r="B660" s="63" t="str">
        <f t="shared" si="15"/>
        <v/>
      </c>
      <c r="C660" s="64"/>
      <c r="D660" s="64"/>
      <c r="E660" s="64"/>
      <c r="F660" s="67"/>
      <c r="G660" s="376"/>
      <c r="H660" s="75"/>
      <c r="I660" s="518"/>
      <c r="J660" s="518"/>
      <c r="K660" s="509"/>
      <c r="L660" s="518"/>
      <c r="M660" s="65"/>
      <c r="N660" s="387"/>
      <c r="O660" s="66"/>
      <c r="P660" s="87" t="str">
        <f>IF(AND('331-CT'!$E$7=TH!H660,OR(N660="331",O660="331")),"x","")</f>
        <v/>
      </c>
      <c r="Q660" s="87" t="str">
        <f>IF(AND(B660='111'!$L$11,OR($N660=$Q$7,$O660=$Q$7)),"x","")</f>
        <v/>
      </c>
      <c r="R660" s="87" t="str">
        <f>IF(AND($N660=$Q$7,$B660&lt;'111'!$L$11),"x","")</f>
        <v/>
      </c>
      <c r="S660" s="87" t="str">
        <f>IF(AND($O660=$Q$7,$B660&lt;'111'!$L$11),"x","")</f>
        <v/>
      </c>
      <c r="T660" s="87" t="str">
        <f>IF(ISERROR(FIND('112'!$M$9,G660,1)),"",IF((AND(FIND('112'!$M$9,G660,1)&gt;=1,B660='112'!$K$9,OR($N660='112'!$I$6,$O660='112'!$I$6))),"x",""))</f>
        <v/>
      </c>
      <c r="U660" s="87" t="str">
        <f>IF(ISERROR(FIND('112'!$M$9,G660,1)),"",IF((AND(FIND('112'!$M$9,G660,1)&gt;=1,B660&lt;'112'!$K$9,$N660='112'!$I$6)),"x",""))</f>
        <v/>
      </c>
      <c r="V660" s="87" t="str">
        <f>IF(ISERROR(FIND('112'!$M$9,G660,1)),"",IF((AND(FIND('112'!$M$9,G660,1)&gt;=1,B660&lt;'112'!$K$9,$O660='112'!$I$6)),"x",""))</f>
        <v/>
      </c>
      <c r="W660" s="87" t="str">
        <f>IF(AND($B660&gt;='1331'!$I$9,$B660&lt;='1331'!$J$9,OR($N660=$W$7,$O660=$W$7)),"x","")</f>
        <v/>
      </c>
      <c r="X660" s="87" t="str">
        <f>IF(AND($N660=$W$7,$B660&lt;'1331'!$I$9),"x","")</f>
        <v/>
      </c>
      <c r="Y660" s="87" t="str">
        <f>IF(AND($O660=$W$7,$B660&lt;'1331'!$I$9),"x","")</f>
        <v/>
      </c>
      <c r="Z660" s="87" t="str">
        <f>IF(AND('341-CT'!$H$9=H660,OR(LEFT(N660,3)=$Z$7,LEFT(O660,3)=$Z$7)),"x","")</f>
        <v/>
      </c>
      <c r="AA660" s="87" t="str">
        <f>IF(OR(TH!N660=TH!$AA$7,O660=TH!$AA$7),"x","")</f>
        <v/>
      </c>
      <c r="AB660" s="87" t="str">
        <f>IF(AND(OR(N660="131",O660="131"),H660='131-CT'!$H$9),"x","")</f>
        <v/>
      </c>
      <c r="AC660" s="87"/>
      <c r="AD660" s="87" t="str">
        <f>IF(AND(MONTH(E660)='IN-NX'!$J$5,'IN-NX'!$D$7=D660),"x","")</f>
        <v/>
      </c>
      <c r="AE660" s="87" t="str">
        <f>IF(AND(OR(LEFT(TH!N660,2)="15",LEFT(TH!O660,2)="15"),'152-CT'!$J$8=TH!F660),"x","")</f>
        <v/>
      </c>
      <c r="AF660" s="87" t="str">
        <f>IF(AND(OR(LEFT(TH!N660,2)="15",LEFT(TH!O660,2)="15"),'THE KHO'!$E$7=TH!F660),"x","")</f>
        <v/>
      </c>
      <c r="AG660" s="87" t="str">
        <f>IF(AND(N660="1521",MONTH(C660)='BK NL'!$M$11),"x","")</f>
        <v/>
      </c>
    </row>
    <row r="661" spans="1:33" ht="15.75" customHeight="1">
      <c r="A661" s="399" t="str">
        <f>IF(B661&lt;&gt;"",IF(AND(B661&gt;=_TM1,B661&lt;=_TM2,OR(TH!N661="1111",TH!O661="1111")),TH!D661,""),"")</f>
        <v/>
      </c>
      <c r="B661" s="63" t="str">
        <f t="shared" si="15"/>
        <v/>
      </c>
      <c r="C661" s="83"/>
      <c r="D661" s="83"/>
      <c r="E661" s="64"/>
      <c r="F661" s="84"/>
      <c r="G661" s="378"/>
      <c r="H661" s="367"/>
      <c r="I661" s="516"/>
      <c r="J661" s="516"/>
      <c r="K661" s="507"/>
      <c r="L661" s="516"/>
      <c r="M661" s="86"/>
      <c r="N661" s="87"/>
      <c r="O661" s="87"/>
      <c r="P661" s="87" t="str">
        <f>IF(AND('331-CT'!$E$7=TH!H661,OR(N661="331",O661="331")),"x","")</f>
        <v/>
      </c>
      <c r="Q661" s="87" t="str">
        <f>IF(AND(B661='111'!$L$11,OR($N661=$Q$7,$O661=$Q$7)),"x","")</f>
        <v/>
      </c>
      <c r="R661" s="87" t="str">
        <f>IF(AND($N661=$Q$7,$B661&lt;'111'!$L$11),"x","")</f>
        <v/>
      </c>
      <c r="S661" s="87" t="str">
        <f>IF(AND($O661=$Q$7,$B661&lt;'111'!$L$11),"x","")</f>
        <v/>
      </c>
      <c r="T661" s="87" t="str">
        <f>IF(ISERROR(FIND('112'!$M$9,G661,1)),"",IF((AND(FIND('112'!$M$9,G661,1)&gt;=1,B661='112'!$K$9,OR($N661='112'!$I$6,$O661='112'!$I$6))),"x",""))</f>
        <v/>
      </c>
      <c r="U661" s="87" t="str">
        <f>IF(ISERROR(FIND('112'!$M$9,G661,1)),"",IF((AND(FIND('112'!$M$9,G661,1)&gt;=1,B661&lt;'112'!$K$9,$N661='112'!$I$6)),"x",""))</f>
        <v/>
      </c>
      <c r="V661" s="87" t="str">
        <f>IF(ISERROR(FIND('112'!$M$9,G661,1)),"",IF((AND(FIND('112'!$M$9,G661,1)&gt;=1,B661&lt;'112'!$K$9,$O661='112'!$I$6)),"x",""))</f>
        <v/>
      </c>
      <c r="W661" s="87" t="str">
        <f>IF(AND($B661&gt;='1331'!$I$9,$B661&lt;='1331'!$J$9,OR($N661=$W$7,$O661=$W$7)),"x","")</f>
        <v/>
      </c>
      <c r="X661" s="87" t="str">
        <f>IF(AND($N661=$W$7,$B661&lt;'1331'!$I$9),"x","")</f>
        <v/>
      </c>
      <c r="Y661" s="87" t="str">
        <f>IF(AND($O661=$W$7,$B661&lt;'1331'!$I$9),"x","")</f>
        <v/>
      </c>
      <c r="Z661" s="87" t="str">
        <f>IF(AND('341-CT'!$H$9=H661,OR(LEFT(N661,3)=$Z$7,LEFT(O661,3)=$Z$7)),"x","")</f>
        <v/>
      </c>
      <c r="AA661" s="87" t="str">
        <f>IF(OR(TH!N661=TH!$AA$7,O661=TH!$AA$7),"x","")</f>
        <v/>
      </c>
      <c r="AB661" s="87" t="str">
        <f>IF(AND(OR(N661="131",O661="131"),H661='131-CT'!$H$9),"x","")</f>
        <v/>
      </c>
      <c r="AC661" s="87"/>
      <c r="AD661" s="87" t="str">
        <f>IF(AND(MONTH(E661)='IN-NX'!$J$5,'IN-NX'!$D$7=D661),"x","")</f>
        <v/>
      </c>
      <c r="AE661" s="87" t="str">
        <f>IF(AND(OR(LEFT(TH!N661,2)="15",LEFT(TH!O661,2)="15"),'152-CT'!$J$8=TH!F661),"x","")</f>
        <v/>
      </c>
      <c r="AF661" s="87" t="str">
        <f>IF(AND(OR(LEFT(TH!N661,2)="15",LEFT(TH!O661,2)="15"),'THE KHO'!$E$7=TH!F661),"x","")</f>
        <v/>
      </c>
      <c r="AG661" s="87" t="str">
        <f>IF(AND(N661="1521",MONTH(C661)='BK NL'!$M$11),"x","")</f>
        <v/>
      </c>
    </row>
    <row r="662" spans="1:33" ht="15.75" customHeight="1">
      <c r="A662" s="399" t="str">
        <f>IF(B662&lt;&gt;"",IF(AND(B662&gt;=_TM1,B662&lt;=_TM2,OR(TH!N662="1111",TH!O662="1111")),TH!D662,""),"")</f>
        <v/>
      </c>
      <c r="B662" s="63" t="str">
        <f t="shared" si="15"/>
        <v/>
      </c>
      <c r="C662" s="64"/>
      <c r="D662" s="64"/>
      <c r="E662" s="64"/>
      <c r="F662" s="67"/>
      <c r="G662" s="376"/>
      <c r="H662" s="75"/>
      <c r="I662" s="518"/>
      <c r="J662" s="518"/>
      <c r="K662" s="509"/>
      <c r="L662" s="518"/>
      <c r="M662" s="65"/>
      <c r="N662" s="66"/>
      <c r="O662" s="66"/>
      <c r="P662" s="87" t="str">
        <f>IF(AND('331-CT'!$E$7=TH!H662,OR(N662="331",O662="331")),"x","")</f>
        <v/>
      </c>
      <c r="Q662" s="87" t="str">
        <f>IF(AND(B662='111'!$L$11,OR($N662=$Q$7,$O662=$Q$7)),"x","")</f>
        <v/>
      </c>
      <c r="R662" s="87" t="str">
        <f>IF(AND($N662=$Q$7,$B662&lt;'111'!$L$11),"x","")</f>
        <v/>
      </c>
      <c r="S662" s="87" t="str">
        <f>IF(AND($O662=$Q$7,$B662&lt;'111'!$L$11),"x","")</f>
        <v/>
      </c>
      <c r="T662" s="87" t="str">
        <f>IF(ISERROR(FIND('112'!$M$9,G662,1)),"",IF((AND(FIND('112'!$M$9,G662,1)&gt;=1,B662='112'!$K$9,OR($N662='112'!$I$6,$O662='112'!$I$6))),"x",""))</f>
        <v/>
      </c>
      <c r="U662" s="87" t="str">
        <f>IF(ISERROR(FIND('112'!$M$9,G662,1)),"",IF((AND(FIND('112'!$M$9,G662,1)&gt;=1,B662&lt;'112'!$K$9,$N662='112'!$I$6)),"x",""))</f>
        <v/>
      </c>
      <c r="V662" s="87" t="str">
        <f>IF(ISERROR(FIND('112'!$M$9,G662,1)),"",IF((AND(FIND('112'!$M$9,G662,1)&gt;=1,B662&lt;'112'!$K$9,$O662='112'!$I$6)),"x",""))</f>
        <v/>
      </c>
      <c r="W662" s="87" t="str">
        <f>IF(AND($B662&gt;='1331'!$I$9,$B662&lt;='1331'!$J$9,OR($N662=$W$7,$O662=$W$7)),"x","")</f>
        <v/>
      </c>
      <c r="X662" s="87" t="str">
        <f>IF(AND($N662=$W$7,$B662&lt;'1331'!$I$9),"x","")</f>
        <v/>
      </c>
      <c r="Y662" s="87" t="str">
        <f>IF(AND($O662=$W$7,$B662&lt;'1331'!$I$9),"x","")</f>
        <v/>
      </c>
      <c r="Z662" s="87" t="str">
        <f>IF(AND('341-CT'!$H$9=H662,OR(LEFT(N662,3)=$Z$7,LEFT(O662,3)=$Z$7)),"x","")</f>
        <v/>
      </c>
      <c r="AA662" s="87" t="str">
        <f>IF(OR(TH!N662=TH!$AA$7,O662=TH!$AA$7),"x","")</f>
        <v/>
      </c>
      <c r="AB662" s="87" t="str">
        <f>IF(AND(OR(N662="131",O662="131"),H662='131-CT'!$H$9),"x","")</f>
        <v/>
      </c>
      <c r="AC662" s="87"/>
      <c r="AD662" s="87" t="str">
        <f>IF(AND(MONTH(E662)='IN-NX'!$J$5,'IN-NX'!$D$7=D662),"x","")</f>
        <v/>
      </c>
      <c r="AE662" s="87" t="str">
        <f>IF(AND(OR(LEFT(TH!N662,2)="15",LEFT(TH!O662,2)="15"),'152-CT'!$J$8=TH!F662),"x","")</f>
        <v/>
      </c>
      <c r="AF662" s="87" t="str">
        <f>IF(AND(OR(LEFT(TH!N662,2)="15",LEFT(TH!O662,2)="15"),'THE KHO'!$E$7=TH!F662),"x","")</f>
        <v/>
      </c>
      <c r="AG662" s="87" t="str">
        <f>IF(AND(N662="1521",MONTH(C662)='BK NL'!$M$11),"x","")</f>
        <v/>
      </c>
    </row>
    <row r="663" spans="1:33" ht="15.75" customHeight="1">
      <c r="A663" s="399" t="str">
        <f>IF(B663&lt;&gt;"",IF(AND(B663&gt;=_TM1,B663&lt;=_TM2,OR(TH!N663="1111",TH!O663="1111")),TH!D663,""),"")</f>
        <v/>
      </c>
      <c r="B663" s="63" t="str">
        <f t="shared" si="15"/>
        <v/>
      </c>
      <c r="C663" s="64"/>
      <c r="D663" s="64"/>
      <c r="E663" s="64"/>
      <c r="F663" s="67"/>
      <c r="G663" s="376"/>
      <c r="H663" s="75"/>
      <c r="I663" s="518"/>
      <c r="J663" s="518"/>
      <c r="K663" s="509"/>
      <c r="L663" s="518"/>
      <c r="M663" s="65"/>
      <c r="N663" s="66"/>
      <c r="O663" s="66"/>
      <c r="P663" s="87" t="str">
        <f>IF(AND('331-CT'!$E$7=TH!H663,OR(N663="331",O663="331")),"x","")</f>
        <v/>
      </c>
      <c r="Q663" s="87" t="str">
        <f>IF(AND(B663='111'!$L$11,OR($N663=$Q$7,$O663=$Q$7)),"x","")</f>
        <v/>
      </c>
      <c r="R663" s="87" t="str">
        <f>IF(AND($N663=$Q$7,$B663&lt;'111'!$L$11),"x","")</f>
        <v/>
      </c>
      <c r="S663" s="87" t="str">
        <f>IF(AND($O663=$Q$7,$B663&lt;'111'!$L$11),"x","")</f>
        <v/>
      </c>
      <c r="T663" s="87" t="str">
        <f>IF(ISERROR(FIND('112'!$M$9,G663,1)),"",IF((AND(FIND('112'!$M$9,G663,1)&gt;=1,B663='112'!$K$9,OR($N663='112'!$I$6,$O663='112'!$I$6))),"x",""))</f>
        <v/>
      </c>
      <c r="U663" s="87" t="str">
        <f>IF(ISERROR(FIND('112'!$M$9,G663,1)),"",IF((AND(FIND('112'!$M$9,G663,1)&gt;=1,B663&lt;'112'!$K$9,$N663='112'!$I$6)),"x",""))</f>
        <v/>
      </c>
      <c r="V663" s="87" t="str">
        <f>IF(ISERROR(FIND('112'!$M$9,G663,1)),"",IF((AND(FIND('112'!$M$9,G663,1)&gt;=1,B663&lt;'112'!$K$9,$O663='112'!$I$6)),"x",""))</f>
        <v/>
      </c>
      <c r="W663" s="87" t="str">
        <f>IF(AND($B663&gt;='1331'!$I$9,$B663&lt;='1331'!$J$9,OR($N663=$W$7,$O663=$W$7)),"x","")</f>
        <v/>
      </c>
      <c r="X663" s="87" t="str">
        <f>IF(AND($N663=$W$7,$B663&lt;'1331'!$I$9),"x","")</f>
        <v/>
      </c>
      <c r="Y663" s="87" t="str">
        <f>IF(AND($O663=$W$7,$B663&lt;'1331'!$I$9),"x","")</f>
        <v/>
      </c>
      <c r="Z663" s="87" t="str">
        <f>IF(AND('341-CT'!$H$9=H663,OR(LEFT(N663,3)=$Z$7,LEFT(O663,3)=$Z$7)),"x","")</f>
        <v/>
      </c>
      <c r="AA663" s="87" t="str">
        <f>IF(OR(TH!N663=TH!$AA$7,O663=TH!$AA$7),"x","")</f>
        <v/>
      </c>
      <c r="AB663" s="87" t="str">
        <f>IF(AND(OR(N663="131",O663="131"),H663='131-CT'!$H$9),"x","")</f>
        <v/>
      </c>
      <c r="AC663" s="87"/>
      <c r="AD663" s="87" t="str">
        <f>IF(AND(MONTH(E663)='IN-NX'!$J$5,'IN-NX'!$D$7=D663),"x","")</f>
        <v/>
      </c>
      <c r="AE663" s="87" t="str">
        <f>IF(AND(OR(LEFT(TH!N663,2)="15",LEFT(TH!O663,2)="15"),'152-CT'!$J$8=TH!F663),"x","")</f>
        <v/>
      </c>
      <c r="AF663" s="87" t="str">
        <f>IF(AND(OR(LEFT(TH!N663,2)="15",LEFT(TH!O663,2)="15"),'THE KHO'!$E$7=TH!F663),"x","")</f>
        <v/>
      </c>
      <c r="AG663" s="87" t="str">
        <f>IF(AND(N663="1521",MONTH(C663)='BK NL'!$M$11),"x","")</f>
        <v/>
      </c>
    </row>
    <row r="664" spans="1:33" ht="15.75" customHeight="1">
      <c r="A664" s="399" t="str">
        <f>IF(B664&lt;&gt;"",IF(AND(B664&gt;=_TM1,B664&lt;=_TM2,OR(TH!N664="1111",TH!O664="1111")),TH!D664,""),"")</f>
        <v/>
      </c>
      <c r="B664" s="63" t="str">
        <f t="shared" si="15"/>
        <v/>
      </c>
      <c r="C664" s="64"/>
      <c r="D664" s="64"/>
      <c r="E664" s="64"/>
      <c r="F664" s="67"/>
      <c r="G664" s="376"/>
      <c r="H664" s="75"/>
      <c r="I664" s="518"/>
      <c r="J664" s="518"/>
      <c r="K664" s="509"/>
      <c r="L664" s="518"/>
      <c r="M664" s="65"/>
      <c r="N664" s="66"/>
      <c r="O664" s="66"/>
      <c r="P664" s="87" t="str">
        <f>IF(AND('331-CT'!$E$7=TH!H664,OR(N664="331",O664="331")),"x","")</f>
        <v/>
      </c>
      <c r="Q664" s="87" t="str">
        <f>IF(AND(B664='111'!$L$11,OR($N664=$Q$7,$O664=$Q$7)),"x","")</f>
        <v/>
      </c>
      <c r="R664" s="87" t="str">
        <f>IF(AND($N664=$Q$7,$B664&lt;'111'!$L$11),"x","")</f>
        <v/>
      </c>
      <c r="S664" s="87" t="str">
        <f>IF(AND($O664=$Q$7,$B664&lt;'111'!$L$11),"x","")</f>
        <v/>
      </c>
      <c r="T664" s="87" t="str">
        <f>IF(ISERROR(FIND('112'!$M$9,G664,1)),"",IF((AND(FIND('112'!$M$9,G664,1)&gt;=1,B664='112'!$K$9,OR($N664='112'!$I$6,$O664='112'!$I$6))),"x",""))</f>
        <v/>
      </c>
      <c r="U664" s="87" t="str">
        <f>IF(ISERROR(FIND('112'!$M$9,G664,1)),"",IF((AND(FIND('112'!$M$9,G664,1)&gt;=1,B664&lt;'112'!$K$9,$N664='112'!$I$6)),"x",""))</f>
        <v/>
      </c>
      <c r="V664" s="87" t="str">
        <f>IF(ISERROR(FIND('112'!$M$9,G664,1)),"",IF((AND(FIND('112'!$M$9,G664,1)&gt;=1,B664&lt;'112'!$K$9,$O664='112'!$I$6)),"x",""))</f>
        <v/>
      </c>
      <c r="W664" s="87" t="str">
        <f>IF(AND($B664&gt;='1331'!$I$9,$B664&lt;='1331'!$J$9,OR($N664=$W$7,$O664=$W$7)),"x","")</f>
        <v/>
      </c>
      <c r="X664" s="87" t="str">
        <f>IF(AND($N664=$W$7,$B664&lt;'1331'!$I$9),"x","")</f>
        <v/>
      </c>
      <c r="Y664" s="87" t="str">
        <f>IF(AND($O664=$W$7,$B664&lt;'1331'!$I$9),"x","")</f>
        <v/>
      </c>
      <c r="Z664" s="87" t="str">
        <f>IF(AND('341-CT'!$H$9=H664,OR(LEFT(N664,3)=$Z$7,LEFT(O664,3)=$Z$7)),"x","")</f>
        <v/>
      </c>
      <c r="AA664" s="87" t="str">
        <f>IF(OR(TH!N664=TH!$AA$7,O664=TH!$AA$7),"x","")</f>
        <v/>
      </c>
      <c r="AB664" s="87" t="str">
        <f>IF(AND(OR(N664="131",O664="131"),H664='131-CT'!$H$9),"x","")</f>
        <v/>
      </c>
      <c r="AC664" s="87"/>
      <c r="AD664" s="87" t="str">
        <f>IF(AND(MONTH(E664)='IN-NX'!$J$5,'IN-NX'!$D$7=D664),"x","")</f>
        <v/>
      </c>
      <c r="AE664" s="87" t="str">
        <f>IF(AND(OR(LEFT(TH!N664,2)="15",LEFT(TH!O664,2)="15"),'152-CT'!$J$8=TH!F664),"x","")</f>
        <v/>
      </c>
      <c r="AF664" s="87" t="str">
        <f>IF(AND(OR(LEFT(TH!N664,2)="15",LEFT(TH!O664,2)="15"),'THE KHO'!$E$7=TH!F664),"x","")</f>
        <v/>
      </c>
      <c r="AG664" s="87" t="str">
        <f>IF(AND(N664="1521",MONTH(C664)='BK NL'!$M$11),"x","")</f>
        <v/>
      </c>
    </row>
    <row r="665" spans="1:33" ht="15.75" customHeight="1">
      <c r="A665" s="399" t="str">
        <f>IF(B665&lt;&gt;"",IF(AND(B665&gt;=_TM1,B665&lt;=_TM2,OR(TH!N665="1111",TH!O665="1111")),TH!D665,""),"")</f>
        <v/>
      </c>
      <c r="B665" s="63" t="str">
        <f t="shared" si="15"/>
        <v/>
      </c>
      <c r="C665" s="64"/>
      <c r="D665" s="64"/>
      <c r="E665" s="64"/>
      <c r="F665" s="67"/>
      <c r="G665" s="376"/>
      <c r="H665" s="75"/>
      <c r="I665" s="518"/>
      <c r="J665" s="518"/>
      <c r="K665" s="509"/>
      <c r="L665" s="518"/>
      <c r="M665" s="65"/>
      <c r="N665" s="66"/>
      <c r="O665" s="66"/>
      <c r="P665" s="87" t="str">
        <f>IF(AND('331-CT'!$E$7=TH!H665,OR(N665="331",O665="331")),"x","")</f>
        <v/>
      </c>
      <c r="Q665" s="87" t="str">
        <f>IF(AND(B665='111'!$L$11,OR($N665=$Q$7,$O665=$Q$7)),"x","")</f>
        <v/>
      </c>
      <c r="R665" s="87" t="str">
        <f>IF(AND($N665=$Q$7,$B665&lt;'111'!$L$11),"x","")</f>
        <v/>
      </c>
      <c r="S665" s="87" t="str">
        <f>IF(AND($O665=$Q$7,$B665&lt;'111'!$L$11),"x","")</f>
        <v/>
      </c>
      <c r="T665" s="87" t="str">
        <f>IF(ISERROR(FIND('112'!$M$9,G665,1)),"",IF((AND(FIND('112'!$M$9,G665,1)&gt;=1,B665='112'!$K$9,OR($N665='112'!$I$6,$O665='112'!$I$6))),"x",""))</f>
        <v/>
      </c>
      <c r="U665" s="87" t="str">
        <f>IF(ISERROR(FIND('112'!$M$9,G665,1)),"",IF((AND(FIND('112'!$M$9,G665,1)&gt;=1,B665&lt;'112'!$K$9,$N665='112'!$I$6)),"x",""))</f>
        <v/>
      </c>
      <c r="V665" s="87" t="str">
        <f>IF(ISERROR(FIND('112'!$M$9,G665,1)),"",IF((AND(FIND('112'!$M$9,G665,1)&gt;=1,B665&lt;'112'!$K$9,$O665='112'!$I$6)),"x",""))</f>
        <v/>
      </c>
      <c r="W665" s="87" t="str">
        <f>IF(AND($B665&gt;='1331'!$I$9,$B665&lt;='1331'!$J$9,OR($N665=$W$7,$O665=$W$7)),"x","")</f>
        <v/>
      </c>
      <c r="X665" s="87" t="str">
        <f>IF(AND($N665=$W$7,$B665&lt;'1331'!$I$9),"x","")</f>
        <v/>
      </c>
      <c r="Y665" s="87" t="str">
        <f>IF(AND($O665=$W$7,$B665&lt;'1331'!$I$9),"x","")</f>
        <v/>
      </c>
      <c r="Z665" s="87" t="str">
        <f>IF(AND('341-CT'!$H$9=H665,OR(LEFT(N665,3)=$Z$7,LEFT(O665,3)=$Z$7)),"x","")</f>
        <v/>
      </c>
      <c r="AA665" s="87" t="str">
        <f>IF(OR(TH!N665=TH!$AA$7,O665=TH!$AA$7),"x","")</f>
        <v/>
      </c>
      <c r="AB665" s="87" t="str">
        <f>IF(AND(OR(N665="131",O665="131"),H665='131-CT'!$H$9),"x","")</f>
        <v/>
      </c>
      <c r="AC665" s="87"/>
      <c r="AD665" s="87" t="str">
        <f>IF(AND(MONTH(E665)='IN-NX'!$J$5,'IN-NX'!$D$7=D665),"x","")</f>
        <v/>
      </c>
      <c r="AE665" s="87" t="str">
        <f>IF(AND(OR(LEFT(TH!N665,2)="15",LEFT(TH!O665,2)="15"),'152-CT'!$J$8=TH!F665),"x","")</f>
        <v/>
      </c>
      <c r="AF665" s="87" t="str">
        <f>IF(AND(OR(LEFT(TH!N665,2)="15",LEFT(TH!O665,2)="15"),'THE KHO'!$E$7=TH!F665),"x","")</f>
        <v/>
      </c>
      <c r="AG665" s="87" t="str">
        <f>IF(AND(N665="1521",MONTH(C665)='BK NL'!$M$11),"x","")</f>
        <v/>
      </c>
    </row>
    <row r="666" spans="1:33" ht="15.75" customHeight="1">
      <c r="A666" s="399" t="str">
        <f>IF(B666&lt;&gt;"",IF(AND(B666&gt;=_TM1,B666&lt;=_TM2,OR(TH!N666="1111",TH!O666="1111")),TH!D666,""),"")</f>
        <v/>
      </c>
      <c r="B666" s="63" t="str">
        <f t="shared" si="15"/>
        <v/>
      </c>
      <c r="C666" s="64"/>
      <c r="D666" s="64"/>
      <c r="E666" s="64"/>
      <c r="F666" s="67"/>
      <c r="G666" s="362"/>
      <c r="H666" s="75"/>
      <c r="I666" s="518"/>
      <c r="J666" s="518"/>
      <c r="K666" s="509"/>
      <c r="L666" s="518"/>
      <c r="M666" s="65"/>
      <c r="N666" s="66"/>
      <c r="O666" s="66"/>
      <c r="P666" s="87" t="str">
        <f>IF(AND('331-CT'!$E$7=TH!H666,OR(N666="331",O666="331")),"x","")</f>
        <v/>
      </c>
      <c r="Q666" s="87" t="str">
        <f>IF(AND(B666='111'!$L$11,OR($N666=$Q$7,$O666=$Q$7)),"x","")</f>
        <v/>
      </c>
      <c r="R666" s="87" t="str">
        <f>IF(AND($N666=$Q$7,$B666&lt;'111'!$L$11),"x","")</f>
        <v/>
      </c>
      <c r="S666" s="87" t="str">
        <f>IF(AND($O666=$Q$7,$B666&lt;'111'!$L$11),"x","")</f>
        <v/>
      </c>
      <c r="T666" s="87" t="str">
        <f>IF(ISERROR(FIND('112'!$M$9,G666,1)),"",IF((AND(FIND('112'!$M$9,G666,1)&gt;=1,B666='112'!$K$9,OR($N666='112'!$I$6,$O666='112'!$I$6))),"x",""))</f>
        <v/>
      </c>
      <c r="U666" s="87" t="str">
        <f>IF(ISERROR(FIND('112'!$M$9,G666,1)),"",IF((AND(FIND('112'!$M$9,G666,1)&gt;=1,B666&lt;'112'!$K$9,$N666='112'!$I$6)),"x",""))</f>
        <v/>
      </c>
      <c r="V666" s="87" t="str">
        <f>IF(ISERROR(FIND('112'!$M$9,G666,1)),"",IF((AND(FIND('112'!$M$9,G666,1)&gt;=1,B666&lt;'112'!$K$9,$O666='112'!$I$6)),"x",""))</f>
        <v/>
      </c>
      <c r="W666" s="87" t="str">
        <f>IF(AND($B666&gt;='1331'!$I$9,$B666&lt;='1331'!$J$9,OR($N666=$W$7,$O666=$W$7)),"x","")</f>
        <v/>
      </c>
      <c r="X666" s="87" t="str">
        <f>IF(AND($N666=$W$7,$B666&lt;'1331'!$I$9),"x","")</f>
        <v/>
      </c>
      <c r="Y666" s="87" t="str">
        <f>IF(AND($O666=$W$7,$B666&lt;'1331'!$I$9),"x","")</f>
        <v/>
      </c>
      <c r="Z666" s="87" t="str">
        <f>IF(AND('341-CT'!$H$9=H666,OR(LEFT(N666,3)=$Z$7,LEFT(O666,3)=$Z$7)),"x","")</f>
        <v/>
      </c>
      <c r="AA666" s="87" t="str">
        <f>IF(OR(TH!N666=TH!$AA$7,O666=TH!$AA$7),"x","")</f>
        <v/>
      </c>
      <c r="AB666" s="87" t="str">
        <f>IF(AND(OR(N666="131",O666="131"),H666='131-CT'!$H$9),"x","")</f>
        <v/>
      </c>
      <c r="AC666" s="87"/>
      <c r="AD666" s="87" t="str">
        <f>IF(AND(MONTH(E666)='IN-NX'!$J$5,'IN-NX'!$D$7=D666),"x","")</f>
        <v/>
      </c>
      <c r="AE666" s="87" t="str">
        <f>IF(AND(OR(LEFT(TH!N666,2)="15",LEFT(TH!O666,2)="15"),'152-CT'!$J$8=TH!F666),"x","")</f>
        <v/>
      </c>
      <c r="AF666" s="87" t="str">
        <f>IF(AND(OR(LEFT(TH!N666,2)="15",LEFT(TH!O666,2)="15"),'THE KHO'!$E$7=TH!F666),"x","")</f>
        <v/>
      </c>
      <c r="AG666" s="87" t="str">
        <f>IF(AND(N666="1521",MONTH(C666)='BK NL'!$M$11),"x","")</f>
        <v/>
      </c>
    </row>
    <row r="667" spans="1:33" ht="15.75" customHeight="1">
      <c r="A667" s="399" t="str">
        <f>IF(B667&lt;&gt;"",IF(AND(B667&gt;=_TM1,B667&lt;=_TM2,OR(TH!N667="1111",TH!O667="1111")),TH!D667,""),"")</f>
        <v/>
      </c>
      <c r="B667" s="63" t="str">
        <f t="shared" si="15"/>
        <v/>
      </c>
      <c r="C667" s="64"/>
      <c r="D667" s="64"/>
      <c r="E667" s="64"/>
      <c r="F667" s="67"/>
      <c r="G667" s="362"/>
      <c r="H667" s="75"/>
      <c r="I667" s="518"/>
      <c r="J667" s="518"/>
      <c r="K667" s="509"/>
      <c r="L667" s="518"/>
      <c r="M667" s="65"/>
      <c r="N667" s="66"/>
      <c r="O667" s="66"/>
      <c r="P667" s="87" t="str">
        <f>IF(AND('331-CT'!$E$7=TH!H667,OR(N667="331",O667="331")),"x","")</f>
        <v/>
      </c>
      <c r="Q667" s="87" t="str">
        <f>IF(AND(B667='111'!$L$11,OR($N667=$Q$7,$O667=$Q$7)),"x","")</f>
        <v/>
      </c>
      <c r="R667" s="87" t="str">
        <f>IF(AND($N667=$Q$7,$B667&lt;'111'!$L$11),"x","")</f>
        <v/>
      </c>
      <c r="S667" s="87" t="str">
        <f>IF(AND($O667=$Q$7,$B667&lt;'111'!$L$11),"x","")</f>
        <v/>
      </c>
      <c r="T667" s="87" t="str">
        <f>IF(ISERROR(FIND('112'!$M$9,G667,1)),"",IF((AND(FIND('112'!$M$9,G667,1)&gt;=1,B667='112'!$K$9,OR($N667='112'!$I$6,$O667='112'!$I$6))),"x",""))</f>
        <v/>
      </c>
      <c r="U667" s="87" t="str">
        <f>IF(ISERROR(FIND('112'!$M$9,G667,1)),"",IF((AND(FIND('112'!$M$9,G667,1)&gt;=1,B667&lt;'112'!$K$9,$N667='112'!$I$6)),"x",""))</f>
        <v/>
      </c>
      <c r="V667" s="87" t="str">
        <f>IF(ISERROR(FIND('112'!$M$9,G667,1)),"",IF((AND(FIND('112'!$M$9,G667,1)&gt;=1,B667&lt;'112'!$K$9,$O667='112'!$I$6)),"x",""))</f>
        <v/>
      </c>
      <c r="W667" s="87" t="str">
        <f>IF(AND($B667&gt;='1331'!$I$9,$B667&lt;='1331'!$J$9,OR($N667=$W$7,$O667=$W$7)),"x","")</f>
        <v/>
      </c>
      <c r="X667" s="87" t="str">
        <f>IF(AND($N667=$W$7,$B667&lt;'1331'!$I$9),"x","")</f>
        <v/>
      </c>
      <c r="Y667" s="87" t="str">
        <f>IF(AND($O667=$W$7,$B667&lt;'1331'!$I$9),"x","")</f>
        <v/>
      </c>
      <c r="Z667" s="87" t="str">
        <f>IF(AND('341-CT'!$H$9=H667,OR(LEFT(N667,3)=$Z$7,LEFT(O667,3)=$Z$7)),"x","")</f>
        <v/>
      </c>
      <c r="AA667" s="87" t="str">
        <f>IF(OR(TH!N667=TH!$AA$7,O667=TH!$AA$7),"x","")</f>
        <v/>
      </c>
      <c r="AB667" s="87" t="str">
        <f>IF(AND(OR(N667="131",O667="131"),H667='131-CT'!$H$9),"x","")</f>
        <v/>
      </c>
      <c r="AC667" s="87"/>
      <c r="AD667" s="87" t="str">
        <f>IF(AND(MONTH(E667)='IN-NX'!$J$5,'IN-NX'!$D$7=D667),"x","")</f>
        <v/>
      </c>
      <c r="AE667" s="87" t="str">
        <f>IF(AND(OR(LEFT(TH!N667,2)="15",LEFT(TH!O667,2)="15"),'152-CT'!$J$8=TH!F667),"x","")</f>
        <v/>
      </c>
      <c r="AF667" s="87" t="str">
        <f>IF(AND(OR(LEFT(TH!N667,2)="15",LEFT(TH!O667,2)="15"),'THE KHO'!$E$7=TH!F667),"x","")</f>
        <v/>
      </c>
      <c r="AG667" s="87" t="str">
        <f>IF(AND(N667="1521",MONTH(C667)='BK NL'!$M$11),"x","")</f>
        <v/>
      </c>
    </row>
    <row r="668" spans="1:33" ht="15.75" customHeight="1">
      <c r="A668" s="399" t="str">
        <f>IF(B668&lt;&gt;"",IF(AND(B668&gt;=_TM1,B668&lt;=_TM2,OR(TH!N668="1111",TH!O668="1111")),TH!D668,""),"")</f>
        <v/>
      </c>
      <c r="B668" s="63" t="str">
        <f t="shared" si="15"/>
        <v/>
      </c>
      <c r="C668" s="64"/>
      <c r="D668" s="64"/>
      <c r="E668" s="64"/>
      <c r="F668" s="67"/>
      <c r="G668" s="362"/>
      <c r="H668" s="75"/>
      <c r="I668" s="518"/>
      <c r="J668" s="518"/>
      <c r="K668" s="509"/>
      <c r="L668" s="518"/>
      <c r="M668" s="65"/>
      <c r="N668" s="66"/>
      <c r="O668" s="66"/>
      <c r="P668" s="87" t="str">
        <f>IF(AND('331-CT'!$E$7=TH!H668,OR(N668="331",O668="331")),"x","")</f>
        <v/>
      </c>
      <c r="Q668" s="87" t="str">
        <f>IF(AND(B668='111'!$L$11,OR($N668=$Q$7,$O668=$Q$7)),"x","")</f>
        <v/>
      </c>
      <c r="R668" s="87" t="str">
        <f>IF(AND($N668=$Q$7,$B668&lt;'111'!$L$11),"x","")</f>
        <v/>
      </c>
      <c r="S668" s="87" t="str">
        <f>IF(AND($O668=$Q$7,$B668&lt;'111'!$L$11),"x","")</f>
        <v/>
      </c>
      <c r="T668" s="87" t="str">
        <f>IF(ISERROR(FIND('112'!$M$9,G668,1)),"",IF((AND(FIND('112'!$M$9,G668,1)&gt;=1,B668='112'!$K$9,OR($N668='112'!$I$6,$O668='112'!$I$6))),"x",""))</f>
        <v/>
      </c>
      <c r="U668" s="87" t="str">
        <f>IF(ISERROR(FIND('112'!$M$9,G668,1)),"",IF((AND(FIND('112'!$M$9,G668,1)&gt;=1,B668&lt;'112'!$K$9,$N668='112'!$I$6)),"x",""))</f>
        <v/>
      </c>
      <c r="V668" s="87" t="str">
        <f>IF(ISERROR(FIND('112'!$M$9,G668,1)),"",IF((AND(FIND('112'!$M$9,G668,1)&gt;=1,B668&lt;'112'!$K$9,$O668='112'!$I$6)),"x",""))</f>
        <v/>
      </c>
      <c r="W668" s="87" t="str">
        <f>IF(AND($B668&gt;='1331'!$I$9,$B668&lt;='1331'!$J$9,OR($N668=$W$7,$O668=$W$7)),"x","")</f>
        <v/>
      </c>
      <c r="X668" s="87" t="str">
        <f>IF(AND($N668=$W$7,$B668&lt;'1331'!$I$9),"x","")</f>
        <v/>
      </c>
      <c r="Y668" s="87" t="str">
        <f>IF(AND($O668=$W$7,$B668&lt;'1331'!$I$9),"x","")</f>
        <v/>
      </c>
      <c r="Z668" s="87" t="str">
        <f>IF(AND('341-CT'!$H$9=H668,OR(LEFT(N668,3)=$Z$7,LEFT(O668,3)=$Z$7)),"x","")</f>
        <v/>
      </c>
      <c r="AA668" s="87" t="str">
        <f>IF(OR(TH!N668=TH!$AA$7,O668=TH!$AA$7),"x","")</f>
        <v/>
      </c>
      <c r="AB668" s="87" t="str">
        <f>IF(AND(OR(N668="131",O668="131"),H668='131-CT'!$H$9),"x","")</f>
        <v/>
      </c>
      <c r="AC668" s="87"/>
      <c r="AD668" s="87" t="str">
        <f>IF(AND(MONTH(E668)='IN-NX'!$J$5,'IN-NX'!$D$7=D668),"x","")</f>
        <v/>
      </c>
      <c r="AE668" s="87" t="str">
        <f>IF(AND(OR(LEFT(TH!N668,2)="15",LEFT(TH!O668,2)="15"),'152-CT'!$J$8=TH!F668),"x","")</f>
        <v/>
      </c>
      <c r="AF668" s="87" t="str">
        <f>IF(AND(OR(LEFT(TH!N668,2)="15",LEFT(TH!O668,2)="15"),'THE KHO'!$E$7=TH!F668),"x","")</f>
        <v/>
      </c>
      <c r="AG668" s="87" t="str">
        <f>IF(AND(N668="1521",MONTH(C668)='BK NL'!$M$11),"x","")</f>
        <v/>
      </c>
    </row>
    <row r="669" spans="1:33" ht="15.75" customHeight="1">
      <c r="A669" s="399" t="str">
        <f>IF(B669&lt;&gt;"",IF(AND(B669&gt;=_TM1,B669&lt;=_TM2,OR(TH!N669="1111",TH!O669="1111")),TH!D669,""),"")</f>
        <v/>
      </c>
      <c r="B669" s="63" t="str">
        <f t="shared" si="15"/>
        <v/>
      </c>
      <c r="C669" s="64"/>
      <c r="D669" s="64"/>
      <c r="E669" s="64"/>
      <c r="F669" s="67"/>
      <c r="G669" s="362"/>
      <c r="H669" s="407"/>
      <c r="I669" s="520"/>
      <c r="J669" s="520"/>
      <c r="K669" s="511"/>
      <c r="L669" s="520"/>
      <c r="M669" s="65"/>
      <c r="N669" s="66"/>
      <c r="O669" s="66"/>
      <c r="P669" s="87" t="str">
        <f>IF(AND('331-CT'!$E$7=TH!H669,OR(N669="331",O669="331")),"x","")</f>
        <v/>
      </c>
      <c r="Q669" s="87" t="str">
        <f>IF(AND(B669='111'!$L$11,OR($N669=$Q$7,$O669=$Q$7)),"x","")</f>
        <v/>
      </c>
      <c r="R669" s="87" t="str">
        <f>IF(AND($N669=$Q$7,$B669&lt;'111'!$L$11),"x","")</f>
        <v/>
      </c>
      <c r="S669" s="87" t="str">
        <f>IF(AND($O669=$Q$7,$B669&lt;'111'!$L$11),"x","")</f>
        <v/>
      </c>
      <c r="T669" s="87" t="str">
        <f>IF(ISERROR(FIND('112'!$M$9,G669,1)),"",IF((AND(FIND('112'!$M$9,G669,1)&gt;=1,B669='112'!$K$9,OR($N669='112'!$I$6,$O669='112'!$I$6))),"x",""))</f>
        <v/>
      </c>
      <c r="U669" s="87" t="str">
        <f>IF(ISERROR(FIND('112'!$M$9,G669,1)),"",IF((AND(FIND('112'!$M$9,G669,1)&gt;=1,B669&lt;'112'!$K$9,$N669='112'!$I$6)),"x",""))</f>
        <v/>
      </c>
      <c r="V669" s="87" t="str">
        <f>IF(ISERROR(FIND('112'!$M$9,G669,1)),"",IF((AND(FIND('112'!$M$9,G669,1)&gt;=1,B669&lt;'112'!$K$9,$O669='112'!$I$6)),"x",""))</f>
        <v/>
      </c>
      <c r="W669" s="87" t="str">
        <f>IF(AND($B669&gt;='1331'!$I$9,$B669&lt;='1331'!$J$9,OR($N669=$W$7,$O669=$W$7)),"x","")</f>
        <v/>
      </c>
      <c r="X669" s="87" t="str">
        <f>IF(AND($N669=$W$7,$B669&lt;'1331'!$I$9),"x","")</f>
        <v/>
      </c>
      <c r="Y669" s="87" t="str">
        <f>IF(AND($O669=$W$7,$B669&lt;'1331'!$I$9),"x","")</f>
        <v/>
      </c>
      <c r="Z669" s="87" t="str">
        <f>IF(AND('341-CT'!$H$9=H669,OR(LEFT(N669,3)=$Z$7,LEFT(O669,3)=$Z$7)),"x","")</f>
        <v/>
      </c>
      <c r="AA669" s="87" t="str">
        <f>IF(OR(TH!N669=TH!$AA$7,O669=TH!$AA$7),"x","")</f>
        <v/>
      </c>
      <c r="AB669" s="87" t="str">
        <f>IF(AND(OR(N669="131",O669="131"),H669='131-CT'!$H$9),"x","")</f>
        <v/>
      </c>
      <c r="AC669" s="87"/>
      <c r="AD669" s="87" t="str">
        <f>IF(AND(MONTH(E669)='IN-NX'!$J$5,'IN-NX'!$D$7=D669),"x","")</f>
        <v/>
      </c>
      <c r="AE669" s="87" t="str">
        <f>IF(AND(OR(LEFT(TH!N669,2)="15",LEFT(TH!O669,2)="15"),'152-CT'!$J$8=TH!F669),"x","")</f>
        <v/>
      </c>
      <c r="AF669" s="87" t="str">
        <f>IF(AND(OR(LEFT(TH!N669,2)="15",LEFT(TH!O669,2)="15"),'THE KHO'!$E$7=TH!F669),"x","")</f>
        <v/>
      </c>
      <c r="AG669" s="87" t="str">
        <f>IF(AND(N669="1521",MONTH(C669)='BK NL'!$M$11),"x","")</f>
        <v/>
      </c>
    </row>
    <row r="670" spans="1:33" ht="15.75" customHeight="1">
      <c r="A670" s="399" t="str">
        <f>IF(B670&lt;&gt;"",IF(AND(B670&gt;=_TM1,B670&lt;=_TM2,OR(TH!N670="1111",TH!O670="1111")),TH!D670,""),"")</f>
        <v/>
      </c>
      <c r="B670" s="63" t="str">
        <f t="shared" si="15"/>
        <v/>
      </c>
      <c r="C670" s="64"/>
      <c r="D670" s="64"/>
      <c r="E670" s="64"/>
      <c r="F670" s="67"/>
      <c r="G670" s="362"/>
      <c r="H670" s="75"/>
      <c r="I670" s="518"/>
      <c r="J670" s="518"/>
      <c r="K670" s="509"/>
      <c r="L670" s="518"/>
      <c r="M670" s="65"/>
      <c r="N670" s="66"/>
      <c r="O670" s="66"/>
      <c r="P670" s="87" t="str">
        <f>IF(AND('331-CT'!$E$7=TH!H670,OR(N670="331",O670="331")),"x","")</f>
        <v/>
      </c>
      <c r="Q670" s="87" t="str">
        <f>IF(AND(B670='111'!$L$11,OR($N670=$Q$7,$O670=$Q$7)),"x","")</f>
        <v/>
      </c>
      <c r="R670" s="87" t="str">
        <f>IF(AND($N670=$Q$7,$B670&lt;'111'!$L$11),"x","")</f>
        <v/>
      </c>
      <c r="S670" s="87" t="str">
        <f>IF(AND($O670=$Q$7,$B670&lt;'111'!$L$11),"x","")</f>
        <v/>
      </c>
      <c r="T670" s="87" t="str">
        <f>IF(ISERROR(FIND('112'!$M$9,G670,1)),"",IF((AND(FIND('112'!$M$9,G670,1)&gt;=1,B670='112'!$K$9,OR($N670='112'!$I$6,$O670='112'!$I$6))),"x",""))</f>
        <v/>
      </c>
      <c r="U670" s="87" t="str">
        <f>IF(ISERROR(FIND('112'!$M$9,G670,1)),"",IF((AND(FIND('112'!$M$9,G670,1)&gt;=1,B670&lt;'112'!$K$9,$N670='112'!$I$6)),"x",""))</f>
        <v/>
      </c>
      <c r="V670" s="87" t="str">
        <f>IF(ISERROR(FIND('112'!$M$9,G670,1)),"",IF((AND(FIND('112'!$M$9,G670,1)&gt;=1,B670&lt;'112'!$K$9,$O670='112'!$I$6)),"x",""))</f>
        <v/>
      </c>
      <c r="W670" s="87" t="str">
        <f>IF(AND($B670&gt;='1331'!$I$9,$B670&lt;='1331'!$J$9,OR($N670=$W$7,$O670=$W$7)),"x","")</f>
        <v/>
      </c>
      <c r="X670" s="87" t="str">
        <f>IF(AND($N670=$W$7,$B670&lt;'1331'!$I$9),"x","")</f>
        <v/>
      </c>
      <c r="Y670" s="87" t="str">
        <f>IF(AND($O670=$W$7,$B670&lt;'1331'!$I$9),"x","")</f>
        <v/>
      </c>
      <c r="Z670" s="87" t="str">
        <f>IF(AND('341-CT'!$H$9=H670,OR(LEFT(N670,3)=$Z$7,LEFT(O670,3)=$Z$7)),"x","")</f>
        <v/>
      </c>
      <c r="AA670" s="87" t="str">
        <f>IF(OR(TH!N670=TH!$AA$7,O670=TH!$AA$7),"x","")</f>
        <v/>
      </c>
      <c r="AB670" s="87" t="str">
        <f>IF(AND(OR(N670="131",O670="131"),H670='131-CT'!$H$9),"x","")</f>
        <v/>
      </c>
      <c r="AC670" s="87"/>
      <c r="AD670" s="87" t="str">
        <f>IF(AND(MONTH(E670)='IN-NX'!$J$5,'IN-NX'!$D$7=D670),"x","")</f>
        <v/>
      </c>
      <c r="AE670" s="87" t="str">
        <f>IF(AND(OR(LEFT(TH!N670,2)="15",LEFT(TH!O670,2)="15"),'152-CT'!$J$8=TH!F670),"x","")</f>
        <v/>
      </c>
      <c r="AF670" s="87" t="str">
        <f>IF(AND(OR(LEFT(TH!N670,2)="15",LEFT(TH!O670,2)="15"),'THE KHO'!$E$7=TH!F670),"x","")</f>
        <v/>
      </c>
      <c r="AG670" s="87" t="str">
        <f>IF(AND(N670="1521",MONTH(C670)='BK NL'!$M$11),"x","")</f>
        <v/>
      </c>
    </row>
    <row r="671" spans="1:33" ht="15.75" customHeight="1">
      <c r="A671" s="399" t="str">
        <f>IF(B671&lt;&gt;"",IF(AND(B671&gt;=_TM1,B671&lt;=_TM2,OR(TH!N671="1111",TH!O671="1111")),TH!D671,""),"")</f>
        <v/>
      </c>
      <c r="B671" s="63" t="str">
        <f t="shared" si="15"/>
        <v/>
      </c>
      <c r="C671" s="64"/>
      <c r="D671" s="64"/>
      <c r="E671" s="64"/>
      <c r="F671" s="67"/>
      <c r="G671" s="362"/>
      <c r="H671" s="75"/>
      <c r="I671" s="518"/>
      <c r="J671" s="518"/>
      <c r="K671" s="509"/>
      <c r="L671" s="518"/>
      <c r="M671" s="65"/>
      <c r="N671" s="66"/>
      <c r="O671" s="66"/>
      <c r="P671" s="87" t="str">
        <f>IF(AND('331-CT'!$E$7=TH!H671,OR(N671="331",O671="331")),"x","")</f>
        <v/>
      </c>
      <c r="Q671" s="87" t="str">
        <f>IF(AND(B671='111'!$L$11,OR($N671=$Q$7,$O671=$Q$7)),"x","")</f>
        <v/>
      </c>
      <c r="R671" s="87" t="str">
        <f>IF(AND($N671=$Q$7,$B671&lt;'111'!$L$11),"x","")</f>
        <v/>
      </c>
      <c r="S671" s="87" t="str">
        <f>IF(AND($O671=$Q$7,$B671&lt;'111'!$L$11),"x","")</f>
        <v/>
      </c>
      <c r="T671" s="87" t="str">
        <f>IF(ISERROR(FIND('112'!$M$9,G671,1)),"",IF((AND(FIND('112'!$M$9,G671,1)&gt;=1,B671='112'!$K$9,OR($N671='112'!$I$6,$O671='112'!$I$6))),"x",""))</f>
        <v/>
      </c>
      <c r="U671" s="87" t="str">
        <f>IF(ISERROR(FIND('112'!$M$9,G671,1)),"",IF((AND(FIND('112'!$M$9,G671,1)&gt;=1,B671&lt;'112'!$K$9,$N671='112'!$I$6)),"x",""))</f>
        <v/>
      </c>
      <c r="V671" s="87" t="str">
        <f>IF(ISERROR(FIND('112'!$M$9,G671,1)),"",IF((AND(FIND('112'!$M$9,G671,1)&gt;=1,B671&lt;'112'!$K$9,$O671='112'!$I$6)),"x",""))</f>
        <v/>
      </c>
      <c r="W671" s="87" t="str">
        <f>IF(AND($B671&gt;='1331'!$I$9,$B671&lt;='1331'!$J$9,OR($N671=$W$7,$O671=$W$7)),"x","")</f>
        <v/>
      </c>
      <c r="X671" s="87" t="str">
        <f>IF(AND($N671=$W$7,$B671&lt;'1331'!$I$9),"x","")</f>
        <v/>
      </c>
      <c r="Y671" s="87" t="str">
        <f>IF(AND($O671=$W$7,$B671&lt;'1331'!$I$9),"x","")</f>
        <v/>
      </c>
      <c r="Z671" s="87" t="str">
        <f>IF(AND('341-CT'!$H$9=H671,OR(LEFT(N671,3)=$Z$7,LEFT(O671,3)=$Z$7)),"x","")</f>
        <v/>
      </c>
      <c r="AA671" s="87" t="str">
        <f>IF(OR(TH!N671=TH!$AA$7,O671=TH!$AA$7),"x","")</f>
        <v/>
      </c>
      <c r="AB671" s="87" t="str">
        <f>IF(AND(OR(N671="131",O671="131"),H671='131-CT'!$H$9),"x","")</f>
        <v/>
      </c>
      <c r="AC671" s="87"/>
      <c r="AD671" s="87" t="str">
        <f>IF(AND(MONTH(E671)='IN-NX'!$J$5,'IN-NX'!$D$7=D671),"x","")</f>
        <v/>
      </c>
      <c r="AE671" s="87" t="str">
        <f>IF(AND(OR(LEFT(TH!N671,2)="15",LEFT(TH!O671,2)="15"),'152-CT'!$J$8=TH!F671),"x","")</f>
        <v/>
      </c>
      <c r="AF671" s="87" t="str">
        <f>IF(AND(OR(LEFT(TH!N671,2)="15",LEFT(TH!O671,2)="15"),'THE KHO'!$E$7=TH!F671),"x","")</f>
        <v/>
      </c>
      <c r="AG671" s="87" t="str">
        <f>IF(AND(N671="1521",MONTH(C671)='BK NL'!$M$11),"x","")</f>
        <v/>
      </c>
    </row>
    <row r="672" spans="1:33" ht="15.75" customHeight="1">
      <c r="A672" s="399" t="str">
        <f>IF(B672&lt;&gt;"",IF(AND(B672&gt;=_TM1,B672&lt;=_TM2,OR(TH!N672="1111",TH!O672="1111")),TH!D672,""),"")</f>
        <v/>
      </c>
      <c r="B672" s="63" t="str">
        <f t="shared" si="15"/>
        <v/>
      </c>
      <c r="C672" s="64"/>
      <c r="D672" s="64"/>
      <c r="E672" s="64"/>
      <c r="F672" s="67"/>
      <c r="G672" s="376"/>
      <c r="H672" s="75"/>
      <c r="I672" s="518"/>
      <c r="J672" s="518"/>
      <c r="K672" s="509"/>
      <c r="L672" s="518"/>
      <c r="M672" s="65"/>
      <c r="N672" s="387"/>
      <c r="O672" s="66"/>
      <c r="P672" s="87" t="str">
        <f>IF(AND('331-CT'!$E$7=TH!H672,OR(N672="331",O672="331")),"x","")</f>
        <v/>
      </c>
      <c r="Q672" s="87" t="str">
        <f>IF(AND(B672='111'!$L$11,OR($N672=$Q$7,$O672=$Q$7)),"x","")</f>
        <v/>
      </c>
      <c r="R672" s="87" t="str">
        <f>IF(AND($N672=$Q$7,$B672&lt;'111'!$L$11),"x","")</f>
        <v/>
      </c>
      <c r="S672" s="87" t="str">
        <f>IF(AND($O672=$Q$7,$B672&lt;'111'!$L$11),"x","")</f>
        <v/>
      </c>
      <c r="T672" s="87" t="str">
        <f>IF(ISERROR(FIND('112'!$M$9,G672,1)),"",IF((AND(FIND('112'!$M$9,G672,1)&gt;=1,B672='112'!$K$9,OR($N672='112'!$I$6,$O672='112'!$I$6))),"x",""))</f>
        <v/>
      </c>
      <c r="U672" s="87" t="str">
        <f>IF(ISERROR(FIND('112'!$M$9,G672,1)),"",IF((AND(FIND('112'!$M$9,G672,1)&gt;=1,B672&lt;'112'!$K$9,$N672='112'!$I$6)),"x",""))</f>
        <v/>
      </c>
      <c r="V672" s="87" t="str">
        <f>IF(ISERROR(FIND('112'!$M$9,G672,1)),"",IF((AND(FIND('112'!$M$9,G672,1)&gt;=1,B672&lt;'112'!$K$9,$O672='112'!$I$6)),"x",""))</f>
        <v/>
      </c>
      <c r="W672" s="87" t="str">
        <f>IF(AND($B672&gt;='1331'!$I$9,$B672&lt;='1331'!$J$9,OR($N672=$W$7,$O672=$W$7)),"x","")</f>
        <v/>
      </c>
      <c r="X672" s="87" t="str">
        <f>IF(AND($N672=$W$7,$B672&lt;'1331'!$I$9),"x","")</f>
        <v/>
      </c>
      <c r="Y672" s="87" t="str">
        <f>IF(AND($O672=$W$7,$B672&lt;'1331'!$I$9),"x","")</f>
        <v/>
      </c>
      <c r="Z672" s="87" t="str">
        <f>IF(AND('341-CT'!$H$9=H672,OR(LEFT(N672,3)=$Z$7,LEFT(O672,3)=$Z$7)),"x","")</f>
        <v/>
      </c>
      <c r="AA672" s="87" t="str">
        <f>IF(OR(TH!N672=TH!$AA$7,O672=TH!$AA$7),"x","")</f>
        <v/>
      </c>
      <c r="AB672" s="87" t="str">
        <f>IF(AND(OR(N672="131",O672="131"),H672='131-CT'!$H$9),"x","")</f>
        <v/>
      </c>
      <c r="AC672" s="87"/>
      <c r="AD672" s="87" t="str">
        <f>IF(AND(MONTH(E672)='IN-NX'!$J$5,'IN-NX'!$D$7=D672),"x","")</f>
        <v/>
      </c>
      <c r="AE672" s="87" t="str">
        <f>IF(AND(OR(LEFT(TH!N672,2)="15",LEFT(TH!O672,2)="15"),'152-CT'!$J$8=TH!F672),"x","")</f>
        <v/>
      </c>
      <c r="AF672" s="87" t="str">
        <f>IF(AND(OR(LEFT(TH!N672,2)="15",LEFT(TH!O672,2)="15"),'THE KHO'!$E$7=TH!F672),"x","")</f>
        <v/>
      </c>
      <c r="AG672" s="87" t="str">
        <f>IF(AND(N672="1521",MONTH(C672)='BK NL'!$M$11),"x","")</f>
        <v/>
      </c>
    </row>
    <row r="673" spans="1:33" ht="15.75" customHeight="1">
      <c r="A673" s="399" t="str">
        <f>IF(B673&lt;&gt;"",IF(AND(B673&gt;=_TM1,B673&lt;=_TM2,OR(TH!N673="1111",TH!O673="1111")),TH!D673,""),"")</f>
        <v/>
      </c>
      <c r="B673" s="63" t="str">
        <f t="shared" si="15"/>
        <v/>
      </c>
      <c r="C673" s="64"/>
      <c r="D673" s="64"/>
      <c r="E673" s="64"/>
      <c r="F673" s="67"/>
      <c r="G673" s="376"/>
      <c r="H673" s="75"/>
      <c r="I673" s="518"/>
      <c r="J673" s="518"/>
      <c r="K673" s="509"/>
      <c r="L673" s="518"/>
      <c r="M673" s="65"/>
      <c r="N673" s="387"/>
      <c r="O673" s="66"/>
      <c r="P673" s="87" t="str">
        <f>IF(AND('331-CT'!$E$7=TH!H673,OR(N673="331",O673="331")),"x","")</f>
        <v/>
      </c>
      <c r="Q673" s="87" t="str">
        <f>IF(AND(B673='111'!$L$11,OR($N673=$Q$7,$O673=$Q$7)),"x","")</f>
        <v/>
      </c>
      <c r="R673" s="87" t="str">
        <f>IF(AND($N673=$Q$7,$B673&lt;'111'!$L$11),"x","")</f>
        <v/>
      </c>
      <c r="S673" s="87" t="str">
        <f>IF(AND($O673=$Q$7,$B673&lt;'111'!$L$11),"x","")</f>
        <v/>
      </c>
      <c r="T673" s="87" t="str">
        <f>IF(ISERROR(FIND('112'!$M$9,G673,1)),"",IF((AND(FIND('112'!$M$9,G673,1)&gt;=1,B673='112'!$K$9,OR($N673='112'!$I$6,$O673='112'!$I$6))),"x",""))</f>
        <v/>
      </c>
      <c r="U673" s="87" t="str">
        <f>IF(ISERROR(FIND('112'!$M$9,G673,1)),"",IF((AND(FIND('112'!$M$9,G673,1)&gt;=1,B673&lt;'112'!$K$9,$N673='112'!$I$6)),"x",""))</f>
        <v/>
      </c>
      <c r="V673" s="87" t="str">
        <f>IF(ISERROR(FIND('112'!$M$9,G673,1)),"",IF((AND(FIND('112'!$M$9,G673,1)&gt;=1,B673&lt;'112'!$K$9,$O673='112'!$I$6)),"x",""))</f>
        <v/>
      </c>
      <c r="W673" s="87" t="str">
        <f>IF(AND($B673&gt;='1331'!$I$9,$B673&lt;='1331'!$J$9,OR($N673=$W$7,$O673=$W$7)),"x","")</f>
        <v/>
      </c>
      <c r="X673" s="87" t="str">
        <f>IF(AND($N673=$W$7,$B673&lt;'1331'!$I$9),"x","")</f>
        <v/>
      </c>
      <c r="Y673" s="87" t="str">
        <f>IF(AND($O673=$W$7,$B673&lt;'1331'!$I$9),"x","")</f>
        <v/>
      </c>
      <c r="Z673" s="87" t="str">
        <f>IF(AND('341-CT'!$H$9=H673,OR(LEFT(N673,3)=$Z$7,LEFT(O673,3)=$Z$7)),"x","")</f>
        <v/>
      </c>
      <c r="AA673" s="87" t="str">
        <f>IF(OR(TH!N673=TH!$AA$7,O673=TH!$AA$7),"x","")</f>
        <v/>
      </c>
      <c r="AB673" s="87" t="str">
        <f>IF(AND(OR(N673="131",O673="131"),H673='131-CT'!$H$9),"x","")</f>
        <v/>
      </c>
      <c r="AC673" s="87"/>
      <c r="AD673" s="87" t="str">
        <f>IF(AND(MONTH(E673)='IN-NX'!$J$5,'IN-NX'!$D$7=D673),"x","")</f>
        <v/>
      </c>
      <c r="AE673" s="87" t="str">
        <f>IF(AND(OR(LEFT(TH!N673,2)="15",LEFT(TH!O673,2)="15"),'152-CT'!$J$8=TH!F673),"x","")</f>
        <v/>
      </c>
      <c r="AF673" s="87" t="str">
        <f>IF(AND(OR(LEFT(TH!N673,2)="15",LEFT(TH!O673,2)="15"),'THE KHO'!$E$7=TH!F673),"x","")</f>
        <v/>
      </c>
      <c r="AG673" s="87" t="str">
        <f>IF(AND(N673="1521",MONTH(C673)='BK NL'!$M$11),"x","")</f>
        <v/>
      </c>
    </row>
    <row r="674" spans="1:33" ht="15.75" customHeight="1">
      <c r="A674" s="399" t="str">
        <f>IF(B674&lt;&gt;"",IF(AND(B674&gt;=_TM1,B674&lt;=_TM2,OR(TH!N674="1111",TH!O674="1111")),TH!D674,""),"")</f>
        <v/>
      </c>
      <c r="B674" s="63" t="str">
        <f t="shared" si="15"/>
        <v/>
      </c>
      <c r="C674" s="64"/>
      <c r="D674" s="64"/>
      <c r="E674" s="64"/>
      <c r="F674" s="67"/>
      <c r="G674" s="376"/>
      <c r="H674" s="75"/>
      <c r="I674" s="518"/>
      <c r="J674" s="518"/>
      <c r="K674" s="509"/>
      <c r="L674" s="518"/>
      <c r="M674" s="65"/>
      <c r="N674" s="366"/>
      <c r="O674" s="66"/>
      <c r="P674" s="87" t="str">
        <f>IF(AND('331-CT'!$E$7=TH!H674,OR(N674="331",O674="331")),"x","")</f>
        <v/>
      </c>
      <c r="Q674" s="87" t="str">
        <f>IF(AND(B674='111'!$L$11,OR($N674=$Q$7,$O674=$Q$7)),"x","")</f>
        <v/>
      </c>
      <c r="R674" s="87" t="str">
        <f>IF(AND($N674=$Q$7,$B674&lt;'111'!$L$11),"x","")</f>
        <v/>
      </c>
      <c r="S674" s="87" t="str">
        <f>IF(AND($O674=$Q$7,$B674&lt;'111'!$L$11),"x","")</f>
        <v/>
      </c>
      <c r="T674" s="87" t="str">
        <f>IF(ISERROR(FIND('112'!$M$9,G674,1)),"",IF((AND(FIND('112'!$M$9,G674,1)&gt;=1,B674='112'!$K$9,OR($N674='112'!$I$6,$O674='112'!$I$6))),"x",""))</f>
        <v/>
      </c>
      <c r="U674" s="87" t="str">
        <f>IF(ISERROR(FIND('112'!$M$9,G674,1)),"",IF((AND(FIND('112'!$M$9,G674,1)&gt;=1,B674&lt;'112'!$K$9,$N674='112'!$I$6)),"x",""))</f>
        <v/>
      </c>
      <c r="V674" s="87" t="str">
        <f>IF(ISERROR(FIND('112'!$M$9,G674,1)),"",IF((AND(FIND('112'!$M$9,G674,1)&gt;=1,B674&lt;'112'!$K$9,$O674='112'!$I$6)),"x",""))</f>
        <v/>
      </c>
      <c r="W674" s="87" t="str">
        <f>IF(AND($B674&gt;='1331'!$I$9,$B674&lt;='1331'!$J$9,OR($N674=$W$7,$O674=$W$7)),"x","")</f>
        <v/>
      </c>
      <c r="X674" s="87" t="str">
        <f>IF(AND($N674=$W$7,$B674&lt;'1331'!$I$9),"x","")</f>
        <v/>
      </c>
      <c r="Y674" s="87" t="str">
        <f>IF(AND($O674=$W$7,$B674&lt;'1331'!$I$9),"x","")</f>
        <v/>
      </c>
      <c r="Z674" s="87" t="str">
        <f>IF(AND('341-CT'!$H$9=H674,OR(LEFT(N674,3)=$Z$7,LEFT(O674,3)=$Z$7)),"x","")</f>
        <v/>
      </c>
      <c r="AA674" s="87" t="str">
        <f>IF(OR(TH!N674=TH!$AA$7,O674=TH!$AA$7),"x","")</f>
        <v/>
      </c>
      <c r="AB674" s="87" t="str">
        <f>IF(AND(OR(N674="131",O674="131"),H674='131-CT'!$H$9),"x","")</f>
        <v/>
      </c>
      <c r="AC674" s="87"/>
      <c r="AD674" s="87" t="str">
        <f>IF(AND(MONTH(E674)='IN-NX'!$J$5,'IN-NX'!$D$7=D674),"x","")</f>
        <v/>
      </c>
      <c r="AE674" s="87" t="str">
        <f>IF(AND(OR(LEFT(TH!N674,2)="15",LEFT(TH!O674,2)="15"),'152-CT'!$J$8=TH!F674),"x","")</f>
        <v/>
      </c>
      <c r="AF674" s="87" t="str">
        <f>IF(AND(OR(LEFT(TH!N674,2)="15",LEFT(TH!O674,2)="15"),'THE KHO'!$E$7=TH!F674),"x","")</f>
        <v/>
      </c>
      <c r="AG674" s="87" t="str">
        <f>IF(AND(N674="1521",MONTH(C674)='BK NL'!$M$11),"x","")</f>
        <v/>
      </c>
    </row>
    <row r="675" spans="1:33" ht="15.75" customHeight="1">
      <c r="A675" s="399" t="str">
        <f>IF(B675&lt;&gt;"",IF(AND(B675&gt;=_TM1,B675&lt;=_TM2,OR(TH!N675="1111",TH!O675="1111")),TH!D675,""),"")</f>
        <v/>
      </c>
      <c r="B675" s="63" t="str">
        <f t="shared" si="15"/>
        <v/>
      </c>
      <c r="C675" s="64"/>
      <c r="D675" s="64"/>
      <c r="E675" s="64"/>
      <c r="F675" s="67"/>
      <c r="G675" s="376"/>
      <c r="H675" s="75"/>
      <c r="I675" s="518"/>
      <c r="J675" s="518"/>
      <c r="K675" s="509"/>
      <c r="L675" s="518"/>
      <c r="M675" s="65"/>
      <c r="N675" s="366"/>
      <c r="O675" s="66"/>
      <c r="P675" s="87" t="str">
        <f>IF(AND('331-CT'!$E$7=TH!H675,OR(N675="331",O675="331")),"x","")</f>
        <v/>
      </c>
      <c r="Q675" s="87" t="str">
        <f>IF(AND(B675='111'!$L$11,OR($N675=$Q$7,$O675=$Q$7)),"x","")</f>
        <v/>
      </c>
      <c r="R675" s="87" t="str">
        <f>IF(AND($N675=$Q$7,$B675&lt;'111'!$L$11),"x","")</f>
        <v/>
      </c>
      <c r="S675" s="87" t="str">
        <f>IF(AND($O675=$Q$7,$B675&lt;'111'!$L$11),"x","")</f>
        <v/>
      </c>
      <c r="T675" s="87" t="str">
        <f>IF(ISERROR(FIND('112'!$M$9,G675,1)),"",IF((AND(FIND('112'!$M$9,G675,1)&gt;=1,B675='112'!$K$9,OR($N675='112'!$I$6,$O675='112'!$I$6))),"x",""))</f>
        <v/>
      </c>
      <c r="U675" s="87" t="str">
        <f>IF(ISERROR(FIND('112'!$M$9,G675,1)),"",IF((AND(FIND('112'!$M$9,G675,1)&gt;=1,B675&lt;'112'!$K$9,$N675='112'!$I$6)),"x",""))</f>
        <v/>
      </c>
      <c r="V675" s="87" t="str">
        <f>IF(ISERROR(FIND('112'!$M$9,G675,1)),"",IF((AND(FIND('112'!$M$9,G675,1)&gt;=1,B675&lt;'112'!$K$9,$O675='112'!$I$6)),"x",""))</f>
        <v/>
      </c>
      <c r="W675" s="87" t="str">
        <f>IF(AND($B675&gt;='1331'!$I$9,$B675&lt;='1331'!$J$9,OR($N675=$W$7,$O675=$W$7)),"x","")</f>
        <v/>
      </c>
      <c r="X675" s="87" t="str">
        <f>IF(AND($N675=$W$7,$B675&lt;'1331'!$I$9),"x","")</f>
        <v/>
      </c>
      <c r="Y675" s="87" t="str">
        <f>IF(AND($O675=$W$7,$B675&lt;'1331'!$I$9),"x","")</f>
        <v/>
      </c>
      <c r="Z675" s="87" t="str">
        <f>IF(AND('341-CT'!$H$9=H675,OR(LEFT(N675,3)=$Z$7,LEFT(O675,3)=$Z$7)),"x","")</f>
        <v/>
      </c>
      <c r="AA675" s="87" t="str">
        <f>IF(OR(TH!N675=TH!$AA$7,O675=TH!$AA$7),"x","")</f>
        <v/>
      </c>
      <c r="AB675" s="87" t="str">
        <f>IF(AND(OR(N675="131",O675="131"),H675='131-CT'!$H$9),"x","")</f>
        <v/>
      </c>
      <c r="AC675" s="87"/>
      <c r="AD675" s="87" t="str">
        <f>IF(AND(MONTH(E675)='IN-NX'!$J$5,'IN-NX'!$D$7=D675),"x","")</f>
        <v/>
      </c>
      <c r="AE675" s="87" t="str">
        <f>IF(AND(OR(LEFT(TH!N675,2)="15",LEFT(TH!O675,2)="15"),'152-CT'!$J$8=TH!F675),"x","")</f>
        <v/>
      </c>
      <c r="AF675" s="87" t="str">
        <f>IF(AND(OR(LEFT(TH!N675,2)="15",LEFT(TH!O675,2)="15"),'THE KHO'!$E$7=TH!F675),"x","")</f>
        <v/>
      </c>
      <c r="AG675" s="87" t="str">
        <f>IF(AND(N675="1521",MONTH(C675)='BK NL'!$M$11),"x","")</f>
        <v/>
      </c>
    </row>
    <row r="676" spans="1:33" ht="15.75" customHeight="1">
      <c r="A676" s="399" t="str">
        <f>IF(B676&lt;&gt;"",IF(AND(B676&gt;=_TM1,B676&lt;=_TM2,OR(TH!N676="1111",TH!O676="1111")),TH!D676,""),"")</f>
        <v/>
      </c>
      <c r="B676" s="63" t="str">
        <f t="shared" si="15"/>
        <v/>
      </c>
      <c r="C676" s="64"/>
      <c r="D676" s="64"/>
      <c r="E676" s="64"/>
      <c r="F676" s="67"/>
      <c r="G676" s="376"/>
      <c r="H676" s="75"/>
      <c r="I676" s="518"/>
      <c r="J676" s="518"/>
      <c r="K676" s="509"/>
      <c r="L676" s="518"/>
      <c r="M676" s="65"/>
      <c r="N676" s="66"/>
      <c r="O676" s="66"/>
      <c r="P676" s="87" t="str">
        <f>IF(AND('331-CT'!$E$7=TH!H676,OR(N676="331",O676="331")),"x","")</f>
        <v/>
      </c>
      <c r="Q676" s="87" t="str">
        <f>IF(AND(B676='111'!$L$11,OR($N676=$Q$7,$O676=$Q$7)),"x","")</f>
        <v/>
      </c>
      <c r="R676" s="87" t="str">
        <f>IF(AND($N676=$Q$7,$B676&lt;'111'!$L$11),"x","")</f>
        <v/>
      </c>
      <c r="S676" s="87" t="str">
        <f>IF(AND($O676=$Q$7,$B676&lt;'111'!$L$11),"x","")</f>
        <v/>
      </c>
      <c r="T676" s="87" t="str">
        <f>IF(ISERROR(FIND('112'!$M$9,G676,1)),"",IF((AND(FIND('112'!$M$9,G676,1)&gt;=1,B676='112'!$K$9,OR($N676='112'!$I$6,$O676='112'!$I$6))),"x",""))</f>
        <v/>
      </c>
      <c r="U676" s="87" t="str">
        <f>IF(ISERROR(FIND('112'!$M$9,G676,1)),"",IF((AND(FIND('112'!$M$9,G676,1)&gt;=1,B676&lt;'112'!$K$9,$N676='112'!$I$6)),"x",""))</f>
        <v/>
      </c>
      <c r="V676" s="87" t="str">
        <f>IF(ISERROR(FIND('112'!$M$9,G676,1)),"",IF((AND(FIND('112'!$M$9,G676,1)&gt;=1,B676&lt;'112'!$K$9,$O676='112'!$I$6)),"x",""))</f>
        <v/>
      </c>
      <c r="W676" s="87" t="str">
        <f>IF(AND($B676&gt;='1331'!$I$9,$B676&lt;='1331'!$J$9,OR($N676=$W$7,$O676=$W$7)),"x","")</f>
        <v/>
      </c>
      <c r="X676" s="87" t="str">
        <f>IF(AND($N676=$W$7,$B676&lt;'1331'!$I$9),"x","")</f>
        <v/>
      </c>
      <c r="Y676" s="87" t="str">
        <f>IF(AND($O676=$W$7,$B676&lt;'1331'!$I$9),"x","")</f>
        <v/>
      </c>
      <c r="Z676" s="87" t="str">
        <f>IF(AND('341-CT'!$H$9=H676,OR(LEFT(N676,3)=$Z$7,LEFT(O676,3)=$Z$7)),"x","")</f>
        <v/>
      </c>
      <c r="AA676" s="87" t="str">
        <f>IF(OR(TH!N676=TH!$AA$7,O676=TH!$AA$7),"x","")</f>
        <v/>
      </c>
      <c r="AB676" s="87" t="str">
        <f>IF(AND(OR(N676="131",O676="131"),H676='131-CT'!$H$9),"x","")</f>
        <v/>
      </c>
      <c r="AC676" s="87"/>
      <c r="AD676" s="87" t="str">
        <f>IF(AND(MONTH(E676)='IN-NX'!$J$5,'IN-NX'!$D$7=D676),"x","")</f>
        <v/>
      </c>
      <c r="AE676" s="87" t="str">
        <f>IF(AND(OR(LEFT(TH!N676,2)="15",LEFT(TH!O676,2)="15"),'152-CT'!$J$8=TH!F676),"x","")</f>
        <v/>
      </c>
      <c r="AF676" s="87" t="str">
        <f>IF(AND(OR(LEFT(TH!N676,2)="15",LEFT(TH!O676,2)="15"),'THE KHO'!$E$7=TH!F676),"x","")</f>
        <v/>
      </c>
      <c r="AG676" s="87" t="str">
        <f>IF(AND(N676="1521",MONTH(C676)='BK NL'!$M$11),"x","")</f>
        <v/>
      </c>
    </row>
    <row r="677" spans="1:33" ht="15.75" customHeight="1">
      <c r="A677" s="399" t="str">
        <f>IF(B677&lt;&gt;"",IF(AND(B677&gt;=_TM1,B677&lt;=_TM2,OR(TH!N677="1111",TH!O677="1111")),TH!D677,""),"")</f>
        <v/>
      </c>
      <c r="B677" s="63" t="str">
        <f t="shared" si="15"/>
        <v/>
      </c>
      <c r="C677" s="64"/>
      <c r="D677" s="64"/>
      <c r="E677" s="64"/>
      <c r="F677" s="67"/>
      <c r="G677" s="376"/>
      <c r="H677" s="75"/>
      <c r="I677" s="518"/>
      <c r="J677" s="518"/>
      <c r="K677" s="509"/>
      <c r="L677" s="518"/>
      <c r="M677" s="65"/>
      <c r="N677" s="66"/>
      <c r="O677" s="66"/>
      <c r="P677" s="87" t="str">
        <f>IF(AND('331-CT'!$E$7=TH!H677,OR(N677="331",O677="331")),"x","")</f>
        <v/>
      </c>
      <c r="Q677" s="87" t="str">
        <f>IF(AND(B677='111'!$L$11,OR($N677=$Q$7,$O677=$Q$7)),"x","")</f>
        <v/>
      </c>
      <c r="R677" s="87" t="str">
        <f>IF(AND($N677=$Q$7,$B677&lt;'111'!$L$11),"x","")</f>
        <v/>
      </c>
      <c r="S677" s="87" t="str">
        <f>IF(AND($O677=$Q$7,$B677&lt;'111'!$L$11),"x","")</f>
        <v/>
      </c>
      <c r="T677" s="87" t="str">
        <f>IF(ISERROR(FIND('112'!$M$9,G677,1)),"",IF((AND(FIND('112'!$M$9,G677,1)&gt;=1,B677='112'!$K$9,OR($N677='112'!$I$6,$O677='112'!$I$6))),"x",""))</f>
        <v/>
      </c>
      <c r="U677" s="87" t="str">
        <f>IF(ISERROR(FIND('112'!$M$9,G677,1)),"",IF((AND(FIND('112'!$M$9,G677,1)&gt;=1,B677&lt;'112'!$K$9,$N677='112'!$I$6)),"x",""))</f>
        <v/>
      </c>
      <c r="V677" s="87" t="str">
        <f>IF(ISERROR(FIND('112'!$M$9,G677,1)),"",IF((AND(FIND('112'!$M$9,G677,1)&gt;=1,B677&lt;'112'!$K$9,$O677='112'!$I$6)),"x",""))</f>
        <v/>
      </c>
      <c r="W677" s="87" t="str">
        <f>IF(AND($B677&gt;='1331'!$I$9,$B677&lt;='1331'!$J$9,OR($N677=$W$7,$O677=$W$7)),"x","")</f>
        <v/>
      </c>
      <c r="X677" s="87" t="str">
        <f>IF(AND($N677=$W$7,$B677&lt;'1331'!$I$9),"x","")</f>
        <v/>
      </c>
      <c r="Y677" s="87" t="str">
        <f>IF(AND($O677=$W$7,$B677&lt;'1331'!$I$9),"x","")</f>
        <v/>
      </c>
      <c r="Z677" s="87" t="str">
        <f>IF(AND('341-CT'!$H$9=H677,OR(LEFT(N677,3)=$Z$7,LEFT(O677,3)=$Z$7)),"x","")</f>
        <v/>
      </c>
      <c r="AA677" s="87" t="str">
        <f>IF(OR(TH!N677=TH!$AA$7,O677=TH!$AA$7),"x","")</f>
        <v/>
      </c>
      <c r="AB677" s="87" t="str">
        <f>IF(AND(OR(N677="131",O677="131"),H677='131-CT'!$H$9),"x","")</f>
        <v/>
      </c>
      <c r="AC677" s="87"/>
      <c r="AD677" s="87" t="str">
        <f>IF(AND(MONTH(E677)='IN-NX'!$J$5,'IN-NX'!$D$7=D677),"x","")</f>
        <v/>
      </c>
      <c r="AE677" s="87" t="str">
        <f>IF(AND(OR(LEFT(TH!N677,2)="15",LEFT(TH!O677,2)="15"),'152-CT'!$J$8=TH!F677),"x","")</f>
        <v/>
      </c>
      <c r="AF677" s="87" t="str">
        <f>IF(AND(OR(LEFT(TH!N677,2)="15",LEFT(TH!O677,2)="15"),'THE KHO'!$E$7=TH!F677),"x","")</f>
        <v/>
      </c>
      <c r="AG677" s="87" t="str">
        <f>IF(AND(N677="1521",MONTH(C677)='BK NL'!$M$11),"x","")</f>
        <v/>
      </c>
    </row>
    <row r="678" spans="1:33" ht="15.75" customHeight="1">
      <c r="A678" s="399" t="str">
        <f>IF(B678&lt;&gt;"",IF(AND(B678&gt;=_TM1,B678&lt;=_TM2,OR(TH!N678="1111",TH!O678="1111")),TH!D678,""),"")</f>
        <v/>
      </c>
      <c r="B678" s="63" t="str">
        <f t="shared" si="15"/>
        <v/>
      </c>
      <c r="C678" s="64"/>
      <c r="D678" s="64"/>
      <c r="E678" s="64"/>
      <c r="F678" s="67"/>
      <c r="G678" s="376"/>
      <c r="H678" s="75"/>
      <c r="I678" s="518"/>
      <c r="J678" s="518"/>
      <c r="K678" s="509"/>
      <c r="L678" s="518"/>
      <c r="M678" s="65"/>
      <c r="N678" s="66"/>
      <c r="O678" s="66"/>
      <c r="P678" s="87" t="str">
        <f>IF(AND('331-CT'!$E$7=TH!H678,OR(N678="331",O678="331")),"x","")</f>
        <v/>
      </c>
      <c r="Q678" s="87" t="str">
        <f>IF(AND(B678='111'!$L$11,OR($N678=$Q$7,$O678=$Q$7)),"x","")</f>
        <v/>
      </c>
      <c r="R678" s="87" t="str">
        <f>IF(AND($N678=$Q$7,$B678&lt;'111'!$L$11),"x","")</f>
        <v/>
      </c>
      <c r="S678" s="87" t="str">
        <f>IF(AND($O678=$Q$7,$B678&lt;'111'!$L$11),"x","")</f>
        <v/>
      </c>
      <c r="T678" s="87" t="str">
        <f>IF(ISERROR(FIND('112'!$M$9,G678,1)),"",IF((AND(FIND('112'!$M$9,G678,1)&gt;=1,B678='112'!$K$9,OR($N678='112'!$I$6,$O678='112'!$I$6))),"x",""))</f>
        <v/>
      </c>
      <c r="U678" s="87" t="str">
        <f>IF(ISERROR(FIND('112'!$M$9,G678,1)),"",IF((AND(FIND('112'!$M$9,G678,1)&gt;=1,B678&lt;'112'!$K$9,$N678='112'!$I$6)),"x",""))</f>
        <v/>
      </c>
      <c r="V678" s="87" t="str">
        <f>IF(ISERROR(FIND('112'!$M$9,G678,1)),"",IF((AND(FIND('112'!$M$9,G678,1)&gt;=1,B678&lt;'112'!$K$9,$O678='112'!$I$6)),"x",""))</f>
        <v/>
      </c>
      <c r="W678" s="87" t="str">
        <f>IF(AND($B678&gt;='1331'!$I$9,$B678&lt;='1331'!$J$9,OR($N678=$W$7,$O678=$W$7)),"x","")</f>
        <v/>
      </c>
      <c r="X678" s="87" t="str">
        <f>IF(AND($N678=$W$7,$B678&lt;'1331'!$I$9),"x","")</f>
        <v/>
      </c>
      <c r="Y678" s="87" t="str">
        <f>IF(AND($O678=$W$7,$B678&lt;'1331'!$I$9),"x","")</f>
        <v/>
      </c>
      <c r="Z678" s="87" t="str">
        <f>IF(AND('341-CT'!$H$9=H678,OR(LEFT(N678,3)=$Z$7,LEFT(O678,3)=$Z$7)),"x","")</f>
        <v/>
      </c>
      <c r="AA678" s="87" t="str">
        <f>IF(OR(TH!N678=TH!$AA$7,O678=TH!$AA$7),"x","")</f>
        <v/>
      </c>
      <c r="AB678" s="87" t="str">
        <f>IF(AND(OR(N678="131",O678="131"),H678='131-CT'!$H$9),"x","")</f>
        <v/>
      </c>
      <c r="AC678" s="87"/>
      <c r="AD678" s="87" t="str">
        <f>IF(AND(MONTH(E678)='IN-NX'!$J$5,'IN-NX'!$D$7=D678),"x","")</f>
        <v/>
      </c>
      <c r="AE678" s="87" t="str">
        <f>IF(AND(OR(LEFT(TH!N678,2)="15",LEFT(TH!O678,2)="15"),'152-CT'!$J$8=TH!F678),"x","")</f>
        <v/>
      </c>
      <c r="AF678" s="87" t="str">
        <f>IF(AND(OR(LEFT(TH!N678,2)="15",LEFT(TH!O678,2)="15"),'THE KHO'!$E$7=TH!F678),"x","")</f>
        <v/>
      </c>
      <c r="AG678" s="87" t="str">
        <f>IF(AND(N678="1521",MONTH(C678)='BK NL'!$M$11),"x","")</f>
        <v/>
      </c>
    </row>
    <row r="679" spans="1:33" ht="15.75" customHeight="1">
      <c r="A679" s="399" t="str">
        <f>IF(B679&lt;&gt;"",IF(AND(B679&gt;=_TM1,B679&lt;=_TM2,OR(TH!N679="1111",TH!O679="1111")),TH!D679,""),"")</f>
        <v/>
      </c>
      <c r="B679" s="63" t="str">
        <f t="shared" si="15"/>
        <v/>
      </c>
      <c r="C679" s="64"/>
      <c r="D679" s="64"/>
      <c r="E679" s="64"/>
      <c r="F679" s="67"/>
      <c r="G679" s="376"/>
      <c r="H679" s="75"/>
      <c r="I679" s="518"/>
      <c r="J679" s="518"/>
      <c r="K679" s="509"/>
      <c r="L679" s="518"/>
      <c r="M679" s="65"/>
      <c r="N679" s="66"/>
      <c r="O679" s="66"/>
      <c r="P679" s="87" t="str">
        <f>IF(AND('331-CT'!$E$7=TH!H679,OR(N679="331",O679="331")),"x","")</f>
        <v/>
      </c>
      <c r="Q679" s="87" t="str">
        <f>IF(AND(B679='111'!$L$11,OR($N679=$Q$7,$O679=$Q$7)),"x","")</f>
        <v/>
      </c>
      <c r="R679" s="87" t="str">
        <f>IF(AND($N679=$Q$7,$B679&lt;'111'!$L$11),"x","")</f>
        <v/>
      </c>
      <c r="S679" s="87" t="str">
        <f>IF(AND($O679=$Q$7,$B679&lt;'111'!$L$11),"x","")</f>
        <v/>
      </c>
      <c r="T679" s="87" t="str">
        <f>IF(ISERROR(FIND('112'!$M$9,G679,1)),"",IF((AND(FIND('112'!$M$9,G679,1)&gt;=1,B679='112'!$K$9,OR($N679='112'!$I$6,$O679='112'!$I$6))),"x",""))</f>
        <v/>
      </c>
      <c r="U679" s="87" t="str">
        <f>IF(ISERROR(FIND('112'!$M$9,G679,1)),"",IF((AND(FIND('112'!$M$9,G679,1)&gt;=1,B679&lt;'112'!$K$9,$N679='112'!$I$6)),"x",""))</f>
        <v/>
      </c>
      <c r="V679" s="87" t="str">
        <f>IF(ISERROR(FIND('112'!$M$9,G679,1)),"",IF((AND(FIND('112'!$M$9,G679,1)&gt;=1,B679&lt;'112'!$K$9,$O679='112'!$I$6)),"x",""))</f>
        <v/>
      </c>
      <c r="W679" s="87" t="str">
        <f>IF(AND($B679&gt;='1331'!$I$9,$B679&lt;='1331'!$J$9,OR($N679=$W$7,$O679=$W$7)),"x","")</f>
        <v/>
      </c>
      <c r="X679" s="87" t="str">
        <f>IF(AND($N679=$W$7,$B679&lt;'1331'!$I$9),"x","")</f>
        <v/>
      </c>
      <c r="Y679" s="87" t="str">
        <f>IF(AND($O679=$W$7,$B679&lt;'1331'!$I$9),"x","")</f>
        <v/>
      </c>
      <c r="Z679" s="87" t="str">
        <f>IF(AND('341-CT'!$H$9=H679,OR(LEFT(N679,3)=$Z$7,LEFT(O679,3)=$Z$7)),"x","")</f>
        <v/>
      </c>
      <c r="AA679" s="87" t="str">
        <f>IF(OR(TH!N679=TH!$AA$7,O679=TH!$AA$7),"x","")</f>
        <v/>
      </c>
      <c r="AB679" s="87" t="str">
        <f>IF(AND(OR(N679="131",O679="131"),H679='131-CT'!$H$9),"x","")</f>
        <v/>
      </c>
      <c r="AC679" s="87"/>
      <c r="AD679" s="87" t="str">
        <f>IF(AND(MONTH(E679)='IN-NX'!$J$5,'IN-NX'!$D$7=D679),"x","")</f>
        <v/>
      </c>
      <c r="AE679" s="87" t="str">
        <f>IF(AND(OR(LEFT(TH!N679,2)="15",LEFT(TH!O679,2)="15"),'152-CT'!$J$8=TH!F679),"x","")</f>
        <v/>
      </c>
      <c r="AF679" s="87" t="str">
        <f>IF(AND(OR(LEFT(TH!N679,2)="15",LEFT(TH!O679,2)="15"),'THE KHO'!$E$7=TH!F679),"x","")</f>
        <v/>
      </c>
      <c r="AG679" s="87" t="str">
        <f>IF(AND(N679="1521",MONTH(C679)='BK NL'!$M$11),"x","")</f>
        <v/>
      </c>
    </row>
    <row r="680" spans="1:33" ht="15.75" customHeight="1">
      <c r="A680" s="399" t="str">
        <f>IF(B680&lt;&gt;"",IF(AND(B680&gt;=_TM1,B680&lt;=_TM2,OR(TH!N680="1111",TH!O680="1111")),TH!D680,""),"")</f>
        <v/>
      </c>
      <c r="B680" s="63" t="str">
        <f t="shared" si="15"/>
        <v/>
      </c>
      <c r="C680" s="64"/>
      <c r="D680" s="64"/>
      <c r="E680" s="64"/>
      <c r="F680" s="67"/>
      <c r="G680" s="376"/>
      <c r="H680" s="75"/>
      <c r="I680" s="518"/>
      <c r="J680" s="518"/>
      <c r="K680" s="509"/>
      <c r="L680" s="518"/>
      <c r="M680" s="65"/>
      <c r="N680" s="66"/>
      <c r="O680" s="66"/>
      <c r="P680" s="87" t="str">
        <f>IF(AND('331-CT'!$E$7=TH!H680,OR(N680="331",O680="331")),"x","")</f>
        <v/>
      </c>
      <c r="Q680" s="87" t="str">
        <f>IF(AND(B680='111'!$L$11,OR($N680=$Q$7,$O680=$Q$7)),"x","")</f>
        <v/>
      </c>
      <c r="R680" s="87" t="str">
        <f>IF(AND($N680=$Q$7,$B680&lt;'111'!$L$11),"x","")</f>
        <v/>
      </c>
      <c r="S680" s="87" t="str">
        <f>IF(AND($O680=$Q$7,$B680&lt;'111'!$L$11),"x","")</f>
        <v/>
      </c>
      <c r="T680" s="87" t="str">
        <f>IF(ISERROR(FIND('112'!$M$9,G680,1)),"",IF((AND(FIND('112'!$M$9,G680,1)&gt;=1,B680='112'!$K$9,OR($N680='112'!$I$6,$O680='112'!$I$6))),"x",""))</f>
        <v/>
      </c>
      <c r="U680" s="87" t="str">
        <f>IF(ISERROR(FIND('112'!$M$9,G680,1)),"",IF((AND(FIND('112'!$M$9,G680,1)&gt;=1,B680&lt;'112'!$K$9,$N680='112'!$I$6)),"x",""))</f>
        <v/>
      </c>
      <c r="V680" s="87" t="str">
        <f>IF(ISERROR(FIND('112'!$M$9,G680,1)),"",IF((AND(FIND('112'!$M$9,G680,1)&gt;=1,B680&lt;'112'!$K$9,$O680='112'!$I$6)),"x",""))</f>
        <v/>
      </c>
      <c r="W680" s="87" t="str">
        <f>IF(AND($B680&gt;='1331'!$I$9,$B680&lt;='1331'!$J$9,OR($N680=$W$7,$O680=$W$7)),"x","")</f>
        <v/>
      </c>
      <c r="X680" s="87" t="str">
        <f>IF(AND($N680=$W$7,$B680&lt;'1331'!$I$9),"x","")</f>
        <v/>
      </c>
      <c r="Y680" s="87" t="str">
        <f>IF(AND($O680=$W$7,$B680&lt;'1331'!$I$9),"x","")</f>
        <v/>
      </c>
      <c r="Z680" s="87" t="str">
        <f>IF(AND('341-CT'!$H$9=H680,OR(LEFT(N680,3)=$Z$7,LEFT(O680,3)=$Z$7)),"x","")</f>
        <v/>
      </c>
      <c r="AA680" s="87" t="str">
        <f>IF(OR(TH!N680=TH!$AA$7,O680=TH!$AA$7),"x","")</f>
        <v/>
      </c>
      <c r="AB680" s="87" t="str">
        <f>IF(AND(OR(N680="131",O680="131"),H680='131-CT'!$H$9),"x","")</f>
        <v/>
      </c>
      <c r="AC680" s="87"/>
      <c r="AD680" s="87" t="str">
        <f>IF(AND(MONTH(E680)='IN-NX'!$J$5,'IN-NX'!$D$7=D680),"x","")</f>
        <v/>
      </c>
      <c r="AE680" s="87" t="str">
        <f>IF(AND(OR(LEFT(TH!N680,2)="15",LEFT(TH!O680,2)="15"),'152-CT'!$J$8=TH!F680),"x","")</f>
        <v/>
      </c>
      <c r="AF680" s="87" t="str">
        <f>IF(AND(OR(LEFT(TH!N680,2)="15",LEFT(TH!O680,2)="15"),'THE KHO'!$E$7=TH!F680),"x","")</f>
        <v/>
      </c>
      <c r="AG680" s="87" t="str">
        <f>IF(AND(N680="1521",MONTH(C680)='BK NL'!$M$11),"x","")</f>
        <v/>
      </c>
    </row>
    <row r="681" spans="1:33" ht="15.75" customHeight="1">
      <c r="A681" s="399" t="str">
        <f>IF(B681&lt;&gt;"",IF(AND(B681&gt;=_TM1,B681&lt;=_TM2,OR(TH!N681="1111",TH!O681="1111")),TH!D681,""),"")</f>
        <v/>
      </c>
      <c r="B681" s="63" t="str">
        <f t="shared" si="15"/>
        <v/>
      </c>
      <c r="C681" s="64"/>
      <c r="D681" s="64"/>
      <c r="E681" s="64"/>
      <c r="F681" s="67"/>
      <c r="G681" s="376"/>
      <c r="H681" s="75"/>
      <c r="I681" s="518"/>
      <c r="J681" s="518"/>
      <c r="K681" s="509"/>
      <c r="L681" s="518"/>
      <c r="M681" s="65"/>
      <c r="N681" s="66"/>
      <c r="O681" s="66"/>
      <c r="P681" s="87" t="str">
        <f>IF(AND('331-CT'!$E$7=TH!H681,OR(N681="331",O681="331")),"x","")</f>
        <v/>
      </c>
      <c r="Q681" s="87" t="str">
        <f>IF(AND(B681='111'!$L$11,OR($N681=$Q$7,$O681=$Q$7)),"x","")</f>
        <v/>
      </c>
      <c r="R681" s="87" t="str">
        <f>IF(AND($N681=$Q$7,$B681&lt;'111'!$L$11),"x","")</f>
        <v/>
      </c>
      <c r="S681" s="87" t="str">
        <f>IF(AND($O681=$Q$7,$B681&lt;'111'!$L$11),"x","")</f>
        <v/>
      </c>
      <c r="T681" s="87" t="str">
        <f>IF(ISERROR(FIND('112'!$M$9,G681,1)),"",IF((AND(FIND('112'!$M$9,G681,1)&gt;=1,B681='112'!$K$9,OR($N681='112'!$I$6,$O681='112'!$I$6))),"x",""))</f>
        <v/>
      </c>
      <c r="U681" s="87" t="str">
        <f>IF(ISERROR(FIND('112'!$M$9,G681,1)),"",IF((AND(FIND('112'!$M$9,G681,1)&gt;=1,B681&lt;'112'!$K$9,$N681='112'!$I$6)),"x",""))</f>
        <v/>
      </c>
      <c r="V681" s="87" t="str">
        <f>IF(ISERROR(FIND('112'!$M$9,G681,1)),"",IF((AND(FIND('112'!$M$9,G681,1)&gt;=1,B681&lt;'112'!$K$9,$O681='112'!$I$6)),"x",""))</f>
        <v/>
      </c>
      <c r="W681" s="87" t="str">
        <f>IF(AND($B681&gt;='1331'!$I$9,$B681&lt;='1331'!$J$9,OR($N681=$W$7,$O681=$W$7)),"x","")</f>
        <v/>
      </c>
      <c r="X681" s="87" t="str">
        <f>IF(AND($N681=$W$7,$B681&lt;'1331'!$I$9),"x","")</f>
        <v/>
      </c>
      <c r="Y681" s="87" t="str">
        <f>IF(AND($O681=$W$7,$B681&lt;'1331'!$I$9),"x","")</f>
        <v/>
      </c>
      <c r="Z681" s="87" t="str">
        <f>IF(AND('341-CT'!$H$9=H681,OR(LEFT(N681,3)=$Z$7,LEFT(O681,3)=$Z$7)),"x","")</f>
        <v/>
      </c>
      <c r="AA681" s="87" t="str">
        <f>IF(OR(TH!N681=TH!$AA$7,O681=TH!$AA$7),"x","")</f>
        <v/>
      </c>
      <c r="AB681" s="87" t="str">
        <f>IF(AND(OR(N681="131",O681="131"),H681='131-CT'!$H$9),"x","")</f>
        <v/>
      </c>
      <c r="AC681" s="87"/>
      <c r="AD681" s="87" t="str">
        <f>IF(AND(MONTH(E681)='IN-NX'!$J$5,'IN-NX'!$D$7=D681),"x","")</f>
        <v/>
      </c>
      <c r="AE681" s="87" t="str">
        <f>IF(AND(OR(LEFT(TH!N681,2)="15",LEFT(TH!O681,2)="15"),'152-CT'!$J$8=TH!F681),"x","")</f>
        <v/>
      </c>
      <c r="AF681" s="87" t="str">
        <f>IF(AND(OR(LEFT(TH!N681,2)="15",LEFT(TH!O681,2)="15"),'THE KHO'!$E$7=TH!F681),"x","")</f>
        <v/>
      </c>
      <c r="AG681" s="87" t="str">
        <f>IF(AND(N681="1521",MONTH(C681)='BK NL'!$M$11),"x","")</f>
        <v/>
      </c>
    </row>
    <row r="682" spans="1:33" ht="15.75" customHeight="1">
      <c r="A682" s="399" t="str">
        <f>IF(B682&lt;&gt;"",IF(AND(B682&gt;=_TM1,B682&lt;=_TM2,OR(TH!N682="1111",TH!O682="1111")),TH!D682,""),"")</f>
        <v/>
      </c>
      <c r="B682" s="63" t="str">
        <f t="shared" si="15"/>
        <v/>
      </c>
      <c r="C682" s="64"/>
      <c r="D682" s="64"/>
      <c r="E682" s="64"/>
      <c r="F682" s="67"/>
      <c r="G682" s="376"/>
      <c r="H682" s="75"/>
      <c r="I682" s="518"/>
      <c r="J682" s="518"/>
      <c r="K682" s="509"/>
      <c r="L682" s="518"/>
      <c r="M682" s="65"/>
      <c r="N682" s="66"/>
      <c r="O682" s="66"/>
      <c r="P682" s="87" t="str">
        <f>IF(AND('331-CT'!$E$7=TH!H682,OR(N682="331",O682="331")),"x","")</f>
        <v/>
      </c>
      <c r="Q682" s="87" t="str">
        <f>IF(AND(B682='111'!$L$11,OR($N682=$Q$7,$O682=$Q$7)),"x","")</f>
        <v/>
      </c>
      <c r="R682" s="87" t="str">
        <f>IF(AND($N682=$Q$7,$B682&lt;'111'!$L$11),"x","")</f>
        <v/>
      </c>
      <c r="S682" s="87" t="str">
        <f>IF(AND($O682=$Q$7,$B682&lt;'111'!$L$11),"x","")</f>
        <v/>
      </c>
      <c r="T682" s="87" t="str">
        <f>IF(ISERROR(FIND('112'!$M$9,G682,1)),"",IF((AND(FIND('112'!$M$9,G682,1)&gt;=1,B682='112'!$K$9,OR($N682='112'!$I$6,$O682='112'!$I$6))),"x",""))</f>
        <v/>
      </c>
      <c r="U682" s="87" t="str">
        <f>IF(ISERROR(FIND('112'!$M$9,G682,1)),"",IF((AND(FIND('112'!$M$9,G682,1)&gt;=1,B682&lt;'112'!$K$9,$N682='112'!$I$6)),"x",""))</f>
        <v/>
      </c>
      <c r="V682" s="87" t="str">
        <f>IF(ISERROR(FIND('112'!$M$9,G682,1)),"",IF((AND(FIND('112'!$M$9,G682,1)&gt;=1,B682&lt;'112'!$K$9,$O682='112'!$I$6)),"x",""))</f>
        <v/>
      </c>
      <c r="W682" s="87" t="str">
        <f>IF(AND($B682&gt;='1331'!$I$9,$B682&lt;='1331'!$J$9,OR($N682=$W$7,$O682=$W$7)),"x","")</f>
        <v/>
      </c>
      <c r="X682" s="87" t="str">
        <f>IF(AND($N682=$W$7,$B682&lt;'1331'!$I$9),"x","")</f>
        <v/>
      </c>
      <c r="Y682" s="87" t="str">
        <f>IF(AND($O682=$W$7,$B682&lt;'1331'!$I$9),"x","")</f>
        <v/>
      </c>
      <c r="Z682" s="87" t="str">
        <f>IF(AND('341-CT'!$H$9=H682,OR(LEFT(N682,3)=$Z$7,LEFT(O682,3)=$Z$7)),"x","")</f>
        <v/>
      </c>
      <c r="AA682" s="87" t="str">
        <f>IF(OR(TH!N682=TH!$AA$7,O682=TH!$AA$7),"x","")</f>
        <v/>
      </c>
      <c r="AB682" s="87" t="str">
        <f>IF(AND(OR(N682="131",O682="131"),H682='131-CT'!$H$9),"x","")</f>
        <v/>
      </c>
      <c r="AC682" s="87"/>
      <c r="AD682" s="87" t="str">
        <f>IF(AND(MONTH(E682)='IN-NX'!$J$5,'IN-NX'!$D$7=D682),"x","")</f>
        <v/>
      </c>
      <c r="AE682" s="87" t="str">
        <f>IF(AND(OR(LEFT(TH!N682,2)="15",LEFT(TH!O682,2)="15"),'152-CT'!$J$8=TH!F682),"x","")</f>
        <v/>
      </c>
      <c r="AF682" s="87" t="str">
        <f>IF(AND(OR(LEFT(TH!N682,2)="15",LEFT(TH!O682,2)="15"),'THE KHO'!$E$7=TH!F682),"x","")</f>
        <v/>
      </c>
      <c r="AG682" s="87" t="str">
        <f>IF(AND(N682="1521",MONTH(C682)='BK NL'!$M$11),"x","")</f>
        <v/>
      </c>
    </row>
    <row r="683" spans="1:33" ht="15.75" customHeight="1">
      <c r="A683" s="399" t="str">
        <f>IF(B683&lt;&gt;"",IF(AND(B683&gt;=_TM1,B683&lt;=_TM2,OR(TH!N683="1111",TH!O683="1111")),TH!D683,""),"")</f>
        <v/>
      </c>
      <c r="B683" s="63" t="str">
        <f t="shared" si="15"/>
        <v/>
      </c>
      <c r="C683" s="64"/>
      <c r="D683" s="64"/>
      <c r="E683" s="64"/>
      <c r="F683" s="67"/>
      <c r="G683" s="376"/>
      <c r="H683" s="75"/>
      <c r="I683" s="518"/>
      <c r="J683" s="518"/>
      <c r="K683" s="509"/>
      <c r="L683" s="518"/>
      <c r="M683" s="65"/>
      <c r="N683" s="66"/>
      <c r="O683" s="66"/>
      <c r="P683" s="87" t="str">
        <f>IF(AND('331-CT'!$E$7=TH!H683,OR(N683="331",O683="331")),"x","")</f>
        <v/>
      </c>
      <c r="Q683" s="87" t="str">
        <f>IF(AND(B683='111'!$L$11,OR($N683=$Q$7,$O683=$Q$7)),"x","")</f>
        <v/>
      </c>
      <c r="R683" s="87" t="str">
        <f>IF(AND($N683=$Q$7,$B683&lt;'111'!$L$11),"x","")</f>
        <v/>
      </c>
      <c r="S683" s="87" t="str">
        <f>IF(AND($O683=$Q$7,$B683&lt;'111'!$L$11),"x","")</f>
        <v/>
      </c>
      <c r="T683" s="87" t="str">
        <f>IF(ISERROR(FIND('112'!$M$9,G683,1)),"",IF((AND(FIND('112'!$M$9,G683,1)&gt;=1,B683='112'!$K$9,OR($N683='112'!$I$6,$O683='112'!$I$6))),"x",""))</f>
        <v/>
      </c>
      <c r="U683" s="87" t="str">
        <f>IF(ISERROR(FIND('112'!$M$9,G683,1)),"",IF((AND(FIND('112'!$M$9,G683,1)&gt;=1,B683&lt;'112'!$K$9,$N683='112'!$I$6)),"x",""))</f>
        <v/>
      </c>
      <c r="V683" s="87" t="str">
        <f>IF(ISERROR(FIND('112'!$M$9,G683,1)),"",IF((AND(FIND('112'!$M$9,G683,1)&gt;=1,B683&lt;'112'!$K$9,$O683='112'!$I$6)),"x",""))</f>
        <v/>
      </c>
      <c r="W683" s="87" t="str">
        <f>IF(AND($B683&gt;='1331'!$I$9,$B683&lt;='1331'!$J$9,OR($N683=$W$7,$O683=$W$7)),"x","")</f>
        <v/>
      </c>
      <c r="X683" s="87" t="str">
        <f>IF(AND($N683=$W$7,$B683&lt;'1331'!$I$9),"x","")</f>
        <v/>
      </c>
      <c r="Y683" s="87" t="str">
        <f>IF(AND($O683=$W$7,$B683&lt;'1331'!$I$9),"x","")</f>
        <v/>
      </c>
      <c r="Z683" s="87" t="str">
        <f>IF(AND('341-CT'!$H$9=H683,OR(LEFT(N683,3)=$Z$7,LEFT(O683,3)=$Z$7)),"x","")</f>
        <v/>
      </c>
      <c r="AA683" s="87" t="str">
        <f>IF(OR(TH!N683=TH!$AA$7,O683=TH!$AA$7),"x","")</f>
        <v/>
      </c>
      <c r="AB683" s="87" t="str">
        <f>IF(AND(OR(N683="131",O683="131"),H683='131-CT'!$H$9),"x","")</f>
        <v/>
      </c>
      <c r="AC683" s="87"/>
      <c r="AD683" s="87" t="str">
        <f>IF(AND(MONTH(E683)='IN-NX'!$J$5,'IN-NX'!$D$7=D683),"x","")</f>
        <v/>
      </c>
      <c r="AE683" s="87" t="str">
        <f>IF(AND(OR(LEFT(TH!N683,2)="15",LEFT(TH!O683,2)="15"),'152-CT'!$J$8=TH!F683),"x","")</f>
        <v/>
      </c>
      <c r="AF683" s="87" t="str">
        <f>IF(AND(OR(LEFT(TH!N683,2)="15",LEFT(TH!O683,2)="15"),'THE KHO'!$E$7=TH!F683),"x","")</f>
        <v/>
      </c>
      <c r="AG683" s="87" t="str">
        <f>IF(AND(N683="1521",MONTH(C683)='BK NL'!$M$11),"x","")</f>
        <v/>
      </c>
    </row>
    <row r="684" spans="1:33" ht="15.75" customHeight="1">
      <c r="A684" s="399" t="str">
        <f>IF(B684&lt;&gt;"",IF(AND(B684&gt;=_TM1,B684&lt;=_TM2,OR(TH!N684="1111",TH!O684="1111")),TH!D684,""),"")</f>
        <v/>
      </c>
      <c r="B684" s="63" t="str">
        <f t="shared" si="15"/>
        <v/>
      </c>
      <c r="C684" s="64"/>
      <c r="D684" s="64"/>
      <c r="E684" s="64"/>
      <c r="F684" s="67"/>
      <c r="G684" s="376"/>
      <c r="H684" s="75"/>
      <c r="I684" s="518"/>
      <c r="J684" s="518"/>
      <c r="K684" s="509"/>
      <c r="L684" s="518"/>
      <c r="M684" s="65"/>
      <c r="N684" s="66"/>
      <c r="O684" s="66"/>
      <c r="P684" s="87" t="str">
        <f>IF(AND('331-CT'!$E$7=TH!H684,OR(N684="331",O684="331")),"x","")</f>
        <v/>
      </c>
      <c r="Q684" s="87" t="str">
        <f>IF(AND(B684='111'!$L$11,OR($N684=$Q$7,$O684=$Q$7)),"x","")</f>
        <v/>
      </c>
      <c r="R684" s="87" t="str">
        <f>IF(AND($N684=$Q$7,$B684&lt;'111'!$L$11),"x","")</f>
        <v/>
      </c>
      <c r="S684" s="87" t="str">
        <f>IF(AND($O684=$Q$7,$B684&lt;'111'!$L$11),"x","")</f>
        <v/>
      </c>
      <c r="T684" s="87" t="str">
        <f>IF(ISERROR(FIND('112'!$M$9,G684,1)),"",IF((AND(FIND('112'!$M$9,G684,1)&gt;=1,B684='112'!$K$9,OR($N684='112'!$I$6,$O684='112'!$I$6))),"x",""))</f>
        <v/>
      </c>
      <c r="U684" s="87" t="str">
        <f>IF(ISERROR(FIND('112'!$M$9,G684,1)),"",IF((AND(FIND('112'!$M$9,G684,1)&gt;=1,B684&lt;'112'!$K$9,$N684='112'!$I$6)),"x",""))</f>
        <v/>
      </c>
      <c r="V684" s="87" t="str">
        <f>IF(ISERROR(FIND('112'!$M$9,G684,1)),"",IF((AND(FIND('112'!$M$9,G684,1)&gt;=1,B684&lt;'112'!$K$9,$O684='112'!$I$6)),"x",""))</f>
        <v/>
      </c>
      <c r="W684" s="87" t="str">
        <f>IF(AND($B684&gt;='1331'!$I$9,$B684&lt;='1331'!$J$9,OR($N684=$W$7,$O684=$W$7)),"x","")</f>
        <v/>
      </c>
      <c r="X684" s="87" t="str">
        <f>IF(AND($N684=$W$7,$B684&lt;'1331'!$I$9),"x","")</f>
        <v/>
      </c>
      <c r="Y684" s="87" t="str">
        <f>IF(AND($O684=$W$7,$B684&lt;'1331'!$I$9),"x","")</f>
        <v/>
      </c>
      <c r="Z684" s="87" t="str">
        <f>IF(AND('341-CT'!$H$9=H684,OR(LEFT(N684,3)=$Z$7,LEFT(O684,3)=$Z$7)),"x","")</f>
        <v/>
      </c>
      <c r="AA684" s="87" t="str">
        <f>IF(OR(TH!N684=TH!$AA$7,O684=TH!$AA$7),"x","")</f>
        <v/>
      </c>
      <c r="AB684" s="87" t="str">
        <f>IF(AND(OR(N684="131",O684="131"),H684='131-CT'!$H$9),"x","")</f>
        <v/>
      </c>
      <c r="AC684" s="87"/>
      <c r="AD684" s="87" t="str">
        <f>IF(AND(MONTH(E684)='IN-NX'!$J$5,'IN-NX'!$D$7=D684),"x","")</f>
        <v/>
      </c>
      <c r="AE684" s="87" t="str">
        <f>IF(AND(OR(LEFT(TH!N684,2)="15",LEFT(TH!O684,2)="15"),'152-CT'!$J$8=TH!F684),"x","")</f>
        <v/>
      </c>
      <c r="AF684" s="87" t="str">
        <f>IF(AND(OR(LEFT(TH!N684,2)="15",LEFT(TH!O684,2)="15"),'THE KHO'!$E$7=TH!F684),"x","")</f>
        <v/>
      </c>
      <c r="AG684" s="87" t="str">
        <f>IF(AND(N684="1521",MONTH(C684)='BK NL'!$M$11),"x","")</f>
        <v/>
      </c>
    </row>
    <row r="685" spans="1:33" ht="15.75" customHeight="1">
      <c r="A685" s="399" t="str">
        <f>IF(B685&lt;&gt;"",IF(AND(B685&gt;=_TM1,B685&lt;=_TM2,OR(TH!N685="1111",TH!O685="1111")),TH!D685,""),"")</f>
        <v/>
      </c>
      <c r="B685" s="63" t="str">
        <f t="shared" si="15"/>
        <v/>
      </c>
      <c r="C685" s="64"/>
      <c r="D685" s="64"/>
      <c r="E685" s="64"/>
      <c r="F685" s="67"/>
      <c r="G685" s="362"/>
      <c r="H685" s="365"/>
      <c r="I685" s="518"/>
      <c r="J685" s="518"/>
      <c r="K685" s="509"/>
      <c r="L685" s="518"/>
      <c r="M685" s="65"/>
      <c r="N685" s="66"/>
      <c r="O685" s="66"/>
      <c r="P685" s="87" t="str">
        <f>IF(AND('331-CT'!$E$7=TH!H685,OR(N685="331",O685="331")),"x","")</f>
        <v/>
      </c>
      <c r="Q685" s="87" t="str">
        <f>IF(AND(B685='111'!$L$11,OR($N685=$Q$7,$O685=$Q$7)),"x","")</f>
        <v/>
      </c>
      <c r="R685" s="87" t="str">
        <f>IF(AND($N685=$Q$7,$B685&lt;'111'!$L$11),"x","")</f>
        <v/>
      </c>
      <c r="S685" s="87" t="str">
        <f>IF(AND($O685=$Q$7,$B685&lt;'111'!$L$11),"x","")</f>
        <v/>
      </c>
      <c r="T685" s="87" t="str">
        <f>IF(ISERROR(FIND('112'!$M$9,G685,1)),"",IF((AND(FIND('112'!$M$9,G685,1)&gt;=1,B685='112'!$K$9,OR($N685='112'!$I$6,$O685='112'!$I$6))),"x",""))</f>
        <v/>
      </c>
      <c r="U685" s="87" t="str">
        <f>IF(ISERROR(FIND('112'!$M$9,G685,1)),"",IF((AND(FIND('112'!$M$9,G685,1)&gt;=1,B685&lt;'112'!$K$9,$N685='112'!$I$6)),"x",""))</f>
        <v/>
      </c>
      <c r="V685" s="87" t="str">
        <f>IF(ISERROR(FIND('112'!$M$9,G685,1)),"",IF((AND(FIND('112'!$M$9,G685,1)&gt;=1,B685&lt;'112'!$K$9,$O685='112'!$I$6)),"x",""))</f>
        <v/>
      </c>
      <c r="W685" s="87" t="str">
        <f>IF(AND($B685&gt;='1331'!$I$9,$B685&lt;='1331'!$J$9,OR($N685=$W$7,$O685=$W$7)),"x","")</f>
        <v/>
      </c>
      <c r="X685" s="87" t="str">
        <f>IF(AND($N685=$W$7,$B685&lt;'1331'!$I$9),"x","")</f>
        <v/>
      </c>
      <c r="Y685" s="87" t="str">
        <f>IF(AND($O685=$W$7,$B685&lt;'1331'!$I$9),"x","")</f>
        <v/>
      </c>
      <c r="Z685" s="87" t="str">
        <f>IF(AND('341-CT'!$H$9=H685,OR(LEFT(N685,3)=$Z$7,LEFT(O685,3)=$Z$7)),"x","")</f>
        <v/>
      </c>
      <c r="AA685" s="87" t="str">
        <f>IF(OR(TH!N685=TH!$AA$7,O685=TH!$AA$7),"x","")</f>
        <v/>
      </c>
      <c r="AB685" s="87" t="str">
        <f>IF(AND(OR(N685="131",O685="131"),H685='131-CT'!$H$9),"x","")</f>
        <v/>
      </c>
      <c r="AC685" s="87"/>
      <c r="AD685" s="87" t="str">
        <f>IF(AND(MONTH(E685)='IN-NX'!$J$5,'IN-NX'!$D$7=D685),"x","")</f>
        <v/>
      </c>
      <c r="AE685" s="87" t="str">
        <f>IF(AND(OR(LEFT(TH!N685,2)="15",LEFT(TH!O685,2)="15"),'152-CT'!$J$8=TH!F685),"x","")</f>
        <v/>
      </c>
      <c r="AF685" s="87" t="str">
        <f>IF(AND(OR(LEFT(TH!N685,2)="15",LEFT(TH!O685,2)="15"),'THE KHO'!$E$7=TH!F685),"x","")</f>
        <v/>
      </c>
      <c r="AG685" s="87" t="str">
        <f>IF(AND(N685="1521",MONTH(C685)='BK NL'!$M$11),"x","")</f>
        <v/>
      </c>
    </row>
    <row r="686" spans="1:33" ht="15.75" customHeight="1">
      <c r="A686" s="399" t="str">
        <f>IF(B686&lt;&gt;"",IF(AND(B686&gt;=_TM1,B686&lt;=_TM2,OR(TH!N686="1111",TH!O686="1111")),TH!D686,""),"")</f>
        <v/>
      </c>
      <c r="B686" s="63" t="str">
        <f t="shared" ref="B686:B749" si="16">IF(C686&lt;&gt;"",MONTH(C686),"")</f>
        <v/>
      </c>
      <c r="C686" s="64"/>
      <c r="D686" s="64"/>
      <c r="E686" s="64"/>
      <c r="F686" s="67"/>
      <c r="G686" s="362"/>
      <c r="H686" s="75"/>
      <c r="I686" s="518"/>
      <c r="J686" s="518"/>
      <c r="K686" s="509"/>
      <c r="L686" s="518"/>
      <c r="M686" s="65"/>
      <c r="N686" s="66"/>
      <c r="O686" s="66"/>
      <c r="P686" s="87" t="str">
        <f>IF(AND('331-CT'!$E$7=TH!H686,OR(N686="331",O686="331")),"x","")</f>
        <v/>
      </c>
      <c r="Q686" s="87" t="str">
        <f>IF(AND(B686='111'!$L$11,OR($N686=$Q$7,$O686=$Q$7)),"x","")</f>
        <v/>
      </c>
      <c r="R686" s="87" t="str">
        <f>IF(AND($N686=$Q$7,$B686&lt;'111'!$L$11),"x","")</f>
        <v/>
      </c>
      <c r="S686" s="87" t="str">
        <f>IF(AND($O686=$Q$7,$B686&lt;'111'!$L$11),"x","")</f>
        <v/>
      </c>
      <c r="T686" s="87" t="str">
        <f>IF(ISERROR(FIND('112'!$M$9,G686,1)),"",IF((AND(FIND('112'!$M$9,G686,1)&gt;=1,B686='112'!$K$9,OR($N686='112'!$I$6,$O686='112'!$I$6))),"x",""))</f>
        <v/>
      </c>
      <c r="U686" s="87" t="str">
        <f>IF(ISERROR(FIND('112'!$M$9,G686,1)),"",IF((AND(FIND('112'!$M$9,G686,1)&gt;=1,B686&lt;'112'!$K$9,$N686='112'!$I$6)),"x",""))</f>
        <v/>
      </c>
      <c r="V686" s="87" t="str">
        <f>IF(ISERROR(FIND('112'!$M$9,G686,1)),"",IF((AND(FIND('112'!$M$9,G686,1)&gt;=1,B686&lt;'112'!$K$9,$O686='112'!$I$6)),"x",""))</f>
        <v/>
      </c>
      <c r="W686" s="87" t="str">
        <f>IF(AND($B686&gt;='1331'!$I$9,$B686&lt;='1331'!$J$9,OR($N686=$W$7,$O686=$W$7)),"x","")</f>
        <v/>
      </c>
      <c r="X686" s="87" t="str">
        <f>IF(AND($N686=$W$7,$B686&lt;'1331'!$I$9),"x","")</f>
        <v/>
      </c>
      <c r="Y686" s="87" t="str">
        <f>IF(AND($O686=$W$7,$B686&lt;'1331'!$I$9),"x","")</f>
        <v/>
      </c>
      <c r="Z686" s="87" t="str">
        <f>IF(AND('341-CT'!$H$9=H686,OR(LEFT(N686,3)=$Z$7,LEFT(O686,3)=$Z$7)),"x","")</f>
        <v/>
      </c>
      <c r="AA686" s="87" t="str">
        <f>IF(OR(TH!N686=TH!$AA$7,O686=TH!$AA$7),"x","")</f>
        <v/>
      </c>
      <c r="AB686" s="87" t="str">
        <f>IF(AND(OR(N686="131",O686="131"),H686='131-CT'!$H$9),"x","")</f>
        <v/>
      </c>
      <c r="AC686" s="87"/>
      <c r="AD686" s="87" t="str">
        <f>IF(AND(MONTH(E686)='IN-NX'!$J$5,'IN-NX'!$D$7=D686),"x","")</f>
        <v/>
      </c>
      <c r="AE686" s="87" t="str">
        <f>IF(AND(OR(LEFT(TH!N686,2)="15",LEFT(TH!O686,2)="15"),'152-CT'!$J$8=TH!F686),"x","")</f>
        <v/>
      </c>
      <c r="AF686" s="87" t="str">
        <f>IF(AND(OR(LEFT(TH!N686,2)="15",LEFT(TH!O686,2)="15"),'THE KHO'!$E$7=TH!F686),"x","")</f>
        <v/>
      </c>
      <c r="AG686" s="87" t="str">
        <f>IF(AND(N686="1521",MONTH(C686)='BK NL'!$M$11),"x","")</f>
        <v/>
      </c>
    </row>
    <row r="687" spans="1:33" ht="15.75" customHeight="1">
      <c r="A687" s="399" t="str">
        <f>IF(B687&lt;&gt;"",IF(AND(B687&gt;=_TM1,B687&lt;=_TM2,OR(TH!N687="1111",TH!O687="1111")),TH!D687,""),"")</f>
        <v/>
      </c>
      <c r="B687" s="63" t="str">
        <f t="shared" si="16"/>
        <v/>
      </c>
      <c r="C687" s="64"/>
      <c r="D687" s="64"/>
      <c r="E687" s="64"/>
      <c r="F687" s="67"/>
      <c r="G687" s="362"/>
      <c r="H687" s="75"/>
      <c r="I687" s="518"/>
      <c r="J687" s="518"/>
      <c r="K687" s="509"/>
      <c r="L687" s="518"/>
      <c r="M687" s="65"/>
      <c r="N687" s="66"/>
      <c r="O687" s="66"/>
      <c r="P687" s="87" t="str">
        <f>IF(AND('331-CT'!$E$7=TH!H687,OR(N687="331",O687="331")),"x","")</f>
        <v/>
      </c>
      <c r="Q687" s="87" t="str">
        <f>IF(AND(B687='111'!$L$11,OR($N687=$Q$7,$O687=$Q$7)),"x","")</f>
        <v/>
      </c>
      <c r="R687" s="87" t="str">
        <f>IF(AND($N687=$Q$7,$B687&lt;'111'!$L$11),"x","")</f>
        <v/>
      </c>
      <c r="S687" s="87" t="str">
        <f>IF(AND($O687=$Q$7,$B687&lt;'111'!$L$11),"x","")</f>
        <v/>
      </c>
      <c r="T687" s="87" t="str">
        <f>IF(ISERROR(FIND('112'!$M$9,G687,1)),"",IF((AND(FIND('112'!$M$9,G687,1)&gt;=1,B687='112'!$K$9,OR($N687='112'!$I$6,$O687='112'!$I$6))),"x",""))</f>
        <v/>
      </c>
      <c r="U687" s="87" t="str">
        <f>IF(ISERROR(FIND('112'!$M$9,G687,1)),"",IF((AND(FIND('112'!$M$9,G687,1)&gt;=1,B687&lt;'112'!$K$9,$N687='112'!$I$6)),"x",""))</f>
        <v/>
      </c>
      <c r="V687" s="87" t="str">
        <f>IF(ISERROR(FIND('112'!$M$9,G687,1)),"",IF((AND(FIND('112'!$M$9,G687,1)&gt;=1,B687&lt;'112'!$K$9,$O687='112'!$I$6)),"x",""))</f>
        <v/>
      </c>
      <c r="W687" s="87" t="str">
        <f>IF(AND($B687&gt;='1331'!$I$9,$B687&lt;='1331'!$J$9,OR($N687=$W$7,$O687=$W$7)),"x","")</f>
        <v/>
      </c>
      <c r="X687" s="87" t="str">
        <f>IF(AND($N687=$W$7,$B687&lt;'1331'!$I$9),"x","")</f>
        <v/>
      </c>
      <c r="Y687" s="87" t="str">
        <f>IF(AND($O687=$W$7,$B687&lt;'1331'!$I$9),"x","")</f>
        <v/>
      </c>
      <c r="Z687" s="87" t="str">
        <f>IF(AND('341-CT'!$H$9=H687,OR(LEFT(N687,3)=$Z$7,LEFT(O687,3)=$Z$7)),"x","")</f>
        <v/>
      </c>
      <c r="AA687" s="87" t="str">
        <f>IF(OR(TH!N687=TH!$AA$7,O687=TH!$AA$7),"x","")</f>
        <v/>
      </c>
      <c r="AB687" s="87" t="str">
        <f>IF(AND(OR(N687="131",O687="131"),H687='131-CT'!$H$9),"x","")</f>
        <v/>
      </c>
      <c r="AC687" s="87"/>
      <c r="AD687" s="87" t="str">
        <f>IF(AND(MONTH(E687)='IN-NX'!$J$5,'IN-NX'!$D$7=D687),"x","")</f>
        <v/>
      </c>
      <c r="AE687" s="87" t="str">
        <f>IF(AND(OR(LEFT(TH!N687,2)="15",LEFT(TH!O687,2)="15"),'152-CT'!$J$8=TH!F687),"x","")</f>
        <v/>
      </c>
      <c r="AF687" s="87" t="str">
        <f>IF(AND(OR(LEFT(TH!N687,2)="15",LEFT(TH!O687,2)="15"),'THE KHO'!$E$7=TH!F687),"x","")</f>
        <v/>
      </c>
      <c r="AG687" s="87" t="str">
        <f>IF(AND(N687="1521",MONTH(C687)='BK NL'!$M$11),"x","")</f>
        <v/>
      </c>
    </row>
    <row r="688" spans="1:33" ht="15.75" customHeight="1">
      <c r="A688" s="399" t="str">
        <f>IF(B688&lt;&gt;"",IF(AND(B688&gt;=_TM1,B688&lt;=_TM2,OR(TH!N688="1111",TH!O688="1111")),TH!D688,""),"")</f>
        <v/>
      </c>
      <c r="B688" s="63" t="str">
        <f t="shared" si="16"/>
        <v/>
      </c>
      <c r="C688" s="64"/>
      <c r="D688" s="64"/>
      <c r="E688" s="64"/>
      <c r="F688" s="67"/>
      <c r="G688" s="362"/>
      <c r="H688" s="75"/>
      <c r="I688" s="518"/>
      <c r="J688" s="518"/>
      <c r="K688" s="509"/>
      <c r="L688" s="518"/>
      <c r="M688" s="65"/>
      <c r="N688" s="66"/>
      <c r="O688" s="66"/>
      <c r="P688" s="87" t="str">
        <f>IF(AND('331-CT'!$E$7=TH!H688,OR(N688="331",O688="331")),"x","")</f>
        <v/>
      </c>
      <c r="Q688" s="87" t="str">
        <f>IF(AND(B688='111'!$L$11,OR($N688=$Q$7,$O688=$Q$7)),"x","")</f>
        <v/>
      </c>
      <c r="R688" s="87" t="str">
        <f>IF(AND($N688=$Q$7,$B688&lt;'111'!$L$11),"x","")</f>
        <v/>
      </c>
      <c r="S688" s="87" t="str">
        <f>IF(AND($O688=$Q$7,$B688&lt;'111'!$L$11),"x","")</f>
        <v/>
      </c>
      <c r="T688" s="87" t="str">
        <f>IF(ISERROR(FIND('112'!$M$9,G688,1)),"",IF((AND(FIND('112'!$M$9,G688,1)&gt;=1,B688='112'!$K$9,OR($N688='112'!$I$6,$O688='112'!$I$6))),"x",""))</f>
        <v/>
      </c>
      <c r="U688" s="87" t="str">
        <f>IF(ISERROR(FIND('112'!$M$9,G688,1)),"",IF((AND(FIND('112'!$M$9,G688,1)&gt;=1,B688&lt;'112'!$K$9,$N688='112'!$I$6)),"x",""))</f>
        <v/>
      </c>
      <c r="V688" s="87" t="str">
        <f>IF(ISERROR(FIND('112'!$M$9,G688,1)),"",IF((AND(FIND('112'!$M$9,G688,1)&gt;=1,B688&lt;'112'!$K$9,$O688='112'!$I$6)),"x",""))</f>
        <v/>
      </c>
      <c r="W688" s="87" t="str">
        <f>IF(AND($B688&gt;='1331'!$I$9,$B688&lt;='1331'!$J$9,OR($N688=$W$7,$O688=$W$7)),"x","")</f>
        <v/>
      </c>
      <c r="X688" s="87" t="str">
        <f>IF(AND($N688=$W$7,$B688&lt;'1331'!$I$9),"x","")</f>
        <v/>
      </c>
      <c r="Y688" s="87" t="str">
        <f>IF(AND($O688=$W$7,$B688&lt;'1331'!$I$9),"x","")</f>
        <v/>
      </c>
      <c r="Z688" s="87" t="str">
        <f>IF(AND('341-CT'!$H$9=H688,OR(LEFT(N688,3)=$Z$7,LEFT(O688,3)=$Z$7)),"x","")</f>
        <v/>
      </c>
      <c r="AA688" s="87" t="str">
        <f>IF(OR(TH!N688=TH!$AA$7,O688=TH!$AA$7),"x","")</f>
        <v/>
      </c>
      <c r="AB688" s="87" t="str">
        <f>IF(AND(OR(N688="131",O688="131"),H688='131-CT'!$H$9),"x","")</f>
        <v/>
      </c>
      <c r="AC688" s="87"/>
      <c r="AD688" s="87" t="str">
        <f>IF(AND(MONTH(E688)='IN-NX'!$J$5,'IN-NX'!$D$7=D688),"x","")</f>
        <v/>
      </c>
      <c r="AE688" s="87" t="str">
        <f>IF(AND(OR(LEFT(TH!N688,2)="15",LEFT(TH!O688,2)="15"),'152-CT'!$J$8=TH!F688),"x","")</f>
        <v/>
      </c>
      <c r="AF688" s="87" t="str">
        <f>IF(AND(OR(LEFT(TH!N688,2)="15",LEFT(TH!O688,2)="15"),'THE KHO'!$E$7=TH!F688),"x","")</f>
        <v/>
      </c>
      <c r="AG688" s="87" t="str">
        <f>IF(AND(N688="1521",MONTH(C688)='BK NL'!$M$11),"x","")</f>
        <v/>
      </c>
    </row>
    <row r="689" spans="1:33" s="414" customFormat="1" ht="15.75" customHeight="1">
      <c r="A689" s="399" t="str">
        <f>IF(B689&lt;&gt;"",IF(AND(B689&gt;=_TM1,B689&lt;=_TM2,OR(TH!N689="1111",TH!O689="1111")),TH!D689,""),"")</f>
        <v/>
      </c>
      <c r="B689" s="63" t="str">
        <f t="shared" si="16"/>
        <v/>
      </c>
      <c r="C689" s="64"/>
      <c r="D689" s="64"/>
      <c r="E689" s="64"/>
      <c r="F689" s="67"/>
      <c r="G689" s="362"/>
      <c r="H689" s="75"/>
      <c r="I689" s="518"/>
      <c r="J689" s="518"/>
      <c r="K689" s="509"/>
      <c r="L689" s="518"/>
      <c r="M689" s="65"/>
      <c r="N689" s="66"/>
      <c r="O689" s="66"/>
      <c r="P689" s="87" t="str">
        <f>IF(AND('331-CT'!$E$7=TH!H689,OR(N689="331",O689="331")),"x","")</f>
        <v/>
      </c>
      <c r="Q689" s="87" t="str">
        <f>IF(AND(B689='111'!$L$11,OR($N689=$Q$7,$O689=$Q$7)),"x","")</f>
        <v/>
      </c>
      <c r="R689" s="87" t="str">
        <f>IF(AND($N689=$Q$7,$B689&lt;'111'!$L$11),"x","")</f>
        <v/>
      </c>
      <c r="S689" s="87" t="str">
        <f>IF(AND($O689=$Q$7,$B689&lt;'111'!$L$11),"x","")</f>
        <v/>
      </c>
      <c r="T689" s="87" t="str">
        <f>IF(ISERROR(FIND('112'!$M$9,G689,1)),"",IF((AND(FIND('112'!$M$9,G689,1)&gt;=1,B689='112'!$K$9,OR($N689='112'!$I$6,$O689='112'!$I$6))),"x",""))</f>
        <v/>
      </c>
      <c r="U689" s="87" t="str">
        <f>IF(ISERROR(FIND('112'!$M$9,G689,1)),"",IF((AND(FIND('112'!$M$9,G689,1)&gt;=1,B689&lt;'112'!$K$9,$N689='112'!$I$6)),"x",""))</f>
        <v/>
      </c>
      <c r="V689" s="87" t="str">
        <f>IF(ISERROR(FIND('112'!$M$9,G689,1)),"",IF((AND(FIND('112'!$M$9,G689,1)&gt;=1,B689&lt;'112'!$K$9,$O689='112'!$I$6)),"x",""))</f>
        <v/>
      </c>
      <c r="W689" s="87" t="str">
        <f>IF(AND($B689&gt;='1331'!$I$9,$B689&lt;='1331'!$J$9,OR($N689=$W$7,$O689=$W$7)),"x","")</f>
        <v/>
      </c>
      <c r="X689" s="87" t="str">
        <f>IF(AND($N689=$W$7,$B689&lt;'1331'!$I$9),"x","")</f>
        <v/>
      </c>
      <c r="Y689" s="87" t="str">
        <f>IF(AND($O689=$W$7,$B689&lt;'1331'!$I$9),"x","")</f>
        <v/>
      </c>
      <c r="Z689" s="87" t="str">
        <f>IF(AND('341-CT'!$H$9=H689,OR(LEFT(N689,3)=$Z$7,LEFT(O689,3)=$Z$7)),"x","")</f>
        <v/>
      </c>
      <c r="AA689" s="87" t="str">
        <f>IF(OR(TH!N689=TH!$AA$7,O689=TH!$AA$7),"x","")</f>
        <v/>
      </c>
      <c r="AB689" s="87" t="str">
        <f>IF(AND(OR(N689="131",O689="131"),H689='131-CT'!$H$9),"x","")</f>
        <v/>
      </c>
      <c r="AC689" s="87"/>
      <c r="AD689" s="87" t="str">
        <f>IF(AND(MONTH(E689)='IN-NX'!$J$5,'IN-NX'!$D$7=D689),"x","")</f>
        <v/>
      </c>
      <c r="AE689" s="87" t="str">
        <f>IF(AND(OR(LEFT(TH!N689,2)="15",LEFT(TH!O689,2)="15"),'152-CT'!$J$8=TH!F689),"x","")</f>
        <v/>
      </c>
      <c r="AF689" s="87" t="str">
        <f>IF(AND(OR(LEFT(TH!N689,2)="15",LEFT(TH!O689,2)="15"),'THE KHO'!$E$7=TH!F689),"x","")</f>
        <v/>
      </c>
      <c r="AG689" s="87" t="str">
        <f>IF(AND(N689="1521",MONTH(C689)='BK NL'!$M$11),"x","")</f>
        <v/>
      </c>
    </row>
    <row r="690" spans="1:33" s="414" customFormat="1" ht="15.75" customHeight="1">
      <c r="A690" s="399" t="str">
        <f>IF(B690&lt;&gt;"",IF(AND(B690&gt;=_TM1,B690&lt;=_TM2,OR(TH!N690="1111",TH!O690="1111")),TH!D690,""),"")</f>
        <v/>
      </c>
      <c r="B690" s="63" t="str">
        <f t="shared" si="16"/>
        <v/>
      </c>
      <c r="C690" s="64"/>
      <c r="D690" s="64"/>
      <c r="E690" s="64"/>
      <c r="F690" s="67"/>
      <c r="G690" s="362"/>
      <c r="H690" s="75"/>
      <c r="I690" s="518"/>
      <c r="J690" s="518"/>
      <c r="K690" s="509"/>
      <c r="L690" s="518"/>
      <c r="M690" s="65"/>
      <c r="N690" s="66"/>
      <c r="O690" s="66"/>
      <c r="P690" s="87" t="str">
        <f>IF(AND('331-CT'!$E$7=TH!H690,OR(N690="331",O690="331")),"x","")</f>
        <v/>
      </c>
      <c r="Q690" s="87" t="str">
        <f>IF(AND(B690='111'!$L$11,OR($N690=$Q$7,$O690=$Q$7)),"x","")</f>
        <v/>
      </c>
      <c r="R690" s="87" t="str">
        <f>IF(AND($N690=$Q$7,$B690&lt;'111'!$L$11),"x","")</f>
        <v/>
      </c>
      <c r="S690" s="87" t="str">
        <f>IF(AND($O690=$Q$7,$B690&lt;'111'!$L$11),"x","")</f>
        <v/>
      </c>
      <c r="T690" s="87" t="str">
        <f>IF(ISERROR(FIND('112'!$M$9,G690,1)),"",IF((AND(FIND('112'!$M$9,G690,1)&gt;=1,B690='112'!$K$9,OR($N690='112'!$I$6,$O690='112'!$I$6))),"x",""))</f>
        <v/>
      </c>
      <c r="U690" s="87" t="str">
        <f>IF(ISERROR(FIND('112'!$M$9,G690,1)),"",IF((AND(FIND('112'!$M$9,G690,1)&gt;=1,B690&lt;'112'!$K$9,$N690='112'!$I$6)),"x",""))</f>
        <v/>
      </c>
      <c r="V690" s="87" t="str">
        <f>IF(ISERROR(FIND('112'!$M$9,G690,1)),"",IF((AND(FIND('112'!$M$9,G690,1)&gt;=1,B690&lt;'112'!$K$9,$O690='112'!$I$6)),"x",""))</f>
        <v/>
      </c>
      <c r="W690" s="87" t="str">
        <f>IF(AND($B690&gt;='1331'!$I$9,$B690&lt;='1331'!$J$9,OR($N690=$W$7,$O690=$W$7)),"x","")</f>
        <v/>
      </c>
      <c r="X690" s="87" t="str">
        <f>IF(AND($N690=$W$7,$B690&lt;'1331'!$I$9),"x","")</f>
        <v/>
      </c>
      <c r="Y690" s="87" t="str">
        <f>IF(AND($O690=$W$7,$B690&lt;'1331'!$I$9),"x","")</f>
        <v/>
      </c>
      <c r="Z690" s="87" t="str">
        <f>IF(AND('341-CT'!$H$9=H690,OR(LEFT(N690,3)=$Z$7,LEFT(O690,3)=$Z$7)),"x","")</f>
        <v/>
      </c>
      <c r="AA690" s="87" t="str">
        <f>IF(OR(TH!N690=TH!$AA$7,O690=TH!$AA$7),"x","")</f>
        <v/>
      </c>
      <c r="AB690" s="87" t="str">
        <f>IF(AND(OR(N690="131",O690="131"),H690='131-CT'!$H$9),"x","")</f>
        <v/>
      </c>
      <c r="AC690" s="87"/>
      <c r="AD690" s="87" t="str">
        <f>IF(AND(MONTH(E690)='IN-NX'!$J$5,'IN-NX'!$D$7=D690),"x","")</f>
        <v/>
      </c>
      <c r="AE690" s="87" t="str">
        <f>IF(AND(OR(LEFT(TH!N690,2)="15",LEFT(TH!O690,2)="15"),'152-CT'!$J$8=TH!F690),"x","")</f>
        <v/>
      </c>
      <c r="AF690" s="87" t="str">
        <f>IF(AND(OR(LEFT(TH!N690,2)="15",LEFT(TH!O690,2)="15"),'THE KHO'!$E$7=TH!F690),"x","")</f>
        <v/>
      </c>
      <c r="AG690" s="87" t="str">
        <f>IF(AND(N690="1521",MONTH(C690)='BK NL'!$M$11),"x","")</f>
        <v/>
      </c>
    </row>
    <row r="691" spans="1:33" ht="15.75" customHeight="1">
      <c r="A691" s="399" t="str">
        <f>IF(B691&lt;&gt;"",IF(AND(B691&gt;=_TM1,B691&lt;=_TM2,OR(TH!N691="1111",TH!O691="1111")),TH!D691,""),"")</f>
        <v/>
      </c>
      <c r="B691" s="63" t="str">
        <f t="shared" si="16"/>
        <v/>
      </c>
      <c r="C691" s="64"/>
      <c r="D691" s="64"/>
      <c r="E691" s="64"/>
      <c r="F691" s="67"/>
      <c r="G691" s="362"/>
      <c r="H691" s="75"/>
      <c r="I691" s="518"/>
      <c r="J691" s="518"/>
      <c r="K691" s="509"/>
      <c r="L691" s="518"/>
      <c r="M691" s="65"/>
      <c r="N691" s="66"/>
      <c r="O691" s="66"/>
      <c r="P691" s="87" t="str">
        <f>IF(AND('331-CT'!$E$7=TH!H691,OR(N691="331",O691="331")),"x","")</f>
        <v/>
      </c>
      <c r="Q691" s="87" t="str">
        <f>IF(AND(B691='111'!$L$11,OR($N691=$Q$7,$O691=$Q$7)),"x","")</f>
        <v/>
      </c>
      <c r="R691" s="87" t="str">
        <f>IF(AND($N691=$Q$7,$B691&lt;'111'!$L$11),"x","")</f>
        <v/>
      </c>
      <c r="S691" s="87" t="str">
        <f>IF(AND($O691=$Q$7,$B691&lt;'111'!$L$11),"x","")</f>
        <v/>
      </c>
      <c r="T691" s="87" t="str">
        <f>IF(ISERROR(FIND('112'!$M$9,G691,1)),"",IF((AND(FIND('112'!$M$9,G691,1)&gt;=1,B691='112'!$K$9,OR($N691='112'!$I$6,$O691='112'!$I$6))),"x",""))</f>
        <v/>
      </c>
      <c r="U691" s="87" t="str">
        <f>IF(ISERROR(FIND('112'!$M$9,G691,1)),"",IF((AND(FIND('112'!$M$9,G691,1)&gt;=1,B691&lt;'112'!$K$9,$N691='112'!$I$6)),"x",""))</f>
        <v/>
      </c>
      <c r="V691" s="87" t="str">
        <f>IF(ISERROR(FIND('112'!$M$9,G691,1)),"",IF((AND(FIND('112'!$M$9,G691,1)&gt;=1,B691&lt;'112'!$K$9,$O691='112'!$I$6)),"x",""))</f>
        <v/>
      </c>
      <c r="W691" s="87" t="str">
        <f>IF(AND($B691&gt;='1331'!$I$9,$B691&lt;='1331'!$J$9,OR($N691=$W$7,$O691=$W$7)),"x","")</f>
        <v/>
      </c>
      <c r="X691" s="87" t="str">
        <f>IF(AND($N691=$W$7,$B691&lt;'1331'!$I$9),"x","")</f>
        <v/>
      </c>
      <c r="Y691" s="87" t="str">
        <f>IF(AND($O691=$W$7,$B691&lt;'1331'!$I$9),"x","")</f>
        <v/>
      </c>
      <c r="Z691" s="87" t="str">
        <f>IF(AND('341-CT'!$H$9=H691,OR(LEFT(N691,3)=$Z$7,LEFT(O691,3)=$Z$7)),"x","")</f>
        <v/>
      </c>
      <c r="AA691" s="87" t="str">
        <f>IF(OR(TH!N691=TH!$AA$7,O691=TH!$AA$7),"x","")</f>
        <v/>
      </c>
      <c r="AB691" s="87" t="str">
        <f>IF(AND(OR(N691="131",O691="131"),H691='131-CT'!$H$9),"x","")</f>
        <v/>
      </c>
      <c r="AC691" s="87"/>
      <c r="AD691" s="87" t="str">
        <f>IF(AND(MONTH(E691)='IN-NX'!$J$5,'IN-NX'!$D$7=D691),"x","")</f>
        <v/>
      </c>
      <c r="AE691" s="87" t="str">
        <f>IF(AND(OR(LEFT(TH!N691,2)="15",LEFT(TH!O691,2)="15"),'152-CT'!$J$8=TH!F691),"x","")</f>
        <v/>
      </c>
      <c r="AF691" s="87" t="str">
        <f>IF(AND(OR(LEFT(TH!N691,2)="15",LEFT(TH!O691,2)="15"),'THE KHO'!$E$7=TH!F691),"x","")</f>
        <v/>
      </c>
      <c r="AG691" s="87" t="str">
        <f>IF(AND(N691="1521",MONTH(C691)='BK NL'!$M$11),"x","")</f>
        <v/>
      </c>
    </row>
    <row r="692" spans="1:33" ht="15.75" customHeight="1">
      <c r="A692" s="399" t="str">
        <f>IF(B692&lt;&gt;"",IF(AND(B692&gt;=_TM1,B692&lt;=_TM2,OR(TH!N692="1111",TH!O692="1111")),TH!D692,""),"")</f>
        <v/>
      </c>
      <c r="B692" s="63" t="str">
        <f t="shared" si="16"/>
        <v/>
      </c>
      <c r="C692" s="64"/>
      <c r="D692" s="64"/>
      <c r="E692" s="64"/>
      <c r="F692" s="67"/>
      <c r="G692" s="362"/>
      <c r="H692" s="75"/>
      <c r="I692" s="518"/>
      <c r="J692" s="518"/>
      <c r="K692" s="509"/>
      <c r="L692" s="518"/>
      <c r="M692" s="65"/>
      <c r="N692" s="66"/>
      <c r="O692" s="66"/>
      <c r="P692" s="87" t="str">
        <f>IF(AND('331-CT'!$E$7=TH!H692,OR(N692="331",O692="331")),"x","")</f>
        <v/>
      </c>
      <c r="Q692" s="87" t="str">
        <f>IF(AND(B692='111'!$L$11,OR($N692=$Q$7,$O692=$Q$7)),"x","")</f>
        <v/>
      </c>
      <c r="R692" s="87" t="str">
        <f>IF(AND($N692=$Q$7,$B692&lt;'111'!$L$11),"x","")</f>
        <v/>
      </c>
      <c r="S692" s="87" t="str">
        <f>IF(AND($O692=$Q$7,$B692&lt;'111'!$L$11),"x","")</f>
        <v/>
      </c>
      <c r="T692" s="87" t="str">
        <f>IF(ISERROR(FIND('112'!$M$9,G692,1)),"",IF((AND(FIND('112'!$M$9,G692,1)&gt;=1,B692='112'!$K$9,OR($N692='112'!$I$6,$O692='112'!$I$6))),"x",""))</f>
        <v/>
      </c>
      <c r="U692" s="87" t="str">
        <f>IF(ISERROR(FIND('112'!$M$9,G692,1)),"",IF((AND(FIND('112'!$M$9,G692,1)&gt;=1,B692&lt;'112'!$K$9,$N692='112'!$I$6)),"x",""))</f>
        <v/>
      </c>
      <c r="V692" s="87" t="str">
        <f>IF(ISERROR(FIND('112'!$M$9,G692,1)),"",IF((AND(FIND('112'!$M$9,G692,1)&gt;=1,B692&lt;'112'!$K$9,$O692='112'!$I$6)),"x",""))</f>
        <v/>
      </c>
      <c r="W692" s="87" t="str">
        <f>IF(AND($B692&gt;='1331'!$I$9,$B692&lt;='1331'!$J$9,OR($N692=$W$7,$O692=$W$7)),"x","")</f>
        <v/>
      </c>
      <c r="X692" s="87" t="str">
        <f>IF(AND($N692=$W$7,$B692&lt;'1331'!$I$9),"x","")</f>
        <v/>
      </c>
      <c r="Y692" s="87" t="str">
        <f>IF(AND($O692=$W$7,$B692&lt;'1331'!$I$9),"x","")</f>
        <v/>
      </c>
      <c r="Z692" s="87" t="str">
        <f>IF(AND('341-CT'!$H$9=H692,OR(LEFT(N692,3)=$Z$7,LEFT(O692,3)=$Z$7)),"x","")</f>
        <v/>
      </c>
      <c r="AA692" s="87" t="str">
        <f>IF(OR(TH!N692=TH!$AA$7,O692=TH!$AA$7),"x","")</f>
        <v/>
      </c>
      <c r="AB692" s="87" t="str">
        <f>IF(AND(OR(N692="131",O692="131"),H692='131-CT'!$H$9),"x","")</f>
        <v/>
      </c>
      <c r="AC692" s="87"/>
      <c r="AD692" s="87" t="str">
        <f>IF(AND(MONTH(E692)='IN-NX'!$J$5,'IN-NX'!$D$7=D692),"x","")</f>
        <v/>
      </c>
      <c r="AE692" s="87" t="str">
        <f>IF(AND(OR(LEFT(TH!N692,2)="15",LEFT(TH!O692,2)="15"),'152-CT'!$J$8=TH!F692),"x","")</f>
        <v/>
      </c>
      <c r="AF692" s="87" t="str">
        <f>IF(AND(OR(LEFT(TH!N692,2)="15",LEFT(TH!O692,2)="15"),'THE KHO'!$E$7=TH!F692),"x","")</f>
        <v/>
      </c>
      <c r="AG692" s="87" t="str">
        <f>IF(AND(N692="1521",MONTH(C692)='BK NL'!$M$11),"x","")</f>
        <v/>
      </c>
    </row>
    <row r="693" spans="1:33" ht="15.75" customHeight="1">
      <c r="A693" s="399" t="str">
        <f>IF(B693&lt;&gt;"",IF(AND(B693&gt;=_TM1,B693&lt;=_TM2,OR(TH!N693="1111",TH!O693="1111")),TH!D693,""),"")</f>
        <v/>
      </c>
      <c r="B693" s="63" t="str">
        <f t="shared" si="16"/>
        <v/>
      </c>
      <c r="C693" s="64"/>
      <c r="D693" s="64"/>
      <c r="E693" s="64"/>
      <c r="F693" s="67"/>
      <c r="G693" s="362"/>
      <c r="H693" s="75"/>
      <c r="I693" s="518"/>
      <c r="J693" s="518"/>
      <c r="K693" s="509"/>
      <c r="L693" s="518"/>
      <c r="M693" s="65"/>
      <c r="N693" s="66"/>
      <c r="O693" s="66"/>
      <c r="P693" s="87" t="str">
        <f>IF(AND('331-CT'!$E$7=TH!H693,OR(N693="331",O693="331")),"x","")</f>
        <v/>
      </c>
      <c r="Q693" s="87" t="str">
        <f>IF(AND(B693='111'!$L$11,OR($N693=$Q$7,$O693=$Q$7)),"x","")</f>
        <v/>
      </c>
      <c r="R693" s="87" t="str">
        <f>IF(AND($N693=$Q$7,$B693&lt;'111'!$L$11),"x","")</f>
        <v/>
      </c>
      <c r="S693" s="87" t="str">
        <f>IF(AND($O693=$Q$7,$B693&lt;'111'!$L$11),"x","")</f>
        <v/>
      </c>
      <c r="T693" s="87" t="str">
        <f>IF(ISERROR(FIND('112'!$M$9,G693,1)),"",IF((AND(FIND('112'!$M$9,G693,1)&gt;=1,B693='112'!$K$9,OR($N693='112'!$I$6,$O693='112'!$I$6))),"x",""))</f>
        <v/>
      </c>
      <c r="U693" s="87" t="str">
        <f>IF(ISERROR(FIND('112'!$M$9,G693,1)),"",IF((AND(FIND('112'!$M$9,G693,1)&gt;=1,B693&lt;'112'!$K$9,$N693='112'!$I$6)),"x",""))</f>
        <v/>
      </c>
      <c r="V693" s="87" t="str">
        <f>IF(ISERROR(FIND('112'!$M$9,G693,1)),"",IF((AND(FIND('112'!$M$9,G693,1)&gt;=1,B693&lt;'112'!$K$9,$O693='112'!$I$6)),"x",""))</f>
        <v/>
      </c>
      <c r="W693" s="87" t="str">
        <f>IF(AND($B693&gt;='1331'!$I$9,$B693&lt;='1331'!$J$9,OR($N693=$W$7,$O693=$W$7)),"x","")</f>
        <v/>
      </c>
      <c r="X693" s="87" t="str">
        <f>IF(AND($N693=$W$7,$B693&lt;'1331'!$I$9),"x","")</f>
        <v/>
      </c>
      <c r="Y693" s="87" t="str">
        <f>IF(AND($O693=$W$7,$B693&lt;'1331'!$I$9),"x","")</f>
        <v/>
      </c>
      <c r="Z693" s="87" t="str">
        <f>IF(AND('341-CT'!$H$9=H693,OR(LEFT(N693,3)=$Z$7,LEFT(O693,3)=$Z$7)),"x","")</f>
        <v/>
      </c>
      <c r="AA693" s="87" t="str">
        <f>IF(OR(TH!N693=TH!$AA$7,O693=TH!$AA$7),"x","")</f>
        <v/>
      </c>
      <c r="AB693" s="87" t="str">
        <f>IF(AND(OR(N693="131",O693="131"),H693='131-CT'!$H$9),"x","")</f>
        <v/>
      </c>
      <c r="AC693" s="87"/>
      <c r="AD693" s="87" t="str">
        <f>IF(AND(MONTH(E693)='IN-NX'!$J$5,'IN-NX'!$D$7=D693),"x","")</f>
        <v/>
      </c>
      <c r="AE693" s="87" t="str">
        <f>IF(AND(OR(LEFT(TH!N693,2)="15",LEFT(TH!O693,2)="15"),'152-CT'!$J$8=TH!F693),"x","")</f>
        <v/>
      </c>
      <c r="AF693" s="87" t="str">
        <f>IF(AND(OR(LEFT(TH!N693,2)="15",LEFT(TH!O693,2)="15"),'THE KHO'!$E$7=TH!F693),"x","")</f>
        <v/>
      </c>
      <c r="AG693" s="87" t="str">
        <f>IF(AND(N693="1521",MONTH(C693)='BK NL'!$M$11),"x","")</f>
        <v/>
      </c>
    </row>
    <row r="694" spans="1:33" ht="15.75" customHeight="1">
      <c r="A694" s="399" t="str">
        <f>IF(B694&lt;&gt;"",IF(AND(B694&gt;=_TM1,B694&lt;=_TM2,OR(TH!N694="1111",TH!O694="1111")),TH!D694,""),"")</f>
        <v/>
      </c>
      <c r="B694" s="63" t="str">
        <f t="shared" si="16"/>
        <v/>
      </c>
      <c r="C694" s="64"/>
      <c r="D694" s="64"/>
      <c r="E694" s="64"/>
      <c r="F694" s="67"/>
      <c r="G694" s="362"/>
      <c r="H694" s="407"/>
      <c r="I694" s="520"/>
      <c r="J694" s="520"/>
      <c r="K694" s="511"/>
      <c r="L694" s="520"/>
      <c r="M694" s="65"/>
      <c r="N694" s="66"/>
      <c r="O694" s="66"/>
      <c r="P694" s="87" t="str">
        <f>IF(AND('331-CT'!$E$7=TH!H694,OR(N694="331",O694="331")),"x","")</f>
        <v/>
      </c>
      <c r="Q694" s="87" t="str">
        <f>IF(AND(B694='111'!$L$11,OR($N694=$Q$7,$O694=$Q$7)),"x","")</f>
        <v/>
      </c>
      <c r="R694" s="87" t="str">
        <f>IF(AND($N694=$Q$7,$B694&lt;'111'!$L$11),"x","")</f>
        <v/>
      </c>
      <c r="S694" s="87" t="str">
        <f>IF(AND($O694=$Q$7,$B694&lt;'111'!$L$11),"x","")</f>
        <v/>
      </c>
      <c r="T694" s="87" t="str">
        <f>IF(ISERROR(FIND('112'!$M$9,G694,1)),"",IF((AND(FIND('112'!$M$9,G694,1)&gt;=1,B694='112'!$K$9,OR($N694='112'!$I$6,$O694='112'!$I$6))),"x",""))</f>
        <v/>
      </c>
      <c r="U694" s="87" t="str">
        <f>IF(ISERROR(FIND('112'!$M$9,G694,1)),"",IF((AND(FIND('112'!$M$9,G694,1)&gt;=1,B694&lt;'112'!$K$9,$N694='112'!$I$6)),"x",""))</f>
        <v/>
      </c>
      <c r="V694" s="87" t="str">
        <f>IF(ISERROR(FIND('112'!$M$9,G694,1)),"",IF((AND(FIND('112'!$M$9,G694,1)&gt;=1,B694&lt;'112'!$K$9,$O694='112'!$I$6)),"x",""))</f>
        <v/>
      </c>
      <c r="W694" s="87" t="str">
        <f>IF(AND($B694&gt;='1331'!$I$9,$B694&lt;='1331'!$J$9,OR($N694=$W$7,$O694=$W$7)),"x","")</f>
        <v/>
      </c>
      <c r="X694" s="87" t="str">
        <f>IF(AND($N694=$W$7,$B694&lt;'1331'!$I$9),"x","")</f>
        <v/>
      </c>
      <c r="Y694" s="87" t="str">
        <f>IF(AND($O694=$W$7,$B694&lt;'1331'!$I$9),"x","")</f>
        <v/>
      </c>
      <c r="Z694" s="87" t="str">
        <f>IF(AND('341-CT'!$H$9=H694,OR(LEFT(N694,3)=$Z$7,LEFT(O694,3)=$Z$7)),"x","")</f>
        <v/>
      </c>
      <c r="AA694" s="87" t="str">
        <f>IF(OR(TH!N694=TH!$AA$7,O694=TH!$AA$7),"x","")</f>
        <v/>
      </c>
      <c r="AB694" s="87" t="str">
        <f>IF(AND(OR(N694="131",O694="131"),H694='131-CT'!$H$9),"x","")</f>
        <v/>
      </c>
      <c r="AC694" s="87"/>
      <c r="AD694" s="87" t="str">
        <f>IF(AND(MONTH(E694)='IN-NX'!$J$5,'IN-NX'!$D$7=D694),"x","")</f>
        <v/>
      </c>
      <c r="AE694" s="87" t="str">
        <f>IF(AND(OR(LEFT(TH!N694,2)="15",LEFT(TH!O694,2)="15"),'152-CT'!$J$8=TH!F694),"x","")</f>
        <v/>
      </c>
      <c r="AF694" s="87" t="str">
        <f>IF(AND(OR(LEFT(TH!N694,2)="15",LEFT(TH!O694,2)="15"),'THE KHO'!$E$7=TH!F694),"x","")</f>
        <v/>
      </c>
      <c r="AG694" s="87" t="str">
        <f>IF(AND(N694="1521",MONTH(C694)='BK NL'!$M$11),"x","")</f>
        <v/>
      </c>
    </row>
    <row r="695" spans="1:33" ht="15.75" customHeight="1">
      <c r="A695" s="399" t="str">
        <f>IF(B695&lt;&gt;"",IF(AND(B695&gt;=_TM1,B695&lt;=_TM2,OR(TH!N695="1111",TH!O695="1111")),TH!D695,""),"")</f>
        <v/>
      </c>
      <c r="B695" s="63" t="str">
        <f t="shared" si="16"/>
        <v/>
      </c>
      <c r="C695" s="64"/>
      <c r="D695" s="64"/>
      <c r="E695" s="64"/>
      <c r="F695" s="67"/>
      <c r="G695" s="362"/>
      <c r="H695" s="75"/>
      <c r="I695" s="518"/>
      <c r="J695" s="518"/>
      <c r="K695" s="509"/>
      <c r="L695" s="518"/>
      <c r="M695" s="65"/>
      <c r="N695" s="66"/>
      <c r="O695" s="66"/>
      <c r="P695" s="87" t="str">
        <f>IF(AND('331-CT'!$E$7=TH!H695,OR(N695="331",O695="331")),"x","")</f>
        <v/>
      </c>
      <c r="Q695" s="87" t="str">
        <f>IF(AND(B695='111'!$L$11,OR($N695=$Q$7,$O695=$Q$7)),"x","")</f>
        <v/>
      </c>
      <c r="R695" s="87" t="str">
        <f>IF(AND($N695=$Q$7,$B695&lt;'111'!$L$11),"x","")</f>
        <v/>
      </c>
      <c r="S695" s="87" t="str">
        <f>IF(AND($O695=$Q$7,$B695&lt;'111'!$L$11),"x","")</f>
        <v/>
      </c>
      <c r="T695" s="87" t="str">
        <f>IF(ISERROR(FIND('112'!$M$9,G695,1)),"",IF((AND(FIND('112'!$M$9,G695,1)&gt;=1,B695='112'!$K$9,OR($N695='112'!$I$6,$O695='112'!$I$6))),"x",""))</f>
        <v/>
      </c>
      <c r="U695" s="87" t="str">
        <f>IF(ISERROR(FIND('112'!$M$9,G695,1)),"",IF((AND(FIND('112'!$M$9,G695,1)&gt;=1,B695&lt;'112'!$K$9,$N695='112'!$I$6)),"x",""))</f>
        <v/>
      </c>
      <c r="V695" s="87" t="str">
        <f>IF(ISERROR(FIND('112'!$M$9,G695,1)),"",IF((AND(FIND('112'!$M$9,G695,1)&gt;=1,B695&lt;'112'!$K$9,$O695='112'!$I$6)),"x",""))</f>
        <v/>
      </c>
      <c r="W695" s="87" t="str">
        <f>IF(AND($B695&gt;='1331'!$I$9,$B695&lt;='1331'!$J$9,OR($N695=$W$7,$O695=$W$7)),"x","")</f>
        <v/>
      </c>
      <c r="X695" s="87" t="str">
        <f>IF(AND($N695=$W$7,$B695&lt;'1331'!$I$9),"x","")</f>
        <v/>
      </c>
      <c r="Y695" s="87" t="str">
        <f>IF(AND($O695=$W$7,$B695&lt;'1331'!$I$9),"x","")</f>
        <v/>
      </c>
      <c r="Z695" s="87" t="str">
        <f>IF(AND('341-CT'!$H$9=H695,OR(LEFT(N695,3)=$Z$7,LEFT(O695,3)=$Z$7)),"x","")</f>
        <v/>
      </c>
      <c r="AA695" s="87" t="str">
        <f>IF(OR(TH!N695=TH!$AA$7,O695=TH!$AA$7),"x","")</f>
        <v/>
      </c>
      <c r="AB695" s="87" t="str">
        <f>IF(AND(OR(N695="131",O695="131"),H695='131-CT'!$H$9),"x","")</f>
        <v/>
      </c>
      <c r="AC695" s="87"/>
      <c r="AD695" s="87" t="str">
        <f>IF(AND(MONTH(E695)='IN-NX'!$J$5,'IN-NX'!$D$7=D695),"x","")</f>
        <v/>
      </c>
      <c r="AE695" s="87" t="str">
        <f>IF(AND(OR(LEFT(TH!N695,2)="15",LEFT(TH!O695,2)="15"),'152-CT'!$J$8=TH!F695),"x","")</f>
        <v/>
      </c>
      <c r="AF695" s="87" t="str">
        <f>IF(AND(OR(LEFT(TH!N695,2)="15",LEFT(TH!O695,2)="15"),'THE KHO'!$E$7=TH!F695),"x","")</f>
        <v/>
      </c>
      <c r="AG695" s="87" t="str">
        <f>IF(AND(N695="1521",MONTH(C695)='BK NL'!$M$11),"x","")</f>
        <v/>
      </c>
    </row>
    <row r="696" spans="1:33" ht="15.75" customHeight="1">
      <c r="A696" s="399" t="str">
        <f>IF(B696&lt;&gt;"",IF(AND(B696&gt;=_TM1,B696&lt;=_TM2,OR(TH!N696="1111",TH!O696="1111")),TH!D696,""),"")</f>
        <v/>
      </c>
      <c r="B696" s="63" t="str">
        <f t="shared" si="16"/>
        <v/>
      </c>
      <c r="C696" s="64"/>
      <c r="D696" s="64"/>
      <c r="E696" s="64"/>
      <c r="F696" s="67"/>
      <c r="G696" s="362"/>
      <c r="H696" s="75"/>
      <c r="I696" s="518"/>
      <c r="J696" s="518"/>
      <c r="K696" s="509"/>
      <c r="L696" s="518"/>
      <c r="M696" s="65"/>
      <c r="N696" s="66"/>
      <c r="O696" s="66"/>
      <c r="P696" s="87" t="str">
        <f>IF(AND('331-CT'!$E$7=TH!H696,OR(N696="331",O696="331")),"x","")</f>
        <v/>
      </c>
      <c r="Q696" s="87" t="str">
        <f>IF(AND(B696='111'!$L$11,OR($N696=$Q$7,$O696=$Q$7)),"x","")</f>
        <v/>
      </c>
      <c r="R696" s="87" t="str">
        <f>IF(AND($N696=$Q$7,$B696&lt;'111'!$L$11),"x","")</f>
        <v/>
      </c>
      <c r="S696" s="87" t="str">
        <f>IF(AND($O696=$Q$7,$B696&lt;'111'!$L$11),"x","")</f>
        <v/>
      </c>
      <c r="T696" s="87" t="str">
        <f>IF(ISERROR(FIND('112'!$M$9,G696,1)),"",IF((AND(FIND('112'!$M$9,G696,1)&gt;=1,B696='112'!$K$9,OR($N696='112'!$I$6,$O696='112'!$I$6))),"x",""))</f>
        <v/>
      </c>
      <c r="U696" s="87" t="str">
        <f>IF(ISERROR(FIND('112'!$M$9,G696,1)),"",IF((AND(FIND('112'!$M$9,G696,1)&gt;=1,B696&lt;'112'!$K$9,$N696='112'!$I$6)),"x",""))</f>
        <v/>
      </c>
      <c r="V696" s="87" t="str">
        <f>IF(ISERROR(FIND('112'!$M$9,G696,1)),"",IF((AND(FIND('112'!$M$9,G696,1)&gt;=1,B696&lt;'112'!$K$9,$O696='112'!$I$6)),"x",""))</f>
        <v/>
      </c>
      <c r="W696" s="87" t="str">
        <f>IF(AND($B696&gt;='1331'!$I$9,$B696&lt;='1331'!$J$9,OR($N696=$W$7,$O696=$W$7)),"x","")</f>
        <v/>
      </c>
      <c r="X696" s="87" t="str">
        <f>IF(AND($N696=$W$7,$B696&lt;'1331'!$I$9),"x","")</f>
        <v/>
      </c>
      <c r="Y696" s="87" t="str">
        <f>IF(AND($O696=$W$7,$B696&lt;'1331'!$I$9),"x","")</f>
        <v/>
      </c>
      <c r="Z696" s="87" t="str">
        <f>IF(AND('341-CT'!$H$9=H696,OR(LEFT(N696,3)=$Z$7,LEFT(O696,3)=$Z$7)),"x","")</f>
        <v/>
      </c>
      <c r="AA696" s="87" t="str">
        <f>IF(OR(TH!N696=TH!$AA$7,O696=TH!$AA$7),"x","")</f>
        <v/>
      </c>
      <c r="AB696" s="87" t="str">
        <f>IF(AND(OR(N696="131",O696="131"),H696='131-CT'!$H$9),"x","")</f>
        <v/>
      </c>
      <c r="AC696" s="87"/>
      <c r="AD696" s="87" t="str">
        <f>IF(AND(MONTH(E696)='IN-NX'!$J$5,'IN-NX'!$D$7=D696),"x","")</f>
        <v/>
      </c>
      <c r="AE696" s="87" t="str">
        <f>IF(AND(OR(LEFT(TH!N696,2)="15",LEFT(TH!O696,2)="15"),'152-CT'!$J$8=TH!F696),"x","")</f>
        <v/>
      </c>
      <c r="AF696" s="87" t="str">
        <f>IF(AND(OR(LEFT(TH!N696,2)="15",LEFT(TH!O696,2)="15"),'THE KHO'!$E$7=TH!F696),"x","")</f>
        <v/>
      </c>
      <c r="AG696" s="87" t="str">
        <f>IF(AND(N696="1521",MONTH(C696)='BK NL'!$M$11),"x","")</f>
        <v/>
      </c>
    </row>
    <row r="697" spans="1:33" ht="15.75" customHeight="1">
      <c r="A697" s="399" t="str">
        <f>IF(B697&lt;&gt;"",IF(AND(B697&gt;=_TM1,B697&lt;=_TM2,OR(TH!N697="1111",TH!O697="1111")),TH!D697,""),"")</f>
        <v/>
      </c>
      <c r="B697" s="63" t="str">
        <f t="shared" si="16"/>
        <v/>
      </c>
      <c r="C697" s="64"/>
      <c r="D697" s="64"/>
      <c r="E697" s="64"/>
      <c r="F697" s="67"/>
      <c r="G697" s="362"/>
      <c r="H697" s="407"/>
      <c r="I697" s="520"/>
      <c r="J697" s="520"/>
      <c r="K697" s="511"/>
      <c r="L697" s="520"/>
      <c r="M697" s="65"/>
      <c r="N697" s="66"/>
      <c r="O697" s="66"/>
      <c r="P697" s="87" t="str">
        <f>IF(AND('331-CT'!$E$7=TH!H697,OR(N697="331",O697="331")),"x","")</f>
        <v/>
      </c>
      <c r="Q697" s="87" t="str">
        <f>IF(AND(B697='111'!$L$11,OR($N697=$Q$7,$O697=$Q$7)),"x","")</f>
        <v/>
      </c>
      <c r="R697" s="87" t="str">
        <f>IF(AND($N697=$Q$7,$B697&lt;'111'!$L$11),"x","")</f>
        <v/>
      </c>
      <c r="S697" s="87" t="str">
        <f>IF(AND($O697=$Q$7,$B697&lt;'111'!$L$11),"x","")</f>
        <v/>
      </c>
      <c r="T697" s="87" t="str">
        <f>IF(ISERROR(FIND('112'!$M$9,G697,1)),"",IF((AND(FIND('112'!$M$9,G697,1)&gt;=1,B697='112'!$K$9,OR($N697='112'!$I$6,$O697='112'!$I$6))),"x",""))</f>
        <v/>
      </c>
      <c r="U697" s="87" t="str">
        <f>IF(ISERROR(FIND('112'!$M$9,G697,1)),"",IF((AND(FIND('112'!$M$9,G697,1)&gt;=1,B697&lt;'112'!$K$9,$N697='112'!$I$6)),"x",""))</f>
        <v/>
      </c>
      <c r="V697" s="87" t="str">
        <f>IF(ISERROR(FIND('112'!$M$9,G697,1)),"",IF((AND(FIND('112'!$M$9,G697,1)&gt;=1,B697&lt;'112'!$K$9,$O697='112'!$I$6)),"x",""))</f>
        <v/>
      </c>
      <c r="W697" s="87" t="str">
        <f>IF(AND($B697&gt;='1331'!$I$9,$B697&lt;='1331'!$J$9,OR($N697=$W$7,$O697=$W$7)),"x","")</f>
        <v/>
      </c>
      <c r="X697" s="87" t="str">
        <f>IF(AND($N697=$W$7,$B697&lt;'1331'!$I$9),"x","")</f>
        <v/>
      </c>
      <c r="Y697" s="87" t="str">
        <f>IF(AND($O697=$W$7,$B697&lt;'1331'!$I$9),"x","")</f>
        <v/>
      </c>
      <c r="Z697" s="87" t="str">
        <f>IF(AND('341-CT'!$H$9=H697,OR(LEFT(N697,3)=$Z$7,LEFT(O697,3)=$Z$7)),"x","")</f>
        <v/>
      </c>
      <c r="AA697" s="87" t="str">
        <f>IF(OR(TH!N697=TH!$AA$7,O697=TH!$AA$7),"x","")</f>
        <v/>
      </c>
      <c r="AB697" s="87" t="str">
        <f>IF(AND(OR(N697="131",O697="131"),H697='131-CT'!$H$9),"x","")</f>
        <v/>
      </c>
      <c r="AC697" s="87"/>
      <c r="AD697" s="87" t="str">
        <f>IF(AND(MONTH(E697)='IN-NX'!$J$5,'IN-NX'!$D$7=D697),"x","")</f>
        <v/>
      </c>
      <c r="AE697" s="87" t="str">
        <f>IF(AND(OR(LEFT(TH!N697,2)="15",LEFT(TH!O697,2)="15"),'152-CT'!$J$8=TH!F697),"x","")</f>
        <v/>
      </c>
      <c r="AF697" s="87" t="str">
        <f>IF(AND(OR(LEFT(TH!N697,2)="15",LEFT(TH!O697,2)="15"),'THE KHO'!$E$7=TH!F697),"x","")</f>
        <v/>
      </c>
      <c r="AG697" s="87" t="str">
        <f>IF(AND(N697="1521",MONTH(C697)='BK NL'!$M$11),"x","")</f>
        <v/>
      </c>
    </row>
    <row r="698" spans="1:33" ht="15.75" customHeight="1">
      <c r="A698" s="399" t="str">
        <f>IF(B698&lt;&gt;"",IF(AND(B698&gt;=_TM1,B698&lt;=_TM2,OR(TH!N698="1111",TH!O698="1111")),TH!D698,""),"")</f>
        <v/>
      </c>
      <c r="B698" s="63" t="str">
        <f t="shared" si="16"/>
        <v/>
      </c>
      <c r="C698" s="64"/>
      <c r="D698" s="64"/>
      <c r="E698" s="64"/>
      <c r="F698" s="67"/>
      <c r="G698" s="362"/>
      <c r="H698" s="75"/>
      <c r="I698" s="518"/>
      <c r="J698" s="518"/>
      <c r="K698" s="509"/>
      <c r="L698" s="518"/>
      <c r="M698" s="65"/>
      <c r="N698" s="66"/>
      <c r="O698" s="66"/>
      <c r="P698" s="87" t="str">
        <f>IF(AND('331-CT'!$E$7=TH!H698,OR(N698="331",O698="331")),"x","")</f>
        <v/>
      </c>
      <c r="Q698" s="87" t="str">
        <f>IF(AND(B698='111'!$L$11,OR($N698=$Q$7,$O698=$Q$7)),"x","")</f>
        <v/>
      </c>
      <c r="R698" s="87" t="str">
        <f>IF(AND($N698=$Q$7,$B698&lt;'111'!$L$11),"x","")</f>
        <v/>
      </c>
      <c r="S698" s="87" t="str">
        <f>IF(AND($O698=$Q$7,$B698&lt;'111'!$L$11),"x","")</f>
        <v/>
      </c>
      <c r="T698" s="87" t="str">
        <f>IF(ISERROR(FIND('112'!$M$9,G698,1)),"",IF((AND(FIND('112'!$M$9,G698,1)&gt;=1,B698='112'!$K$9,OR($N698='112'!$I$6,$O698='112'!$I$6))),"x",""))</f>
        <v/>
      </c>
      <c r="U698" s="87" t="str">
        <f>IF(ISERROR(FIND('112'!$M$9,G698,1)),"",IF((AND(FIND('112'!$M$9,G698,1)&gt;=1,B698&lt;'112'!$K$9,$N698='112'!$I$6)),"x",""))</f>
        <v/>
      </c>
      <c r="V698" s="87" t="str">
        <f>IF(ISERROR(FIND('112'!$M$9,G698,1)),"",IF((AND(FIND('112'!$M$9,G698,1)&gt;=1,B698&lt;'112'!$K$9,$O698='112'!$I$6)),"x",""))</f>
        <v/>
      </c>
      <c r="W698" s="87" t="str">
        <f>IF(AND($B698&gt;='1331'!$I$9,$B698&lt;='1331'!$J$9,OR($N698=$W$7,$O698=$W$7)),"x","")</f>
        <v/>
      </c>
      <c r="X698" s="87" t="str">
        <f>IF(AND($N698=$W$7,$B698&lt;'1331'!$I$9),"x","")</f>
        <v/>
      </c>
      <c r="Y698" s="87" t="str">
        <f>IF(AND($O698=$W$7,$B698&lt;'1331'!$I$9),"x","")</f>
        <v/>
      </c>
      <c r="Z698" s="87" t="str">
        <f>IF(AND('341-CT'!$H$9=H698,OR(LEFT(N698,3)=$Z$7,LEFT(O698,3)=$Z$7)),"x","")</f>
        <v/>
      </c>
      <c r="AA698" s="87" t="str">
        <f>IF(OR(TH!N698=TH!$AA$7,O698=TH!$AA$7),"x","")</f>
        <v/>
      </c>
      <c r="AB698" s="87" t="str">
        <f>IF(AND(OR(N698="131",O698="131"),H698='131-CT'!$H$9),"x","")</f>
        <v/>
      </c>
      <c r="AC698" s="87"/>
      <c r="AD698" s="87" t="str">
        <f>IF(AND(MONTH(E698)='IN-NX'!$J$5,'IN-NX'!$D$7=D698),"x","")</f>
        <v/>
      </c>
      <c r="AE698" s="87" t="str">
        <f>IF(AND(OR(LEFT(TH!N698,2)="15",LEFT(TH!O698,2)="15"),'152-CT'!$J$8=TH!F698),"x","")</f>
        <v/>
      </c>
      <c r="AF698" s="87" t="str">
        <f>IF(AND(OR(LEFT(TH!N698,2)="15",LEFT(TH!O698,2)="15"),'THE KHO'!$E$7=TH!F698),"x","")</f>
        <v/>
      </c>
      <c r="AG698" s="87" t="str">
        <f>IF(AND(N698="1521",MONTH(C698)='BK NL'!$M$11),"x","")</f>
        <v/>
      </c>
    </row>
    <row r="699" spans="1:33" ht="15.75" customHeight="1">
      <c r="A699" s="399" t="str">
        <f>IF(B699&lt;&gt;"",IF(AND(B699&gt;=_TM1,B699&lt;=_TM2,OR(TH!N699="1111",TH!O699="1111")),TH!D699,""),"")</f>
        <v/>
      </c>
      <c r="B699" s="63" t="str">
        <f t="shared" si="16"/>
        <v/>
      </c>
      <c r="C699" s="64"/>
      <c r="D699" s="64"/>
      <c r="E699" s="64"/>
      <c r="F699" s="67"/>
      <c r="G699" s="362"/>
      <c r="H699" s="75"/>
      <c r="I699" s="518"/>
      <c r="J699" s="518"/>
      <c r="K699" s="509"/>
      <c r="L699" s="518"/>
      <c r="M699" s="65"/>
      <c r="N699" s="66"/>
      <c r="O699" s="66"/>
      <c r="P699" s="87" t="str">
        <f>IF(AND('331-CT'!$E$7=TH!H699,OR(N699="331",O699="331")),"x","")</f>
        <v/>
      </c>
      <c r="Q699" s="87" t="str">
        <f>IF(AND(B699='111'!$L$11,OR($N699=$Q$7,$O699=$Q$7)),"x","")</f>
        <v/>
      </c>
      <c r="R699" s="87" t="str">
        <f>IF(AND($N699=$Q$7,$B699&lt;'111'!$L$11),"x","")</f>
        <v/>
      </c>
      <c r="S699" s="87" t="str">
        <f>IF(AND($O699=$Q$7,$B699&lt;'111'!$L$11),"x","")</f>
        <v/>
      </c>
      <c r="T699" s="87" t="str">
        <f>IF(ISERROR(FIND('112'!$M$9,G699,1)),"",IF((AND(FIND('112'!$M$9,G699,1)&gt;=1,B699='112'!$K$9,OR($N699='112'!$I$6,$O699='112'!$I$6))),"x",""))</f>
        <v/>
      </c>
      <c r="U699" s="87" t="str">
        <f>IF(ISERROR(FIND('112'!$M$9,G699,1)),"",IF((AND(FIND('112'!$M$9,G699,1)&gt;=1,B699&lt;'112'!$K$9,$N699='112'!$I$6)),"x",""))</f>
        <v/>
      </c>
      <c r="V699" s="87" t="str">
        <f>IF(ISERROR(FIND('112'!$M$9,G699,1)),"",IF((AND(FIND('112'!$M$9,G699,1)&gt;=1,B699&lt;'112'!$K$9,$O699='112'!$I$6)),"x",""))</f>
        <v/>
      </c>
      <c r="W699" s="87" t="str">
        <f>IF(AND($B699&gt;='1331'!$I$9,$B699&lt;='1331'!$J$9,OR($N699=$W$7,$O699=$W$7)),"x","")</f>
        <v/>
      </c>
      <c r="X699" s="87" t="str">
        <f>IF(AND($N699=$W$7,$B699&lt;'1331'!$I$9),"x","")</f>
        <v/>
      </c>
      <c r="Y699" s="87" t="str">
        <f>IF(AND($O699=$W$7,$B699&lt;'1331'!$I$9),"x","")</f>
        <v/>
      </c>
      <c r="Z699" s="87" t="str">
        <f>IF(AND('341-CT'!$H$9=H699,OR(LEFT(N699,3)=$Z$7,LEFT(O699,3)=$Z$7)),"x","")</f>
        <v/>
      </c>
      <c r="AA699" s="87" t="str">
        <f>IF(OR(TH!N699=TH!$AA$7,O699=TH!$AA$7),"x","")</f>
        <v/>
      </c>
      <c r="AB699" s="87" t="str">
        <f>IF(AND(OR(N699="131",O699="131"),H699='131-CT'!$H$9),"x","")</f>
        <v/>
      </c>
      <c r="AC699" s="87"/>
      <c r="AD699" s="87" t="str">
        <f>IF(AND(MONTH(E699)='IN-NX'!$J$5,'IN-NX'!$D$7=D699),"x","")</f>
        <v/>
      </c>
      <c r="AE699" s="87" t="str">
        <f>IF(AND(OR(LEFT(TH!N699,2)="15",LEFT(TH!O699,2)="15"),'152-CT'!$J$8=TH!F699),"x","")</f>
        <v/>
      </c>
      <c r="AF699" s="87" t="str">
        <f>IF(AND(OR(LEFT(TH!N699,2)="15",LEFT(TH!O699,2)="15"),'THE KHO'!$E$7=TH!F699),"x","")</f>
        <v/>
      </c>
      <c r="AG699" s="87" t="str">
        <f>IF(AND(N699="1521",MONTH(C699)='BK NL'!$M$11),"x","")</f>
        <v/>
      </c>
    </row>
    <row r="700" spans="1:33" ht="15.75" customHeight="1">
      <c r="A700" s="399" t="str">
        <f>IF(B700&lt;&gt;"",IF(AND(B700&gt;=_TM1,B700&lt;=_TM2,OR(TH!N700="1111",TH!O700="1111")),TH!D700,""),"")</f>
        <v/>
      </c>
      <c r="B700" s="63" t="str">
        <f t="shared" si="16"/>
        <v/>
      </c>
      <c r="C700" s="64"/>
      <c r="D700" s="64"/>
      <c r="E700" s="64"/>
      <c r="F700" s="67"/>
      <c r="G700" s="376"/>
      <c r="H700" s="365"/>
      <c r="I700" s="518"/>
      <c r="J700" s="518"/>
      <c r="K700" s="509"/>
      <c r="L700" s="518"/>
      <c r="M700" s="65"/>
      <c r="N700" s="66"/>
      <c r="O700" s="66"/>
      <c r="P700" s="87" t="str">
        <f>IF(AND('331-CT'!$E$7=TH!H700,OR(N700="331",O700="331")),"x","")</f>
        <v/>
      </c>
      <c r="Q700" s="87" t="str">
        <f>IF(AND(B700='111'!$L$11,OR($N700=$Q$7,$O700=$Q$7)),"x","")</f>
        <v/>
      </c>
      <c r="R700" s="87" t="str">
        <f>IF(AND($N700=$Q$7,$B700&lt;'111'!$L$11),"x","")</f>
        <v/>
      </c>
      <c r="S700" s="87" t="str">
        <f>IF(AND($O700=$Q$7,$B700&lt;'111'!$L$11),"x","")</f>
        <v/>
      </c>
      <c r="T700" s="87" t="str">
        <f>IF(ISERROR(FIND('112'!$M$9,G700,1)),"",IF((AND(FIND('112'!$M$9,G700,1)&gt;=1,B700='112'!$K$9,OR($N700='112'!$I$6,$O700='112'!$I$6))),"x",""))</f>
        <v/>
      </c>
      <c r="U700" s="87" t="str">
        <f>IF(ISERROR(FIND('112'!$M$9,G700,1)),"",IF((AND(FIND('112'!$M$9,G700,1)&gt;=1,B700&lt;'112'!$K$9,$N700='112'!$I$6)),"x",""))</f>
        <v/>
      </c>
      <c r="V700" s="87" t="str">
        <f>IF(ISERROR(FIND('112'!$M$9,G700,1)),"",IF((AND(FIND('112'!$M$9,G700,1)&gt;=1,B700&lt;'112'!$K$9,$O700='112'!$I$6)),"x",""))</f>
        <v/>
      </c>
      <c r="W700" s="87" t="str">
        <f>IF(AND($B700&gt;='1331'!$I$9,$B700&lt;='1331'!$J$9,OR($N700=$W$7,$O700=$W$7)),"x","")</f>
        <v/>
      </c>
      <c r="X700" s="87" t="str">
        <f>IF(AND($N700=$W$7,$B700&lt;'1331'!$I$9),"x","")</f>
        <v/>
      </c>
      <c r="Y700" s="87" t="str">
        <f>IF(AND($O700=$W$7,$B700&lt;'1331'!$I$9),"x","")</f>
        <v/>
      </c>
      <c r="Z700" s="87" t="str">
        <f>IF(AND('341-CT'!$H$9=H700,OR(LEFT(N700,3)=$Z$7,LEFT(O700,3)=$Z$7)),"x","")</f>
        <v/>
      </c>
      <c r="AA700" s="87" t="str">
        <f>IF(OR(TH!N700=TH!$AA$7,O700=TH!$AA$7),"x","")</f>
        <v/>
      </c>
      <c r="AB700" s="87" t="str">
        <f>IF(AND(OR(N700="131",O700="131"),H700='131-CT'!$H$9),"x","")</f>
        <v/>
      </c>
      <c r="AC700" s="87"/>
      <c r="AD700" s="87" t="str">
        <f>IF(AND(MONTH(E700)='IN-NX'!$J$5,'IN-NX'!$D$7=D700),"x","")</f>
        <v/>
      </c>
      <c r="AE700" s="87" t="str">
        <f>IF(AND(OR(LEFT(TH!N700,2)="15",LEFT(TH!O700,2)="15"),'152-CT'!$J$8=TH!F700),"x","")</f>
        <v/>
      </c>
      <c r="AF700" s="87" t="str">
        <f>IF(AND(OR(LEFT(TH!N700,2)="15",LEFT(TH!O700,2)="15"),'THE KHO'!$E$7=TH!F700),"x","")</f>
        <v/>
      </c>
      <c r="AG700" s="87" t="str">
        <f>IF(AND(N700="1521",MONTH(C700)='BK NL'!$M$11),"x","")</f>
        <v/>
      </c>
    </row>
    <row r="701" spans="1:33" ht="15.75" customHeight="1">
      <c r="A701" s="399" t="str">
        <f>IF(B701&lt;&gt;"",IF(AND(B701&gt;=_TM1,B701&lt;=_TM2,OR(TH!N701="1111",TH!O701="1111")),TH!D701,""),"")</f>
        <v/>
      </c>
      <c r="B701" s="63" t="str">
        <f t="shared" si="16"/>
        <v/>
      </c>
      <c r="C701" s="64"/>
      <c r="D701" s="64"/>
      <c r="E701" s="64"/>
      <c r="F701" s="67"/>
      <c r="G701" s="376"/>
      <c r="H701" s="365"/>
      <c r="I701" s="518"/>
      <c r="J701" s="518"/>
      <c r="K701" s="509"/>
      <c r="L701" s="518"/>
      <c r="M701" s="65"/>
      <c r="N701" s="66"/>
      <c r="O701" s="66"/>
      <c r="P701" s="87" t="str">
        <f>IF(AND('331-CT'!$E$7=TH!H701,OR(N701="331",O701="331")),"x","")</f>
        <v/>
      </c>
      <c r="Q701" s="87" t="str">
        <f>IF(AND(B701='111'!$L$11,OR($N701=$Q$7,$O701=$Q$7)),"x","")</f>
        <v/>
      </c>
      <c r="R701" s="87" t="str">
        <f>IF(AND($N701=$Q$7,$B701&lt;'111'!$L$11),"x","")</f>
        <v/>
      </c>
      <c r="S701" s="87" t="str">
        <f>IF(AND($O701=$Q$7,$B701&lt;'111'!$L$11),"x","")</f>
        <v/>
      </c>
      <c r="T701" s="87" t="str">
        <f>IF(ISERROR(FIND('112'!$M$9,G701,1)),"",IF((AND(FIND('112'!$M$9,G701,1)&gt;=1,B701='112'!$K$9,OR($N701='112'!$I$6,$O701='112'!$I$6))),"x",""))</f>
        <v/>
      </c>
      <c r="U701" s="87" t="str">
        <f>IF(ISERROR(FIND('112'!$M$9,G701,1)),"",IF((AND(FIND('112'!$M$9,G701,1)&gt;=1,B701&lt;'112'!$K$9,$N701='112'!$I$6)),"x",""))</f>
        <v/>
      </c>
      <c r="V701" s="87" t="str">
        <f>IF(ISERROR(FIND('112'!$M$9,G701,1)),"",IF((AND(FIND('112'!$M$9,G701,1)&gt;=1,B701&lt;'112'!$K$9,$O701='112'!$I$6)),"x",""))</f>
        <v/>
      </c>
      <c r="W701" s="87" t="str">
        <f>IF(AND($B701&gt;='1331'!$I$9,$B701&lt;='1331'!$J$9,OR($N701=$W$7,$O701=$W$7)),"x","")</f>
        <v/>
      </c>
      <c r="X701" s="87" t="str">
        <f>IF(AND($N701=$W$7,$B701&lt;'1331'!$I$9),"x","")</f>
        <v/>
      </c>
      <c r="Y701" s="87" t="str">
        <f>IF(AND($O701=$W$7,$B701&lt;'1331'!$I$9),"x","")</f>
        <v/>
      </c>
      <c r="Z701" s="87" t="str">
        <f>IF(AND('341-CT'!$H$9=H701,OR(LEFT(N701,3)=$Z$7,LEFT(O701,3)=$Z$7)),"x","")</f>
        <v/>
      </c>
      <c r="AA701" s="87" t="str">
        <f>IF(OR(TH!N701=TH!$AA$7,O701=TH!$AA$7),"x","")</f>
        <v/>
      </c>
      <c r="AB701" s="87" t="str">
        <f>IF(AND(OR(N701="131",O701="131"),H701='131-CT'!$H$9),"x","")</f>
        <v/>
      </c>
      <c r="AC701" s="87"/>
      <c r="AD701" s="87" t="str">
        <f>IF(AND(MONTH(E701)='IN-NX'!$J$5,'IN-NX'!$D$7=D701),"x","")</f>
        <v/>
      </c>
      <c r="AE701" s="87" t="str">
        <f>IF(AND(OR(LEFT(TH!N701,2)="15",LEFT(TH!O701,2)="15"),'152-CT'!$J$8=TH!F701),"x","")</f>
        <v/>
      </c>
      <c r="AF701" s="87" t="str">
        <f>IF(AND(OR(LEFT(TH!N701,2)="15",LEFT(TH!O701,2)="15"),'THE KHO'!$E$7=TH!F701),"x","")</f>
        <v/>
      </c>
      <c r="AG701" s="87" t="str">
        <f>IF(AND(N701="1521",MONTH(C701)='BK NL'!$M$11),"x","")</f>
        <v/>
      </c>
    </row>
    <row r="702" spans="1:33" ht="15.75" customHeight="1">
      <c r="A702" s="399" t="str">
        <f>IF(B702&lt;&gt;"",IF(AND(B702&gt;=_TM1,B702&lt;=_TM2,OR(TH!N702="1111",TH!O702="1111")),TH!D702,""),"")</f>
        <v/>
      </c>
      <c r="B702" s="63" t="str">
        <f t="shared" si="16"/>
        <v/>
      </c>
      <c r="C702" s="363"/>
      <c r="D702" s="363"/>
      <c r="E702" s="363"/>
      <c r="F702" s="364"/>
      <c r="G702" s="391"/>
      <c r="H702" s="365"/>
      <c r="I702" s="518"/>
      <c r="J702" s="518"/>
      <c r="K702" s="509"/>
      <c r="L702" s="518"/>
      <c r="M702" s="65"/>
      <c r="N702" s="366"/>
      <c r="O702" s="366"/>
      <c r="P702" s="87" t="str">
        <f>IF(AND('331-CT'!$E$7=TH!H702,OR(N702="331",O702="331")),"x","")</f>
        <v/>
      </c>
      <c r="Q702" s="87" t="str">
        <f>IF(AND(B702='111'!$L$11,OR($N702=$Q$7,$O702=$Q$7)),"x","")</f>
        <v/>
      </c>
      <c r="R702" s="87" t="str">
        <f>IF(AND($N702=$Q$7,$B702&lt;'111'!$L$11),"x","")</f>
        <v/>
      </c>
      <c r="S702" s="87" t="str">
        <f>IF(AND($O702=$Q$7,$B702&lt;'111'!$L$11),"x","")</f>
        <v/>
      </c>
      <c r="T702" s="87" t="str">
        <f>IF(ISERROR(FIND('112'!$M$9,G702,1)),"",IF((AND(FIND('112'!$M$9,G702,1)&gt;=1,B702='112'!$K$9,OR($N702='112'!$I$6,$O702='112'!$I$6))),"x",""))</f>
        <v/>
      </c>
      <c r="U702" s="87" t="str">
        <f>IF(ISERROR(FIND('112'!$M$9,G702,1)),"",IF((AND(FIND('112'!$M$9,G702,1)&gt;=1,B702&lt;'112'!$K$9,$N702='112'!$I$6)),"x",""))</f>
        <v/>
      </c>
      <c r="V702" s="87" t="str">
        <f>IF(ISERROR(FIND('112'!$M$9,G702,1)),"",IF((AND(FIND('112'!$M$9,G702,1)&gt;=1,B702&lt;'112'!$K$9,$O702='112'!$I$6)),"x",""))</f>
        <v/>
      </c>
      <c r="W702" s="87" t="str">
        <f>IF(AND($B702&gt;='1331'!$I$9,$B702&lt;='1331'!$J$9,OR($N702=$W$7,$O702=$W$7)),"x","")</f>
        <v/>
      </c>
      <c r="X702" s="87" t="str">
        <f>IF(AND($N702=$W$7,$B702&lt;'1331'!$I$9),"x","")</f>
        <v/>
      </c>
      <c r="Y702" s="87" t="str">
        <f>IF(AND($O702=$W$7,$B702&lt;'1331'!$I$9),"x","")</f>
        <v/>
      </c>
      <c r="Z702" s="87" t="str">
        <f>IF(AND('341-CT'!$H$9=H702,OR(LEFT(N702,3)=$Z$7,LEFT(O702,3)=$Z$7)),"x","")</f>
        <v/>
      </c>
      <c r="AA702" s="87" t="str">
        <f>IF(OR(TH!N702=TH!$AA$7,O702=TH!$AA$7),"x","")</f>
        <v/>
      </c>
      <c r="AB702" s="87" t="str">
        <f>IF(AND(OR(N702="131",O702="131"),H702='131-CT'!$H$9),"x","")</f>
        <v/>
      </c>
      <c r="AC702" s="87"/>
      <c r="AD702" s="87" t="str">
        <f>IF(AND(MONTH(E702)='IN-NX'!$J$5,'IN-NX'!$D$7=D702),"x","")</f>
        <v/>
      </c>
      <c r="AE702" s="87" t="str">
        <f>IF(AND(OR(LEFT(TH!N702,2)="15",LEFT(TH!O702,2)="15"),'152-CT'!$J$8=TH!F702),"x","")</f>
        <v/>
      </c>
      <c r="AF702" s="87" t="str">
        <f>IF(AND(OR(LEFT(TH!N702,2)="15",LEFT(TH!O702,2)="15"),'THE KHO'!$E$7=TH!F702),"x","")</f>
        <v/>
      </c>
      <c r="AG702" s="87" t="str">
        <f>IF(AND(N702="1521",MONTH(C702)='BK NL'!$M$11),"x","")</f>
        <v/>
      </c>
    </row>
    <row r="703" spans="1:33" ht="15.75" customHeight="1">
      <c r="A703" s="399" t="str">
        <f>IF(B703&lt;&gt;"",IF(AND(B703&gt;=_TM1,B703&lt;=_TM2,OR(TH!N703="1111",TH!O703="1111")),TH!D703,""),"")</f>
        <v/>
      </c>
      <c r="B703" s="63" t="str">
        <f t="shared" si="16"/>
        <v/>
      </c>
      <c r="C703" s="363"/>
      <c r="D703" s="363"/>
      <c r="E703" s="363"/>
      <c r="F703" s="364"/>
      <c r="G703" s="391"/>
      <c r="H703" s="365"/>
      <c r="I703" s="518"/>
      <c r="J703" s="518"/>
      <c r="K703" s="509"/>
      <c r="L703" s="518"/>
      <c r="M703" s="65"/>
      <c r="N703" s="366"/>
      <c r="O703" s="366"/>
      <c r="P703" s="87" t="str">
        <f>IF(AND('331-CT'!$E$7=TH!H703,OR(N703="331",O703="331")),"x","")</f>
        <v/>
      </c>
      <c r="Q703" s="87" t="str">
        <f>IF(AND(B703='111'!$L$11,OR($N703=$Q$7,$O703=$Q$7)),"x","")</f>
        <v/>
      </c>
      <c r="R703" s="87" t="str">
        <f>IF(AND($N703=$Q$7,$B703&lt;'111'!$L$11),"x","")</f>
        <v/>
      </c>
      <c r="S703" s="87" t="str">
        <f>IF(AND($O703=$Q$7,$B703&lt;'111'!$L$11),"x","")</f>
        <v/>
      </c>
      <c r="T703" s="87" t="str">
        <f>IF(ISERROR(FIND('112'!$M$9,G703,1)),"",IF((AND(FIND('112'!$M$9,G703,1)&gt;=1,B703='112'!$K$9,OR($N703='112'!$I$6,$O703='112'!$I$6))),"x",""))</f>
        <v/>
      </c>
      <c r="U703" s="87" t="str">
        <f>IF(ISERROR(FIND('112'!$M$9,G703,1)),"",IF((AND(FIND('112'!$M$9,G703,1)&gt;=1,B703&lt;'112'!$K$9,$N703='112'!$I$6)),"x",""))</f>
        <v/>
      </c>
      <c r="V703" s="87" t="str">
        <f>IF(ISERROR(FIND('112'!$M$9,G703,1)),"",IF((AND(FIND('112'!$M$9,G703,1)&gt;=1,B703&lt;'112'!$K$9,$O703='112'!$I$6)),"x",""))</f>
        <v/>
      </c>
      <c r="W703" s="87" t="str">
        <f>IF(AND($B703&gt;='1331'!$I$9,$B703&lt;='1331'!$J$9,OR($N703=$W$7,$O703=$W$7)),"x","")</f>
        <v/>
      </c>
      <c r="X703" s="87" t="str">
        <f>IF(AND($N703=$W$7,$B703&lt;'1331'!$I$9),"x","")</f>
        <v/>
      </c>
      <c r="Y703" s="87" t="str">
        <f>IF(AND($O703=$W$7,$B703&lt;'1331'!$I$9),"x","")</f>
        <v/>
      </c>
      <c r="Z703" s="87" t="str">
        <f>IF(AND('341-CT'!$H$9=H703,OR(LEFT(N703,3)=$Z$7,LEFT(O703,3)=$Z$7)),"x","")</f>
        <v/>
      </c>
      <c r="AA703" s="87" t="str">
        <f>IF(OR(TH!N703=TH!$AA$7,O703=TH!$AA$7),"x","")</f>
        <v/>
      </c>
      <c r="AB703" s="87" t="str">
        <f>IF(AND(OR(N703="131",O703="131"),H703='131-CT'!$H$9),"x","")</f>
        <v/>
      </c>
      <c r="AC703" s="87"/>
      <c r="AD703" s="87" t="str">
        <f>IF(AND(MONTH(E703)='IN-NX'!$J$5,'IN-NX'!$D$7=D703),"x","")</f>
        <v/>
      </c>
      <c r="AE703" s="87" t="str">
        <f>IF(AND(OR(LEFT(TH!N703,2)="15",LEFT(TH!O703,2)="15"),'152-CT'!$J$8=TH!F703),"x","")</f>
        <v/>
      </c>
      <c r="AF703" s="87" t="str">
        <f>IF(AND(OR(LEFT(TH!N703,2)="15",LEFT(TH!O703,2)="15"),'THE KHO'!$E$7=TH!F703),"x","")</f>
        <v/>
      </c>
      <c r="AG703" s="87" t="str">
        <f>IF(AND(N703="1521",MONTH(C703)='BK NL'!$M$11),"x","")</f>
        <v/>
      </c>
    </row>
    <row r="704" spans="1:33" ht="15.75" customHeight="1">
      <c r="A704" s="399" t="str">
        <f>IF(B704&lt;&gt;"",IF(AND(B704&gt;=_TM1,B704&lt;=_TM2,OR(TH!N704="1111",TH!O704="1111")),TH!D704,""),"")</f>
        <v/>
      </c>
      <c r="B704" s="63" t="str">
        <f t="shared" si="16"/>
        <v/>
      </c>
      <c r="C704" s="363"/>
      <c r="D704" s="363"/>
      <c r="E704" s="363"/>
      <c r="F704" s="364"/>
      <c r="G704" s="391"/>
      <c r="H704" s="365"/>
      <c r="I704" s="518"/>
      <c r="J704" s="518"/>
      <c r="K704" s="509"/>
      <c r="L704" s="518"/>
      <c r="M704" s="65"/>
      <c r="N704" s="366"/>
      <c r="O704" s="366"/>
      <c r="P704" s="87" t="str">
        <f>IF(AND('331-CT'!$E$7=TH!H704,OR(N704="331",O704="331")),"x","")</f>
        <v/>
      </c>
      <c r="Q704" s="87" t="str">
        <f>IF(AND(B704='111'!$L$11,OR($N704=$Q$7,$O704=$Q$7)),"x","")</f>
        <v/>
      </c>
      <c r="R704" s="87" t="str">
        <f>IF(AND($N704=$Q$7,$B704&lt;'111'!$L$11),"x","")</f>
        <v/>
      </c>
      <c r="S704" s="87" t="str">
        <f>IF(AND($O704=$Q$7,$B704&lt;'111'!$L$11),"x","")</f>
        <v/>
      </c>
      <c r="T704" s="87" t="str">
        <f>IF(ISERROR(FIND('112'!$M$9,G704,1)),"",IF((AND(FIND('112'!$M$9,G704,1)&gt;=1,B704='112'!$K$9,OR($N704='112'!$I$6,$O704='112'!$I$6))),"x",""))</f>
        <v/>
      </c>
      <c r="U704" s="87" t="str">
        <f>IF(ISERROR(FIND('112'!$M$9,G704,1)),"",IF((AND(FIND('112'!$M$9,G704,1)&gt;=1,B704&lt;'112'!$K$9,$N704='112'!$I$6)),"x",""))</f>
        <v/>
      </c>
      <c r="V704" s="87" t="str">
        <f>IF(ISERROR(FIND('112'!$M$9,G704,1)),"",IF((AND(FIND('112'!$M$9,G704,1)&gt;=1,B704&lt;'112'!$K$9,$O704='112'!$I$6)),"x",""))</f>
        <v/>
      </c>
      <c r="W704" s="87" t="str">
        <f>IF(AND($B704&gt;='1331'!$I$9,$B704&lt;='1331'!$J$9,OR($N704=$W$7,$O704=$W$7)),"x","")</f>
        <v/>
      </c>
      <c r="X704" s="87" t="str">
        <f>IF(AND($N704=$W$7,$B704&lt;'1331'!$I$9),"x","")</f>
        <v/>
      </c>
      <c r="Y704" s="87" t="str">
        <f>IF(AND($O704=$W$7,$B704&lt;'1331'!$I$9),"x","")</f>
        <v/>
      </c>
      <c r="Z704" s="87" t="str">
        <f>IF(AND('341-CT'!$H$9=H704,OR(LEFT(N704,3)=$Z$7,LEFT(O704,3)=$Z$7)),"x","")</f>
        <v/>
      </c>
      <c r="AA704" s="87" t="str">
        <f>IF(OR(TH!N704=TH!$AA$7,O704=TH!$AA$7),"x","")</f>
        <v/>
      </c>
      <c r="AB704" s="87" t="str">
        <f>IF(AND(OR(N704="131",O704="131"),H704='131-CT'!$H$9),"x","")</f>
        <v/>
      </c>
      <c r="AC704" s="87"/>
      <c r="AD704" s="87" t="str">
        <f>IF(AND(MONTH(E704)='IN-NX'!$J$5,'IN-NX'!$D$7=D704),"x","")</f>
        <v/>
      </c>
      <c r="AE704" s="87" t="str">
        <f>IF(AND(OR(LEFT(TH!N704,2)="15",LEFT(TH!O704,2)="15"),'152-CT'!$J$8=TH!F704),"x","")</f>
        <v/>
      </c>
      <c r="AF704" s="87" t="str">
        <f>IF(AND(OR(LEFT(TH!N704,2)="15",LEFT(TH!O704,2)="15"),'THE KHO'!$E$7=TH!F704),"x","")</f>
        <v/>
      </c>
      <c r="AG704" s="87" t="str">
        <f>IF(AND(N704="1521",MONTH(C704)='BK NL'!$M$11),"x","")</f>
        <v/>
      </c>
    </row>
    <row r="705" spans="1:33" ht="15.75" customHeight="1">
      <c r="A705" s="399" t="str">
        <f>IF(B705&lt;&gt;"",IF(AND(B705&gt;=_TM1,B705&lt;=_TM2,OR(TH!N705="1111",TH!O705="1111")),TH!D705,""),"")</f>
        <v/>
      </c>
      <c r="B705" s="63" t="str">
        <f t="shared" si="16"/>
        <v/>
      </c>
      <c r="C705" s="64"/>
      <c r="D705" s="64"/>
      <c r="E705" s="64"/>
      <c r="F705" s="67"/>
      <c r="G705" s="376"/>
      <c r="H705" s="407"/>
      <c r="I705" s="520"/>
      <c r="J705" s="520"/>
      <c r="K705" s="511"/>
      <c r="L705" s="520"/>
      <c r="M705" s="65"/>
      <c r="N705" s="366"/>
      <c r="O705" s="66"/>
      <c r="P705" s="87" t="str">
        <f>IF(AND('331-CT'!$E$7=TH!H705,OR(N705="331",O705="331")),"x","")</f>
        <v/>
      </c>
      <c r="Q705" s="87" t="str">
        <f>IF(AND(B705='111'!$L$11,OR($N705=$Q$7,$O705=$Q$7)),"x","")</f>
        <v/>
      </c>
      <c r="R705" s="87" t="str">
        <f>IF(AND($N705=$Q$7,$B705&lt;'111'!$L$11),"x","")</f>
        <v/>
      </c>
      <c r="S705" s="87" t="str">
        <f>IF(AND($O705=$Q$7,$B705&lt;'111'!$L$11),"x","")</f>
        <v/>
      </c>
      <c r="T705" s="87" t="str">
        <f>IF(ISERROR(FIND('112'!$M$9,G705,1)),"",IF((AND(FIND('112'!$M$9,G705,1)&gt;=1,B705='112'!$K$9,OR($N705='112'!$I$6,$O705='112'!$I$6))),"x",""))</f>
        <v/>
      </c>
      <c r="U705" s="87" t="str">
        <f>IF(ISERROR(FIND('112'!$M$9,G705,1)),"",IF((AND(FIND('112'!$M$9,G705,1)&gt;=1,B705&lt;'112'!$K$9,$N705='112'!$I$6)),"x",""))</f>
        <v/>
      </c>
      <c r="V705" s="87" t="str">
        <f>IF(ISERROR(FIND('112'!$M$9,G705,1)),"",IF((AND(FIND('112'!$M$9,G705,1)&gt;=1,B705&lt;'112'!$K$9,$O705='112'!$I$6)),"x",""))</f>
        <v/>
      </c>
      <c r="W705" s="87" t="str">
        <f>IF(AND($B705&gt;='1331'!$I$9,$B705&lt;='1331'!$J$9,OR($N705=$W$7,$O705=$W$7)),"x","")</f>
        <v/>
      </c>
      <c r="X705" s="87" t="str">
        <f>IF(AND($N705=$W$7,$B705&lt;'1331'!$I$9),"x","")</f>
        <v/>
      </c>
      <c r="Y705" s="87" t="str">
        <f>IF(AND($O705=$W$7,$B705&lt;'1331'!$I$9),"x","")</f>
        <v/>
      </c>
      <c r="Z705" s="87" t="str">
        <f>IF(AND('341-CT'!$H$9=H705,OR(LEFT(N705,3)=$Z$7,LEFT(O705,3)=$Z$7)),"x","")</f>
        <v/>
      </c>
      <c r="AA705" s="87" t="str">
        <f>IF(OR(TH!N705=TH!$AA$7,O705=TH!$AA$7),"x","")</f>
        <v/>
      </c>
      <c r="AB705" s="87" t="str">
        <f>IF(AND(OR(N705="131",O705="131"),H705='131-CT'!$H$9),"x","")</f>
        <v/>
      </c>
      <c r="AC705" s="87"/>
      <c r="AD705" s="87" t="str">
        <f>IF(AND(MONTH(E705)='IN-NX'!$J$5,'IN-NX'!$D$7=D705),"x","")</f>
        <v/>
      </c>
      <c r="AE705" s="87" t="str">
        <f>IF(AND(OR(LEFT(TH!N705,2)="15",LEFT(TH!O705,2)="15"),'152-CT'!$J$8=TH!F705),"x","")</f>
        <v/>
      </c>
      <c r="AF705" s="87" t="str">
        <f>IF(AND(OR(LEFT(TH!N705,2)="15",LEFT(TH!O705,2)="15"),'THE KHO'!$E$7=TH!F705),"x","")</f>
        <v/>
      </c>
      <c r="AG705" s="87" t="str">
        <f>IF(AND(N705="1521",MONTH(C705)='BK NL'!$M$11),"x","")</f>
        <v/>
      </c>
    </row>
    <row r="706" spans="1:33" ht="15.75" customHeight="1">
      <c r="A706" s="399" t="str">
        <f>IF(B706&lt;&gt;"",IF(AND(B706&gt;=_TM1,B706&lt;=_TM2,OR(TH!N706="1111",TH!O706="1111")),TH!D706,""),"")</f>
        <v/>
      </c>
      <c r="B706" s="63" t="str">
        <f t="shared" si="16"/>
        <v/>
      </c>
      <c r="C706" s="64"/>
      <c r="D706" s="64"/>
      <c r="E706" s="64"/>
      <c r="F706" s="67"/>
      <c r="G706" s="376"/>
      <c r="H706" s="407"/>
      <c r="I706" s="520"/>
      <c r="J706" s="520"/>
      <c r="K706" s="511"/>
      <c r="L706" s="520"/>
      <c r="M706" s="65"/>
      <c r="N706" s="366"/>
      <c r="O706" s="66"/>
      <c r="P706" s="87" t="str">
        <f>IF(AND('331-CT'!$E$7=TH!H706,OR(N706="331",O706="331")),"x","")</f>
        <v/>
      </c>
      <c r="Q706" s="87" t="str">
        <f>IF(AND(B706='111'!$L$11,OR($N706=$Q$7,$O706=$Q$7)),"x","")</f>
        <v/>
      </c>
      <c r="R706" s="87" t="str">
        <f>IF(AND($N706=$Q$7,$B706&lt;'111'!$L$11),"x","")</f>
        <v/>
      </c>
      <c r="S706" s="87" t="str">
        <f>IF(AND($O706=$Q$7,$B706&lt;'111'!$L$11),"x","")</f>
        <v/>
      </c>
      <c r="T706" s="87" t="str">
        <f>IF(ISERROR(FIND('112'!$M$9,G706,1)),"",IF((AND(FIND('112'!$M$9,G706,1)&gt;=1,B706='112'!$K$9,OR($N706='112'!$I$6,$O706='112'!$I$6))),"x",""))</f>
        <v/>
      </c>
      <c r="U706" s="87" t="str">
        <f>IF(ISERROR(FIND('112'!$M$9,G706,1)),"",IF((AND(FIND('112'!$M$9,G706,1)&gt;=1,B706&lt;'112'!$K$9,$N706='112'!$I$6)),"x",""))</f>
        <v/>
      </c>
      <c r="V706" s="87" t="str">
        <f>IF(ISERROR(FIND('112'!$M$9,G706,1)),"",IF((AND(FIND('112'!$M$9,G706,1)&gt;=1,B706&lt;'112'!$K$9,$O706='112'!$I$6)),"x",""))</f>
        <v/>
      </c>
      <c r="W706" s="87" t="str">
        <f>IF(AND($B706&gt;='1331'!$I$9,$B706&lt;='1331'!$J$9,OR($N706=$W$7,$O706=$W$7)),"x","")</f>
        <v/>
      </c>
      <c r="X706" s="87" t="str">
        <f>IF(AND($N706=$W$7,$B706&lt;'1331'!$I$9),"x","")</f>
        <v/>
      </c>
      <c r="Y706" s="87" t="str">
        <f>IF(AND($O706=$W$7,$B706&lt;'1331'!$I$9),"x","")</f>
        <v/>
      </c>
      <c r="Z706" s="87" t="str">
        <f>IF(AND('341-CT'!$H$9=H706,OR(LEFT(N706,3)=$Z$7,LEFT(O706,3)=$Z$7)),"x","")</f>
        <v/>
      </c>
      <c r="AA706" s="87" t="str">
        <f>IF(OR(TH!N706=TH!$AA$7,O706=TH!$AA$7),"x","")</f>
        <v/>
      </c>
      <c r="AB706" s="87" t="str">
        <f>IF(AND(OR(N706="131",O706="131"),H706='131-CT'!$H$9),"x","")</f>
        <v/>
      </c>
      <c r="AC706" s="87"/>
      <c r="AD706" s="87" t="str">
        <f>IF(AND(MONTH(E706)='IN-NX'!$J$5,'IN-NX'!$D$7=D706),"x","")</f>
        <v/>
      </c>
      <c r="AE706" s="87" t="str">
        <f>IF(AND(OR(LEFT(TH!N706,2)="15",LEFT(TH!O706,2)="15"),'152-CT'!$J$8=TH!F706),"x","")</f>
        <v/>
      </c>
      <c r="AF706" s="87" t="str">
        <f>IF(AND(OR(LEFT(TH!N706,2)="15",LEFT(TH!O706,2)="15"),'THE KHO'!$E$7=TH!F706),"x","")</f>
        <v/>
      </c>
      <c r="AG706" s="87" t="str">
        <f>IF(AND(N706="1521",MONTH(C706)='BK NL'!$M$11),"x","")</f>
        <v/>
      </c>
    </row>
    <row r="707" spans="1:33" ht="15.75" customHeight="1">
      <c r="A707" s="399" t="str">
        <f>IF(B707&lt;&gt;"",IF(AND(B707&gt;=_TM1,B707&lt;=_TM2,OR(TH!N707="1111",TH!O707="1111")),TH!D707,""),"")</f>
        <v/>
      </c>
      <c r="B707" s="63" t="str">
        <f t="shared" si="16"/>
        <v/>
      </c>
      <c r="C707" s="363"/>
      <c r="D707" s="363"/>
      <c r="E707" s="363"/>
      <c r="F707" s="364"/>
      <c r="G707" s="391"/>
      <c r="H707" s="365"/>
      <c r="I707" s="518"/>
      <c r="J707" s="518"/>
      <c r="K707" s="509"/>
      <c r="L707" s="518"/>
      <c r="M707" s="65"/>
      <c r="N707" s="366"/>
      <c r="O707" s="366"/>
      <c r="P707" s="87" t="str">
        <f>IF(AND('331-CT'!$E$7=TH!H707,OR(N707="331",O707="331")),"x","")</f>
        <v/>
      </c>
      <c r="Q707" s="87" t="str">
        <f>IF(AND(B707='111'!$L$11,OR($N707=$Q$7,$O707=$Q$7)),"x","")</f>
        <v/>
      </c>
      <c r="R707" s="87" t="str">
        <f>IF(AND($N707=$Q$7,$B707&lt;'111'!$L$11),"x","")</f>
        <v/>
      </c>
      <c r="S707" s="87" t="str">
        <f>IF(AND($O707=$Q$7,$B707&lt;'111'!$L$11),"x","")</f>
        <v/>
      </c>
      <c r="T707" s="87" t="str">
        <f>IF(ISERROR(FIND('112'!$M$9,G707,1)),"",IF((AND(FIND('112'!$M$9,G707,1)&gt;=1,B707='112'!$K$9,OR($N707='112'!$I$6,$O707='112'!$I$6))),"x",""))</f>
        <v/>
      </c>
      <c r="U707" s="87" t="str">
        <f>IF(ISERROR(FIND('112'!$M$9,G707,1)),"",IF((AND(FIND('112'!$M$9,G707,1)&gt;=1,B707&lt;'112'!$K$9,$N707='112'!$I$6)),"x",""))</f>
        <v/>
      </c>
      <c r="V707" s="87" t="str">
        <f>IF(ISERROR(FIND('112'!$M$9,G707,1)),"",IF((AND(FIND('112'!$M$9,G707,1)&gt;=1,B707&lt;'112'!$K$9,$O707='112'!$I$6)),"x",""))</f>
        <v/>
      </c>
      <c r="W707" s="87" t="str">
        <f>IF(AND($B707&gt;='1331'!$I$9,$B707&lt;='1331'!$J$9,OR($N707=$W$7,$O707=$W$7)),"x","")</f>
        <v/>
      </c>
      <c r="X707" s="87" t="str">
        <f>IF(AND($N707=$W$7,$B707&lt;'1331'!$I$9),"x","")</f>
        <v/>
      </c>
      <c r="Y707" s="87" t="str">
        <f>IF(AND($O707=$W$7,$B707&lt;'1331'!$I$9),"x","")</f>
        <v/>
      </c>
      <c r="Z707" s="87" t="str">
        <f>IF(AND('341-CT'!$H$9=H707,OR(LEFT(N707,3)=$Z$7,LEFT(O707,3)=$Z$7)),"x","")</f>
        <v/>
      </c>
      <c r="AA707" s="87" t="str">
        <f>IF(OR(TH!N707=TH!$AA$7,O707=TH!$AA$7),"x","")</f>
        <v/>
      </c>
      <c r="AB707" s="87" t="str">
        <f>IF(AND(OR(N707="131",O707="131"),H707='131-CT'!$H$9),"x","")</f>
        <v/>
      </c>
      <c r="AC707" s="87"/>
      <c r="AD707" s="87" t="str">
        <f>IF(AND(MONTH(E707)='IN-NX'!$J$5,'IN-NX'!$D$7=D707),"x","")</f>
        <v/>
      </c>
      <c r="AE707" s="87" t="str">
        <f>IF(AND(OR(LEFT(TH!N707,2)="15",LEFT(TH!O707,2)="15"),'152-CT'!$J$8=TH!F707),"x","")</f>
        <v/>
      </c>
      <c r="AF707" s="87" t="str">
        <f>IF(AND(OR(LEFT(TH!N707,2)="15",LEFT(TH!O707,2)="15"),'THE KHO'!$E$7=TH!F707),"x","")</f>
        <v/>
      </c>
      <c r="AG707" s="87" t="str">
        <f>IF(AND(N707="1521",MONTH(C707)='BK NL'!$M$11),"x","")</f>
        <v/>
      </c>
    </row>
    <row r="708" spans="1:33" ht="15.75" customHeight="1">
      <c r="A708" s="399" t="str">
        <f>IF(B708&lt;&gt;"",IF(AND(B708&gt;=_TM1,B708&lt;=_TM2,OR(TH!N708="1111",TH!O708="1111")),TH!D708,""),"")</f>
        <v/>
      </c>
      <c r="B708" s="63" t="str">
        <f t="shared" si="16"/>
        <v/>
      </c>
      <c r="C708" s="363"/>
      <c r="D708" s="363"/>
      <c r="E708" s="363"/>
      <c r="F708" s="364"/>
      <c r="G708" s="391"/>
      <c r="H708" s="365"/>
      <c r="I708" s="518"/>
      <c r="J708" s="518"/>
      <c r="K708" s="509"/>
      <c r="L708" s="518"/>
      <c r="M708" s="65"/>
      <c r="N708" s="366"/>
      <c r="O708" s="366"/>
      <c r="P708" s="87" t="str">
        <f>IF(AND('331-CT'!$E$7=TH!H708,OR(N708="331",O708="331")),"x","")</f>
        <v/>
      </c>
      <c r="Q708" s="87" t="str">
        <f>IF(AND(B708='111'!$L$11,OR($N708=$Q$7,$O708=$Q$7)),"x","")</f>
        <v/>
      </c>
      <c r="R708" s="87" t="str">
        <f>IF(AND($N708=$Q$7,$B708&lt;'111'!$L$11),"x","")</f>
        <v/>
      </c>
      <c r="S708" s="87" t="str">
        <f>IF(AND($O708=$Q$7,$B708&lt;'111'!$L$11),"x","")</f>
        <v/>
      </c>
      <c r="T708" s="87" t="str">
        <f>IF(ISERROR(FIND('112'!$M$9,G708,1)),"",IF((AND(FIND('112'!$M$9,G708,1)&gt;=1,B708='112'!$K$9,OR($N708='112'!$I$6,$O708='112'!$I$6))),"x",""))</f>
        <v/>
      </c>
      <c r="U708" s="87" t="str">
        <f>IF(ISERROR(FIND('112'!$M$9,G708,1)),"",IF((AND(FIND('112'!$M$9,G708,1)&gt;=1,B708&lt;'112'!$K$9,$N708='112'!$I$6)),"x",""))</f>
        <v/>
      </c>
      <c r="V708" s="87" t="str">
        <f>IF(ISERROR(FIND('112'!$M$9,G708,1)),"",IF((AND(FIND('112'!$M$9,G708,1)&gt;=1,B708&lt;'112'!$K$9,$O708='112'!$I$6)),"x",""))</f>
        <v/>
      </c>
      <c r="W708" s="87" t="str">
        <f>IF(AND($B708&gt;='1331'!$I$9,$B708&lt;='1331'!$J$9,OR($N708=$W$7,$O708=$W$7)),"x","")</f>
        <v/>
      </c>
      <c r="X708" s="87" t="str">
        <f>IF(AND($N708=$W$7,$B708&lt;'1331'!$I$9),"x","")</f>
        <v/>
      </c>
      <c r="Y708" s="87" t="str">
        <f>IF(AND($O708=$W$7,$B708&lt;'1331'!$I$9),"x","")</f>
        <v/>
      </c>
      <c r="Z708" s="87" t="str">
        <f>IF(AND('341-CT'!$H$9=H708,OR(LEFT(N708,3)=$Z$7,LEFT(O708,3)=$Z$7)),"x","")</f>
        <v/>
      </c>
      <c r="AA708" s="87" t="str">
        <f>IF(OR(TH!N708=TH!$AA$7,O708=TH!$AA$7),"x","")</f>
        <v/>
      </c>
      <c r="AB708" s="87" t="str">
        <f>IF(AND(OR(N708="131",O708="131"),H708='131-CT'!$H$9),"x","")</f>
        <v/>
      </c>
      <c r="AC708" s="87"/>
      <c r="AD708" s="87" t="str">
        <f>IF(AND(MONTH(E708)='IN-NX'!$J$5,'IN-NX'!$D$7=D708),"x","")</f>
        <v/>
      </c>
      <c r="AE708" s="87" t="str">
        <f>IF(AND(OR(LEFT(TH!N708,2)="15",LEFT(TH!O708,2)="15"),'152-CT'!$J$8=TH!F708),"x","")</f>
        <v/>
      </c>
      <c r="AF708" s="87" t="str">
        <f>IF(AND(OR(LEFT(TH!N708,2)="15",LEFT(TH!O708,2)="15"),'THE KHO'!$E$7=TH!F708),"x","")</f>
        <v/>
      </c>
      <c r="AG708" s="87" t="str">
        <f>IF(AND(N708="1521",MONTH(C708)='BK NL'!$M$11),"x","")</f>
        <v/>
      </c>
    </row>
    <row r="709" spans="1:33" ht="15.75" customHeight="1">
      <c r="A709" s="399" t="str">
        <f>IF(B709&lt;&gt;"",IF(AND(B709&gt;=_TM1,B709&lt;=_TM2,OR(TH!N709="1111",TH!O709="1111")),TH!D709,""),"")</f>
        <v/>
      </c>
      <c r="B709" s="63" t="str">
        <f t="shared" si="16"/>
        <v/>
      </c>
      <c r="C709" s="363"/>
      <c r="D709" s="363"/>
      <c r="E709" s="363"/>
      <c r="F709" s="364"/>
      <c r="G709" s="391"/>
      <c r="H709" s="365"/>
      <c r="I709" s="518"/>
      <c r="J709" s="518"/>
      <c r="K709" s="509"/>
      <c r="L709" s="518"/>
      <c r="M709" s="65"/>
      <c r="N709" s="366"/>
      <c r="O709" s="366"/>
      <c r="P709" s="87" t="str">
        <f>IF(AND('331-CT'!$E$7=TH!H709,OR(N709="331",O709="331")),"x","")</f>
        <v/>
      </c>
      <c r="Q709" s="87" t="str">
        <f>IF(AND(B709='111'!$L$11,OR($N709=$Q$7,$O709=$Q$7)),"x","")</f>
        <v/>
      </c>
      <c r="R709" s="87" t="str">
        <f>IF(AND($N709=$Q$7,$B709&lt;'111'!$L$11),"x","")</f>
        <v/>
      </c>
      <c r="S709" s="87" t="str">
        <f>IF(AND($O709=$Q$7,$B709&lt;'111'!$L$11),"x","")</f>
        <v/>
      </c>
      <c r="T709" s="87" t="str">
        <f>IF(ISERROR(FIND('112'!$M$9,G709,1)),"",IF((AND(FIND('112'!$M$9,G709,1)&gt;=1,B709='112'!$K$9,OR($N709='112'!$I$6,$O709='112'!$I$6))),"x",""))</f>
        <v/>
      </c>
      <c r="U709" s="87" t="str">
        <f>IF(ISERROR(FIND('112'!$M$9,G709,1)),"",IF((AND(FIND('112'!$M$9,G709,1)&gt;=1,B709&lt;'112'!$K$9,$N709='112'!$I$6)),"x",""))</f>
        <v/>
      </c>
      <c r="V709" s="87" t="str">
        <f>IF(ISERROR(FIND('112'!$M$9,G709,1)),"",IF((AND(FIND('112'!$M$9,G709,1)&gt;=1,B709&lt;'112'!$K$9,$O709='112'!$I$6)),"x",""))</f>
        <v/>
      </c>
      <c r="W709" s="87" t="str">
        <f>IF(AND($B709&gt;='1331'!$I$9,$B709&lt;='1331'!$J$9,OR($N709=$W$7,$O709=$W$7)),"x","")</f>
        <v/>
      </c>
      <c r="X709" s="87" t="str">
        <f>IF(AND($N709=$W$7,$B709&lt;'1331'!$I$9),"x","")</f>
        <v/>
      </c>
      <c r="Y709" s="87" t="str">
        <f>IF(AND($O709=$W$7,$B709&lt;'1331'!$I$9),"x","")</f>
        <v/>
      </c>
      <c r="Z709" s="87" t="str">
        <f>IF(AND('341-CT'!$H$9=H709,OR(LEFT(N709,3)=$Z$7,LEFT(O709,3)=$Z$7)),"x","")</f>
        <v/>
      </c>
      <c r="AA709" s="87" t="str">
        <f>IF(OR(TH!N709=TH!$AA$7,O709=TH!$AA$7),"x","")</f>
        <v/>
      </c>
      <c r="AB709" s="87" t="str">
        <f>IF(AND(OR(N709="131",O709="131"),H709='131-CT'!$H$9),"x","")</f>
        <v/>
      </c>
      <c r="AC709" s="87"/>
      <c r="AD709" s="87" t="str">
        <f>IF(AND(MONTH(E709)='IN-NX'!$J$5,'IN-NX'!$D$7=D709),"x","")</f>
        <v/>
      </c>
      <c r="AE709" s="87" t="str">
        <f>IF(AND(OR(LEFT(TH!N709,2)="15",LEFT(TH!O709,2)="15"),'152-CT'!$J$8=TH!F709),"x","")</f>
        <v/>
      </c>
      <c r="AF709" s="87" t="str">
        <f>IF(AND(OR(LEFT(TH!N709,2)="15",LEFT(TH!O709,2)="15"),'THE KHO'!$E$7=TH!F709),"x","")</f>
        <v/>
      </c>
      <c r="AG709" s="87" t="str">
        <f>IF(AND(N709="1521",MONTH(C709)='BK NL'!$M$11),"x","")</f>
        <v/>
      </c>
    </row>
    <row r="710" spans="1:33" ht="15.75" customHeight="1">
      <c r="A710" s="399" t="str">
        <f>IF(B710&lt;&gt;"",IF(AND(B710&gt;=_TM1,B710&lt;=_TM2,OR(TH!N710="1111",TH!O710="1111")),TH!D710,""),"")</f>
        <v/>
      </c>
      <c r="B710" s="63" t="str">
        <f t="shared" si="16"/>
        <v/>
      </c>
      <c r="C710" s="363"/>
      <c r="D710" s="363"/>
      <c r="E710" s="363"/>
      <c r="F710" s="364"/>
      <c r="G710" s="391"/>
      <c r="H710" s="365"/>
      <c r="I710" s="518"/>
      <c r="J710" s="518"/>
      <c r="K710" s="509"/>
      <c r="L710" s="518"/>
      <c r="M710" s="65"/>
      <c r="N710" s="366"/>
      <c r="O710" s="366"/>
      <c r="P710" s="87" t="str">
        <f>IF(AND('331-CT'!$E$7=TH!H710,OR(N710="331",O710="331")),"x","")</f>
        <v/>
      </c>
      <c r="Q710" s="87" t="str">
        <f>IF(AND(B710='111'!$L$11,OR($N710=$Q$7,$O710=$Q$7)),"x","")</f>
        <v/>
      </c>
      <c r="R710" s="87" t="str">
        <f>IF(AND($N710=$Q$7,$B710&lt;'111'!$L$11),"x","")</f>
        <v/>
      </c>
      <c r="S710" s="87" t="str">
        <f>IF(AND($O710=$Q$7,$B710&lt;'111'!$L$11),"x","")</f>
        <v/>
      </c>
      <c r="T710" s="87" t="str">
        <f>IF(ISERROR(FIND('112'!$M$9,G710,1)),"",IF((AND(FIND('112'!$M$9,G710,1)&gt;=1,B710='112'!$K$9,OR($N710='112'!$I$6,$O710='112'!$I$6))),"x",""))</f>
        <v/>
      </c>
      <c r="U710" s="87" t="str">
        <f>IF(ISERROR(FIND('112'!$M$9,G710,1)),"",IF((AND(FIND('112'!$M$9,G710,1)&gt;=1,B710&lt;'112'!$K$9,$N710='112'!$I$6)),"x",""))</f>
        <v/>
      </c>
      <c r="V710" s="87" t="str">
        <f>IF(ISERROR(FIND('112'!$M$9,G710,1)),"",IF((AND(FIND('112'!$M$9,G710,1)&gt;=1,B710&lt;'112'!$K$9,$O710='112'!$I$6)),"x",""))</f>
        <v/>
      </c>
      <c r="W710" s="87" t="str">
        <f>IF(AND($B710&gt;='1331'!$I$9,$B710&lt;='1331'!$J$9,OR($N710=$W$7,$O710=$W$7)),"x","")</f>
        <v/>
      </c>
      <c r="X710" s="87" t="str">
        <f>IF(AND($N710=$W$7,$B710&lt;'1331'!$I$9),"x","")</f>
        <v/>
      </c>
      <c r="Y710" s="87" t="str">
        <f>IF(AND($O710=$W$7,$B710&lt;'1331'!$I$9),"x","")</f>
        <v/>
      </c>
      <c r="Z710" s="87" t="str">
        <f>IF(AND('341-CT'!$H$9=H710,OR(LEFT(N710,3)=$Z$7,LEFT(O710,3)=$Z$7)),"x","")</f>
        <v/>
      </c>
      <c r="AA710" s="87" t="str">
        <f>IF(OR(TH!N710=TH!$AA$7,O710=TH!$AA$7),"x","")</f>
        <v/>
      </c>
      <c r="AB710" s="87" t="str">
        <f>IF(AND(OR(N710="131",O710="131"),H710='131-CT'!$H$9),"x","")</f>
        <v/>
      </c>
      <c r="AC710" s="87"/>
      <c r="AD710" s="87" t="str">
        <f>IF(AND(MONTH(E710)='IN-NX'!$J$5,'IN-NX'!$D$7=D710),"x","")</f>
        <v/>
      </c>
      <c r="AE710" s="87" t="str">
        <f>IF(AND(OR(LEFT(TH!N710,2)="15",LEFT(TH!O710,2)="15"),'152-CT'!$J$8=TH!F710),"x","")</f>
        <v/>
      </c>
      <c r="AF710" s="87" t="str">
        <f>IF(AND(OR(LEFT(TH!N710,2)="15",LEFT(TH!O710,2)="15"),'THE KHO'!$E$7=TH!F710),"x","")</f>
        <v/>
      </c>
      <c r="AG710" s="87" t="str">
        <f>IF(AND(N710="1521",MONTH(C710)='BK NL'!$M$11),"x","")</f>
        <v/>
      </c>
    </row>
    <row r="711" spans="1:33" ht="15.75" customHeight="1">
      <c r="A711" s="399" t="str">
        <f>IF(B711&lt;&gt;"",IF(AND(B711&gt;=_TM1,B711&lt;=_TM2,OR(TH!N711="1111",TH!O711="1111")),TH!D711,""),"")</f>
        <v/>
      </c>
      <c r="B711" s="63" t="str">
        <f t="shared" si="16"/>
        <v/>
      </c>
      <c r="C711" s="363"/>
      <c r="D711" s="363"/>
      <c r="E711" s="363"/>
      <c r="F711" s="364"/>
      <c r="G711" s="391"/>
      <c r="H711" s="365"/>
      <c r="I711" s="518"/>
      <c r="J711" s="518"/>
      <c r="K711" s="509"/>
      <c r="L711" s="518"/>
      <c r="M711" s="65"/>
      <c r="N711" s="366"/>
      <c r="O711" s="366"/>
      <c r="P711" s="87" t="str">
        <f>IF(AND('331-CT'!$E$7=TH!H711,OR(N711="331",O711="331")),"x","")</f>
        <v/>
      </c>
      <c r="Q711" s="87" t="str">
        <f>IF(AND(B711='111'!$L$11,OR($N711=$Q$7,$O711=$Q$7)),"x","")</f>
        <v/>
      </c>
      <c r="R711" s="87" t="str">
        <f>IF(AND($N711=$Q$7,$B711&lt;'111'!$L$11),"x","")</f>
        <v/>
      </c>
      <c r="S711" s="87" t="str">
        <f>IF(AND($O711=$Q$7,$B711&lt;'111'!$L$11),"x","")</f>
        <v/>
      </c>
      <c r="T711" s="87" t="str">
        <f>IF(ISERROR(FIND('112'!$M$9,G711,1)),"",IF((AND(FIND('112'!$M$9,G711,1)&gt;=1,B711='112'!$K$9,OR($N711='112'!$I$6,$O711='112'!$I$6))),"x",""))</f>
        <v/>
      </c>
      <c r="U711" s="87" t="str">
        <f>IF(ISERROR(FIND('112'!$M$9,G711,1)),"",IF((AND(FIND('112'!$M$9,G711,1)&gt;=1,B711&lt;'112'!$K$9,$N711='112'!$I$6)),"x",""))</f>
        <v/>
      </c>
      <c r="V711" s="87" t="str">
        <f>IF(ISERROR(FIND('112'!$M$9,G711,1)),"",IF((AND(FIND('112'!$M$9,G711,1)&gt;=1,B711&lt;'112'!$K$9,$O711='112'!$I$6)),"x",""))</f>
        <v/>
      </c>
      <c r="W711" s="87" t="str">
        <f>IF(AND($B711&gt;='1331'!$I$9,$B711&lt;='1331'!$J$9,OR($N711=$W$7,$O711=$W$7)),"x","")</f>
        <v/>
      </c>
      <c r="X711" s="87" t="str">
        <f>IF(AND($N711=$W$7,$B711&lt;'1331'!$I$9),"x","")</f>
        <v/>
      </c>
      <c r="Y711" s="87" t="str">
        <f>IF(AND($O711=$W$7,$B711&lt;'1331'!$I$9),"x","")</f>
        <v/>
      </c>
      <c r="Z711" s="87" t="str">
        <f>IF(AND('341-CT'!$H$9=H711,OR(LEFT(N711,3)=$Z$7,LEFT(O711,3)=$Z$7)),"x","")</f>
        <v/>
      </c>
      <c r="AA711" s="87" t="str">
        <f>IF(OR(TH!N711=TH!$AA$7,O711=TH!$AA$7),"x","")</f>
        <v/>
      </c>
      <c r="AB711" s="87" t="str">
        <f>IF(AND(OR(N711="131",O711="131"),H711='131-CT'!$H$9),"x","")</f>
        <v/>
      </c>
      <c r="AC711" s="87"/>
      <c r="AD711" s="87" t="str">
        <f>IF(AND(MONTH(E711)='IN-NX'!$J$5,'IN-NX'!$D$7=D711),"x","")</f>
        <v/>
      </c>
      <c r="AE711" s="87" t="str">
        <f>IF(AND(OR(LEFT(TH!N711,2)="15",LEFT(TH!O711,2)="15"),'152-CT'!$J$8=TH!F711),"x","")</f>
        <v/>
      </c>
      <c r="AF711" s="87" t="str">
        <f>IF(AND(OR(LEFT(TH!N711,2)="15",LEFT(TH!O711,2)="15"),'THE KHO'!$E$7=TH!F711),"x","")</f>
        <v/>
      </c>
      <c r="AG711" s="87" t="str">
        <f>IF(AND(N711="1521",MONTH(C711)='BK NL'!$M$11),"x","")</f>
        <v/>
      </c>
    </row>
    <row r="712" spans="1:33" ht="15.75" customHeight="1">
      <c r="A712" s="399" t="str">
        <f>IF(B712&lt;&gt;"",IF(AND(B712&gt;=_TM1,B712&lt;=_TM2,OR(TH!N712="1111",TH!O712="1111")),TH!D712,""),"")</f>
        <v/>
      </c>
      <c r="B712" s="63" t="str">
        <f t="shared" si="16"/>
        <v/>
      </c>
      <c r="C712" s="363"/>
      <c r="D712" s="363"/>
      <c r="E712" s="363"/>
      <c r="F712" s="364"/>
      <c r="G712" s="391"/>
      <c r="H712" s="365"/>
      <c r="I712" s="518"/>
      <c r="J712" s="518"/>
      <c r="K712" s="509"/>
      <c r="L712" s="518"/>
      <c r="M712" s="65"/>
      <c r="N712" s="366"/>
      <c r="O712" s="366"/>
      <c r="P712" s="87" t="str">
        <f>IF(AND('331-CT'!$E$7=TH!H712,OR(N712="331",O712="331")),"x","")</f>
        <v/>
      </c>
      <c r="Q712" s="87" t="str">
        <f>IF(AND(B712='111'!$L$11,OR($N712=$Q$7,$O712=$Q$7)),"x","")</f>
        <v/>
      </c>
      <c r="R712" s="87" t="str">
        <f>IF(AND($N712=$Q$7,$B712&lt;'111'!$L$11),"x","")</f>
        <v/>
      </c>
      <c r="S712" s="87" t="str">
        <f>IF(AND($O712=$Q$7,$B712&lt;'111'!$L$11),"x","")</f>
        <v/>
      </c>
      <c r="T712" s="87" t="str">
        <f>IF(ISERROR(FIND('112'!$M$9,G712,1)),"",IF((AND(FIND('112'!$M$9,G712,1)&gt;=1,B712='112'!$K$9,OR($N712='112'!$I$6,$O712='112'!$I$6))),"x",""))</f>
        <v/>
      </c>
      <c r="U712" s="87" t="str">
        <f>IF(ISERROR(FIND('112'!$M$9,G712,1)),"",IF((AND(FIND('112'!$M$9,G712,1)&gt;=1,B712&lt;'112'!$K$9,$N712='112'!$I$6)),"x",""))</f>
        <v/>
      </c>
      <c r="V712" s="87" t="str">
        <f>IF(ISERROR(FIND('112'!$M$9,G712,1)),"",IF((AND(FIND('112'!$M$9,G712,1)&gt;=1,B712&lt;'112'!$K$9,$O712='112'!$I$6)),"x",""))</f>
        <v/>
      </c>
      <c r="W712" s="87" t="str">
        <f>IF(AND($B712&gt;='1331'!$I$9,$B712&lt;='1331'!$J$9,OR($N712=$W$7,$O712=$W$7)),"x","")</f>
        <v/>
      </c>
      <c r="X712" s="87" t="str">
        <f>IF(AND($N712=$W$7,$B712&lt;'1331'!$I$9),"x","")</f>
        <v/>
      </c>
      <c r="Y712" s="87" t="str">
        <f>IF(AND($O712=$W$7,$B712&lt;'1331'!$I$9),"x","")</f>
        <v/>
      </c>
      <c r="Z712" s="87" t="str">
        <f>IF(AND('341-CT'!$H$9=H712,OR(LEFT(N712,3)=$Z$7,LEFT(O712,3)=$Z$7)),"x","")</f>
        <v/>
      </c>
      <c r="AA712" s="87" t="str">
        <f>IF(OR(TH!N712=TH!$AA$7,O712=TH!$AA$7),"x","")</f>
        <v/>
      </c>
      <c r="AB712" s="87" t="str">
        <f>IF(AND(OR(N712="131",O712="131"),H712='131-CT'!$H$9),"x","")</f>
        <v/>
      </c>
      <c r="AC712" s="87"/>
      <c r="AD712" s="87" t="str">
        <f>IF(AND(MONTH(E712)='IN-NX'!$J$5,'IN-NX'!$D$7=D712),"x","")</f>
        <v/>
      </c>
      <c r="AE712" s="87" t="str">
        <f>IF(AND(OR(LEFT(TH!N712,2)="15",LEFT(TH!O712,2)="15"),'152-CT'!$J$8=TH!F712),"x","")</f>
        <v/>
      </c>
      <c r="AF712" s="87" t="str">
        <f>IF(AND(OR(LEFT(TH!N712,2)="15",LEFT(TH!O712,2)="15"),'THE KHO'!$E$7=TH!F712),"x","")</f>
        <v/>
      </c>
      <c r="AG712" s="87" t="str">
        <f>IF(AND(N712="1521",MONTH(C712)='BK NL'!$M$11),"x","")</f>
        <v/>
      </c>
    </row>
    <row r="713" spans="1:33" ht="15.75" customHeight="1">
      <c r="A713" s="399" t="str">
        <f>IF(B713&lt;&gt;"",IF(AND(B713&gt;=_TM1,B713&lt;=_TM2,OR(TH!N713="1111",TH!O713="1111")),TH!D713,""),"")</f>
        <v/>
      </c>
      <c r="B713" s="63" t="str">
        <f t="shared" si="16"/>
        <v/>
      </c>
      <c r="C713" s="363"/>
      <c r="D713" s="363"/>
      <c r="E713" s="363"/>
      <c r="F713" s="364"/>
      <c r="G713" s="391"/>
      <c r="H713" s="365"/>
      <c r="I713" s="518"/>
      <c r="J713" s="518"/>
      <c r="K713" s="509"/>
      <c r="L713" s="518"/>
      <c r="M713" s="65"/>
      <c r="N713" s="366"/>
      <c r="O713" s="366"/>
      <c r="P713" s="87" t="str">
        <f>IF(AND('331-CT'!$E$7=TH!H713,OR(N713="331",O713="331")),"x","")</f>
        <v/>
      </c>
      <c r="Q713" s="87" t="str">
        <f>IF(AND(B713='111'!$L$11,OR($N713=$Q$7,$O713=$Q$7)),"x","")</f>
        <v/>
      </c>
      <c r="R713" s="87" t="str">
        <f>IF(AND($N713=$Q$7,$B713&lt;'111'!$L$11),"x","")</f>
        <v/>
      </c>
      <c r="S713" s="87" t="str">
        <f>IF(AND($O713=$Q$7,$B713&lt;'111'!$L$11),"x","")</f>
        <v/>
      </c>
      <c r="T713" s="87" t="str">
        <f>IF(ISERROR(FIND('112'!$M$9,G713,1)),"",IF((AND(FIND('112'!$M$9,G713,1)&gt;=1,B713='112'!$K$9,OR($N713='112'!$I$6,$O713='112'!$I$6))),"x",""))</f>
        <v/>
      </c>
      <c r="U713" s="87" t="str">
        <f>IF(ISERROR(FIND('112'!$M$9,G713,1)),"",IF((AND(FIND('112'!$M$9,G713,1)&gt;=1,B713&lt;'112'!$K$9,$N713='112'!$I$6)),"x",""))</f>
        <v/>
      </c>
      <c r="V713" s="87" t="str">
        <f>IF(ISERROR(FIND('112'!$M$9,G713,1)),"",IF((AND(FIND('112'!$M$9,G713,1)&gt;=1,B713&lt;'112'!$K$9,$O713='112'!$I$6)),"x",""))</f>
        <v/>
      </c>
      <c r="W713" s="87" t="str">
        <f>IF(AND($B713&gt;='1331'!$I$9,$B713&lt;='1331'!$J$9,OR($N713=$W$7,$O713=$W$7)),"x","")</f>
        <v/>
      </c>
      <c r="X713" s="87" t="str">
        <f>IF(AND($N713=$W$7,$B713&lt;'1331'!$I$9),"x","")</f>
        <v/>
      </c>
      <c r="Y713" s="87" t="str">
        <f>IF(AND($O713=$W$7,$B713&lt;'1331'!$I$9),"x","")</f>
        <v/>
      </c>
      <c r="Z713" s="87" t="str">
        <f>IF(AND('341-CT'!$H$9=H713,OR(LEFT(N713,3)=$Z$7,LEFT(O713,3)=$Z$7)),"x","")</f>
        <v/>
      </c>
      <c r="AA713" s="87" t="str">
        <f>IF(OR(TH!N713=TH!$AA$7,O713=TH!$AA$7),"x","")</f>
        <v/>
      </c>
      <c r="AB713" s="87" t="str">
        <f>IF(AND(OR(N713="131",O713="131"),H713='131-CT'!$H$9),"x","")</f>
        <v/>
      </c>
      <c r="AC713" s="87"/>
      <c r="AD713" s="87" t="str">
        <f>IF(AND(MONTH(E713)='IN-NX'!$J$5,'IN-NX'!$D$7=D713),"x","")</f>
        <v/>
      </c>
      <c r="AE713" s="87" t="str">
        <f>IF(AND(OR(LEFT(TH!N713,2)="15",LEFT(TH!O713,2)="15"),'152-CT'!$J$8=TH!F713),"x","")</f>
        <v/>
      </c>
      <c r="AF713" s="87" t="str">
        <f>IF(AND(OR(LEFT(TH!N713,2)="15",LEFT(TH!O713,2)="15"),'THE KHO'!$E$7=TH!F713),"x","")</f>
        <v/>
      </c>
      <c r="AG713" s="87" t="str">
        <f>IF(AND(N713="1521",MONTH(C713)='BK NL'!$M$11),"x","")</f>
        <v/>
      </c>
    </row>
    <row r="714" spans="1:33" ht="15.75" customHeight="1">
      <c r="A714" s="399" t="str">
        <f>IF(B714&lt;&gt;"",IF(AND(B714&gt;=_TM1,B714&lt;=_TM2,OR(TH!N714="1111",TH!O714="1111")),TH!D714,""),"")</f>
        <v/>
      </c>
      <c r="B714" s="63" t="str">
        <f t="shared" si="16"/>
        <v/>
      </c>
      <c r="C714" s="363"/>
      <c r="D714" s="363"/>
      <c r="E714" s="363"/>
      <c r="F714" s="364"/>
      <c r="G714" s="391"/>
      <c r="H714" s="365"/>
      <c r="I714" s="518"/>
      <c r="J714" s="518"/>
      <c r="K714" s="509"/>
      <c r="L714" s="518"/>
      <c r="M714" s="65"/>
      <c r="N714" s="366"/>
      <c r="O714" s="366"/>
      <c r="P714" s="87" t="str">
        <f>IF(AND('331-CT'!$E$7=TH!H714,OR(N714="331",O714="331")),"x","")</f>
        <v/>
      </c>
      <c r="Q714" s="87" t="str">
        <f>IF(AND(B714='111'!$L$11,OR($N714=$Q$7,$O714=$Q$7)),"x","")</f>
        <v/>
      </c>
      <c r="R714" s="87" t="str">
        <f>IF(AND($N714=$Q$7,$B714&lt;'111'!$L$11),"x","")</f>
        <v/>
      </c>
      <c r="S714" s="87" t="str">
        <f>IF(AND($O714=$Q$7,$B714&lt;'111'!$L$11),"x","")</f>
        <v/>
      </c>
      <c r="T714" s="87" t="str">
        <f>IF(ISERROR(FIND('112'!$M$9,G714,1)),"",IF((AND(FIND('112'!$M$9,G714,1)&gt;=1,B714='112'!$K$9,OR($N714='112'!$I$6,$O714='112'!$I$6))),"x",""))</f>
        <v/>
      </c>
      <c r="U714" s="87" t="str">
        <f>IF(ISERROR(FIND('112'!$M$9,G714,1)),"",IF((AND(FIND('112'!$M$9,G714,1)&gt;=1,B714&lt;'112'!$K$9,$N714='112'!$I$6)),"x",""))</f>
        <v/>
      </c>
      <c r="V714" s="87" t="str">
        <f>IF(ISERROR(FIND('112'!$M$9,G714,1)),"",IF((AND(FIND('112'!$M$9,G714,1)&gt;=1,B714&lt;'112'!$K$9,$O714='112'!$I$6)),"x",""))</f>
        <v/>
      </c>
      <c r="W714" s="87" t="str">
        <f>IF(AND($B714&gt;='1331'!$I$9,$B714&lt;='1331'!$J$9,OR($N714=$W$7,$O714=$W$7)),"x","")</f>
        <v/>
      </c>
      <c r="X714" s="87" t="str">
        <f>IF(AND($N714=$W$7,$B714&lt;'1331'!$I$9),"x","")</f>
        <v/>
      </c>
      <c r="Y714" s="87" t="str">
        <f>IF(AND($O714=$W$7,$B714&lt;'1331'!$I$9),"x","")</f>
        <v/>
      </c>
      <c r="Z714" s="87" t="str">
        <f>IF(AND('341-CT'!$H$9=H714,OR(LEFT(N714,3)=$Z$7,LEFT(O714,3)=$Z$7)),"x","")</f>
        <v/>
      </c>
      <c r="AA714" s="87" t="str">
        <f>IF(OR(TH!N714=TH!$AA$7,O714=TH!$AA$7),"x","")</f>
        <v/>
      </c>
      <c r="AB714" s="87" t="str">
        <f>IF(AND(OR(N714="131",O714="131"),H714='131-CT'!$H$9),"x","")</f>
        <v/>
      </c>
      <c r="AC714" s="87"/>
      <c r="AD714" s="87" t="str">
        <f>IF(AND(MONTH(E714)='IN-NX'!$J$5,'IN-NX'!$D$7=D714),"x","")</f>
        <v/>
      </c>
      <c r="AE714" s="87" t="str">
        <f>IF(AND(OR(LEFT(TH!N714,2)="15",LEFT(TH!O714,2)="15"),'152-CT'!$J$8=TH!F714),"x","")</f>
        <v/>
      </c>
      <c r="AF714" s="87" t="str">
        <f>IF(AND(OR(LEFT(TH!N714,2)="15",LEFT(TH!O714,2)="15"),'THE KHO'!$E$7=TH!F714),"x","")</f>
        <v/>
      </c>
      <c r="AG714" s="87" t="str">
        <f>IF(AND(N714="1521",MONTH(C714)='BK NL'!$M$11),"x","")</f>
        <v/>
      </c>
    </row>
    <row r="715" spans="1:33" ht="15.75" customHeight="1">
      <c r="A715" s="399" t="str">
        <f>IF(B715&lt;&gt;"",IF(AND(B715&gt;=_TM1,B715&lt;=_TM2,OR(TH!N715="1111",TH!O715="1111")),TH!D715,""),"")</f>
        <v/>
      </c>
      <c r="B715" s="63" t="str">
        <f t="shared" si="16"/>
        <v/>
      </c>
      <c r="C715" s="363"/>
      <c r="D715" s="363"/>
      <c r="E715" s="363"/>
      <c r="F715" s="364"/>
      <c r="G715" s="391"/>
      <c r="H715" s="365"/>
      <c r="I715" s="518"/>
      <c r="J715" s="518"/>
      <c r="K715" s="509"/>
      <c r="L715" s="518"/>
      <c r="M715" s="65"/>
      <c r="N715" s="366"/>
      <c r="O715" s="366"/>
      <c r="P715" s="87" t="str">
        <f>IF(AND('331-CT'!$E$7=TH!H715,OR(N715="331",O715="331")),"x","")</f>
        <v/>
      </c>
      <c r="Q715" s="87" t="str">
        <f>IF(AND(B715='111'!$L$11,OR($N715=$Q$7,$O715=$Q$7)),"x","")</f>
        <v/>
      </c>
      <c r="R715" s="87" t="str">
        <f>IF(AND($N715=$Q$7,$B715&lt;'111'!$L$11),"x","")</f>
        <v/>
      </c>
      <c r="S715" s="87" t="str">
        <f>IF(AND($O715=$Q$7,$B715&lt;'111'!$L$11),"x","")</f>
        <v/>
      </c>
      <c r="T715" s="87" t="str">
        <f>IF(ISERROR(FIND('112'!$M$9,G715,1)),"",IF((AND(FIND('112'!$M$9,G715,1)&gt;=1,B715='112'!$K$9,OR($N715='112'!$I$6,$O715='112'!$I$6))),"x",""))</f>
        <v/>
      </c>
      <c r="U715" s="87" t="str">
        <f>IF(ISERROR(FIND('112'!$M$9,G715,1)),"",IF((AND(FIND('112'!$M$9,G715,1)&gt;=1,B715&lt;'112'!$K$9,$N715='112'!$I$6)),"x",""))</f>
        <v/>
      </c>
      <c r="V715" s="87" t="str">
        <f>IF(ISERROR(FIND('112'!$M$9,G715,1)),"",IF((AND(FIND('112'!$M$9,G715,1)&gt;=1,B715&lt;'112'!$K$9,$O715='112'!$I$6)),"x",""))</f>
        <v/>
      </c>
      <c r="W715" s="87" t="str">
        <f>IF(AND($B715&gt;='1331'!$I$9,$B715&lt;='1331'!$J$9,OR($N715=$W$7,$O715=$W$7)),"x","")</f>
        <v/>
      </c>
      <c r="X715" s="87" t="str">
        <f>IF(AND($N715=$W$7,$B715&lt;'1331'!$I$9),"x","")</f>
        <v/>
      </c>
      <c r="Y715" s="87" t="str">
        <f>IF(AND($O715=$W$7,$B715&lt;'1331'!$I$9),"x","")</f>
        <v/>
      </c>
      <c r="Z715" s="87" t="str">
        <f>IF(AND('341-CT'!$H$9=H715,OR(LEFT(N715,3)=$Z$7,LEFT(O715,3)=$Z$7)),"x","")</f>
        <v/>
      </c>
      <c r="AA715" s="87" t="str">
        <f>IF(OR(TH!N715=TH!$AA$7,O715=TH!$AA$7),"x","")</f>
        <v/>
      </c>
      <c r="AB715" s="87" t="str">
        <f>IF(AND(OR(N715="131",O715="131"),H715='131-CT'!$H$9),"x","")</f>
        <v/>
      </c>
      <c r="AC715" s="87"/>
      <c r="AD715" s="87" t="str">
        <f>IF(AND(MONTH(E715)='IN-NX'!$J$5,'IN-NX'!$D$7=D715),"x","")</f>
        <v/>
      </c>
      <c r="AE715" s="87" t="str">
        <f>IF(AND(OR(LEFT(TH!N715,2)="15",LEFT(TH!O715,2)="15"),'152-CT'!$J$8=TH!F715),"x","")</f>
        <v/>
      </c>
      <c r="AF715" s="87" t="str">
        <f>IF(AND(OR(LEFT(TH!N715,2)="15",LEFT(TH!O715,2)="15"),'THE KHO'!$E$7=TH!F715),"x","")</f>
        <v/>
      </c>
      <c r="AG715" s="87" t="str">
        <f>IF(AND(N715="1521",MONTH(C715)='BK NL'!$M$11),"x","")</f>
        <v/>
      </c>
    </row>
    <row r="716" spans="1:33" ht="15.75" customHeight="1">
      <c r="A716" s="399" t="str">
        <f>IF(B716&lt;&gt;"",IF(AND(B716&gt;=_TM1,B716&lt;=_TM2,OR(TH!N716="1111",TH!O716="1111")),TH!D716,""),"")</f>
        <v/>
      </c>
      <c r="B716" s="63" t="str">
        <f t="shared" si="16"/>
        <v/>
      </c>
      <c r="C716" s="363"/>
      <c r="D716" s="363"/>
      <c r="E716" s="363"/>
      <c r="F716" s="364"/>
      <c r="G716" s="391"/>
      <c r="H716" s="365"/>
      <c r="I716" s="518"/>
      <c r="J716" s="518"/>
      <c r="K716" s="509"/>
      <c r="L716" s="518"/>
      <c r="M716" s="65"/>
      <c r="N716" s="366"/>
      <c r="O716" s="366"/>
      <c r="P716" s="87" t="str">
        <f>IF(AND('331-CT'!$E$7=TH!H716,OR(N716="331",O716="331")),"x","")</f>
        <v/>
      </c>
      <c r="Q716" s="87" t="str">
        <f>IF(AND(B716='111'!$L$11,OR($N716=$Q$7,$O716=$Q$7)),"x","")</f>
        <v/>
      </c>
      <c r="R716" s="87" t="str">
        <f>IF(AND($N716=$Q$7,$B716&lt;'111'!$L$11),"x","")</f>
        <v/>
      </c>
      <c r="S716" s="87" t="str">
        <f>IF(AND($O716=$Q$7,$B716&lt;'111'!$L$11),"x","")</f>
        <v/>
      </c>
      <c r="T716" s="87" t="str">
        <f>IF(ISERROR(FIND('112'!$M$9,G716,1)),"",IF((AND(FIND('112'!$M$9,G716,1)&gt;=1,B716='112'!$K$9,OR($N716='112'!$I$6,$O716='112'!$I$6))),"x",""))</f>
        <v/>
      </c>
      <c r="U716" s="87" t="str">
        <f>IF(ISERROR(FIND('112'!$M$9,G716,1)),"",IF((AND(FIND('112'!$M$9,G716,1)&gt;=1,B716&lt;'112'!$K$9,$N716='112'!$I$6)),"x",""))</f>
        <v/>
      </c>
      <c r="V716" s="87" t="str">
        <f>IF(ISERROR(FIND('112'!$M$9,G716,1)),"",IF((AND(FIND('112'!$M$9,G716,1)&gt;=1,B716&lt;'112'!$K$9,$O716='112'!$I$6)),"x",""))</f>
        <v/>
      </c>
      <c r="W716" s="87" t="str">
        <f>IF(AND($B716&gt;='1331'!$I$9,$B716&lt;='1331'!$J$9,OR($N716=$W$7,$O716=$W$7)),"x","")</f>
        <v/>
      </c>
      <c r="X716" s="87" t="str">
        <f>IF(AND($N716=$W$7,$B716&lt;'1331'!$I$9),"x","")</f>
        <v/>
      </c>
      <c r="Y716" s="87" t="str">
        <f>IF(AND($O716=$W$7,$B716&lt;'1331'!$I$9),"x","")</f>
        <v/>
      </c>
      <c r="Z716" s="87" t="str">
        <f>IF(AND('341-CT'!$H$9=H716,OR(LEFT(N716,3)=$Z$7,LEFT(O716,3)=$Z$7)),"x","")</f>
        <v/>
      </c>
      <c r="AA716" s="87" t="str">
        <f>IF(OR(TH!N716=TH!$AA$7,O716=TH!$AA$7),"x","")</f>
        <v/>
      </c>
      <c r="AB716" s="87" t="str">
        <f>IF(AND(OR(N716="131",O716="131"),H716='131-CT'!$H$9),"x","")</f>
        <v/>
      </c>
      <c r="AC716" s="87"/>
      <c r="AD716" s="87" t="str">
        <f>IF(AND(MONTH(E716)='IN-NX'!$J$5,'IN-NX'!$D$7=D716),"x","")</f>
        <v/>
      </c>
      <c r="AE716" s="87" t="str">
        <f>IF(AND(OR(LEFT(TH!N716,2)="15",LEFT(TH!O716,2)="15"),'152-CT'!$J$8=TH!F716),"x","")</f>
        <v/>
      </c>
      <c r="AF716" s="87" t="str">
        <f>IF(AND(OR(LEFT(TH!N716,2)="15",LEFT(TH!O716,2)="15"),'THE KHO'!$E$7=TH!F716),"x","")</f>
        <v/>
      </c>
      <c r="AG716" s="87" t="str">
        <f>IF(AND(N716="1521",MONTH(C716)='BK NL'!$M$11),"x","")</f>
        <v/>
      </c>
    </row>
    <row r="717" spans="1:33" ht="15.75" customHeight="1">
      <c r="A717" s="399" t="str">
        <f>IF(B717&lt;&gt;"",IF(AND(B717&gt;=_TM1,B717&lt;=_TM2,OR(TH!N717="1111",TH!O717="1111")),TH!D717,""),"")</f>
        <v/>
      </c>
      <c r="B717" s="63" t="str">
        <f t="shared" si="16"/>
        <v/>
      </c>
      <c r="C717" s="363"/>
      <c r="D717" s="363"/>
      <c r="E717" s="363"/>
      <c r="F717" s="364"/>
      <c r="G717" s="391"/>
      <c r="H717" s="365"/>
      <c r="I717" s="518"/>
      <c r="J717" s="518"/>
      <c r="K717" s="509"/>
      <c r="L717" s="518"/>
      <c r="M717" s="65"/>
      <c r="N717" s="366"/>
      <c r="O717" s="366"/>
      <c r="P717" s="87" t="str">
        <f>IF(AND('331-CT'!$E$7=TH!H717,OR(N717="331",O717="331")),"x","")</f>
        <v/>
      </c>
      <c r="Q717" s="87" t="str">
        <f>IF(AND(B717='111'!$L$11,OR($N717=$Q$7,$O717=$Q$7)),"x","")</f>
        <v/>
      </c>
      <c r="R717" s="87" t="str">
        <f>IF(AND($N717=$Q$7,$B717&lt;'111'!$L$11),"x","")</f>
        <v/>
      </c>
      <c r="S717" s="87" t="str">
        <f>IF(AND($O717=$Q$7,$B717&lt;'111'!$L$11),"x","")</f>
        <v/>
      </c>
      <c r="T717" s="87" t="str">
        <f>IF(ISERROR(FIND('112'!$M$9,G717,1)),"",IF((AND(FIND('112'!$M$9,G717,1)&gt;=1,B717='112'!$K$9,OR($N717='112'!$I$6,$O717='112'!$I$6))),"x",""))</f>
        <v/>
      </c>
      <c r="U717" s="87" t="str">
        <f>IF(ISERROR(FIND('112'!$M$9,G717,1)),"",IF((AND(FIND('112'!$M$9,G717,1)&gt;=1,B717&lt;'112'!$K$9,$N717='112'!$I$6)),"x",""))</f>
        <v/>
      </c>
      <c r="V717" s="87" t="str">
        <f>IF(ISERROR(FIND('112'!$M$9,G717,1)),"",IF((AND(FIND('112'!$M$9,G717,1)&gt;=1,B717&lt;'112'!$K$9,$O717='112'!$I$6)),"x",""))</f>
        <v/>
      </c>
      <c r="W717" s="87" t="str">
        <f>IF(AND($B717&gt;='1331'!$I$9,$B717&lt;='1331'!$J$9,OR($N717=$W$7,$O717=$W$7)),"x","")</f>
        <v/>
      </c>
      <c r="X717" s="87" t="str">
        <f>IF(AND($N717=$W$7,$B717&lt;'1331'!$I$9),"x","")</f>
        <v/>
      </c>
      <c r="Y717" s="87" t="str">
        <f>IF(AND($O717=$W$7,$B717&lt;'1331'!$I$9),"x","")</f>
        <v/>
      </c>
      <c r="Z717" s="87" t="str">
        <f>IF(AND('341-CT'!$H$9=H717,OR(LEFT(N717,3)=$Z$7,LEFT(O717,3)=$Z$7)),"x","")</f>
        <v/>
      </c>
      <c r="AA717" s="87" t="str">
        <f>IF(OR(TH!N717=TH!$AA$7,O717=TH!$AA$7),"x","")</f>
        <v/>
      </c>
      <c r="AB717" s="87" t="str">
        <f>IF(AND(OR(N717="131",O717="131"),H717='131-CT'!$H$9),"x","")</f>
        <v/>
      </c>
      <c r="AC717" s="87"/>
      <c r="AD717" s="87" t="str">
        <f>IF(AND(MONTH(E717)='IN-NX'!$J$5,'IN-NX'!$D$7=D717),"x","")</f>
        <v/>
      </c>
      <c r="AE717" s="87" t="str">
        <f>IF(AND(OR(LEFT(TH!N717,2)="15",LEFT(TH!O717,2)="15"),'152-CT'!$J$8=TH!F717),"x","")</f>
        <v/>
      </c>
      <c r="AF717" s="87" t="str">
        <f>IF(AND(OR(LEFT(TH!N717,2)="15",LEFT(TH!O717,2)="15"),'THE KHO'!$E$7=TH!F717),"x","")</f>
        <v/>
      </c>
      <c r="AG717" s="87" t="str">
        <f>IF(AND(N717="1521",MONTH(C717)='BK NL'!$M$11),"x","")</f>
        <v/>
      </c>
    </row>
    <row r="718" spans="1:33" ht="15.75" customHeight="1">
      <c r="A718" s="399" t="str">
        <f>IF(B718&lt;&gt;"",IF(AND(B718&gt;=_TM1,B718&lt;=_TM2,OR(TH!N718="1111",TH!O718="1111")),TH!D718,""),"")</f>
        <v/>
      </c>
      <c r="B718" s="63" t="str">
        <f t="shared" si="16"/>
        <v/>
      </c>
      <c r="C718" s="363"/>
      <c r="D718" s="363"/>
      <c r="E718" s="363"/>
      <c r="F718" s="364"/>
      <c r="G718" s="391"/>
      <c r="H718" s="365"/>
      <c r="I718" s="518"/>
      <c r="J718" s="518"/>
      <c r="K718" s="509"/>
      <c r="L718" s="518"/>
      <c r="M718" s="65"/>
      <c r="N718" s="366"/>
      <c r="O718" s="366"/>
      <c r="P718" s="87" t="str">
        <f>IF(AND('331-CT'!$E$7=TH!H718,OR(N718="331",O718="331")),"x","")</f>
        <v/>
      </c>
      <c r="Q718" s="87" t="str">
        <f>IF(AND(B718='111'!$L$11,OR($N718=$Q$7,$O718=$Q$7)),"x","")</f>
        <v/>
      </c>
      <c r="R718" s="87" t="str">
        <f>IF(AND($N718=$Q$7,$B718&lt;'111'!$L$11),"x","")</f>
        <v/>
      </c>
      <c r="S718" s="87" t="str">
        <f>IF(AND($O718=$Q$7,$B718&lt;'111'!$L$11),"x","")</f>
        <v/>
      </c>
      <c r="T718" s="87" t="str">
        <f>IF(ISERROR(FIND('112'!$M$9,G718,1)),"",IF((AND(FIND('112'!$M$9,G718,1)&gt;=1,B718='112'!$K$9,OR($N718='112'!$I$6,$O718='112'!$I$6))),"x",""))</f>
        <v/>
      </c>
      <c r="U718" s="87" t="str">
        <f>IF(ISERROR(FIND('112'!$M$9,G718,1)),"",IF((AND(FIND('112'!$M$9,G718,1)&gt;=1,B718&lt;'112'!$K$9,$N718='112'!$I$6)),"x",""))</f>
        <v/>
      </c>
      <c r="V718" s="87" t="str">
        <f>IF(ISERROR(FIND('112'!$M$9,G718,1)),"",IF((AND(FIND('112'!$M$9,G718,1)&gt;=1,B718&lt;'112'!$K$9,$O718='112'!$I$6)),"x",""))</f>
        <v/>
      </c>
      <c r="W718" s="87" t="str">
        <f>IF(AND($B718&gt;='1331'!$I$9,$B718&lt;='1331'!$J$9,OR($N718=$W$7,$O718=$W$7)),"x","")</f>
        <v/>
      </c>
      <c r="X718" s="87" t="str">
        <f>IF(AND($N718=$W$7,$B718&lt;'1331'!$I$9),"x","")</f>
        <v/>
      </c>
      <c r="Y718" s="87" t="str">
        <f>IF(AND($O718=$W$7,$B718&lt;'1331'!$I$9),"x","")</f>
        <v/>
      </c>
      <c r="Z718" s="87" t="str">
        <f>IF(AND('341-CT'!$H$9=H718,OR(LEFT(N718,3)=$Z$7,LEFT(O718,3)=$Z$7)),"x","")</f>
        <v/>
      </c>
      <c r="AA718" s="87" t="str">
        <f>IF(OR(TH!N718=TH!$AA$7,O718=TH!$AA$7),"x","")</f>
        <v/>
      </c>
      <c r="AB718" s="87" t="str">
        <f>IF(AND(OR(N718="131",O718="131"),H718='131-CT'!$H$9),"x","")</f>
        <v/>
      </c>
      <c r="AC718" s="87"/>
      <c r="AD718" s="87" t="str">
        <f>IF(AND(MONTH(E718)='IN-NX'!$J$5,'IN-NX'!$D$7=D718),"x","")</f>
        <v/>
      </c>
      <c r="AE718" s="87" t="str">
        <f>IF(AND(OR(LEFT(TH!N718,2)="15",LEFT(TH!O718,2)="15"),'152-CT'!$J$8=TH!F718),"x","")</f>
        <v/>
      </c>
      <c r="AF718" s="87" t="str">
        <f>IF(AND(OR(LEFT(TH!N718,2)="15",LEFT(TH!O718,2)="15"),'THE KHO'!$E$7=TH!F718),"x","")</f>
        <v/>
      </c>
      <c r="AG718" s="87" t="str">
        <f>IF(AND(N718="1521",MONTH(C718)='BK NL'!$M$11),"x","")</f>
        <v/>
      </c>
    </row>
    <row r="719" spans="1:33" ht="15.75" customHeight="1">
      <c r="A719" s="399" t="str">
        <f>IF(B719&lt;&gt;"",IF(AND(B719&gt;=_TM1,B719&lt;=_TM2,OR(TH!N719="1111",TH!O719="1111")),TH!D719,""),"")</f>
        <v/>
      </c>
      <c r="B719" s="63" t="str">
        <f t="shared" si="16"/>
        <v/>
      </c>
      <c r="C719" s="363"/>
      <c r="D719" s="363"/>
      <c r="E719" s="363"/>
      <c r="F719" s="364"/>
      <c r="G719" s="391"/>
      <c r="H719" s="365"/>
      <c r="I719" s="518"/>
      <c r="J719" s="518"/>
      <c r="K719" s="509"/>
      <c r="L719" s="518"/>
      <c r="M719" s="65"/>
      <c r="N719" s="366"/>
      <c r="O719" s="366"/>
      <c r="P719" s="87" t="str">
        <f>IF(AND('331-CT'!$E$7=TH!H719,OR(N719="331",O719="331")),"x","")</f>
        <v/>
      </c>
      <c r="Q719" s="87" t="str">
        <f>IF(AND(B719='111'!$L$11,OR($N719=$Q$7,$O719=$Q$7)),"x","")</f>
        <v/>
      </c>
      <c r="R719" s="87" t="str">
        <f>IF(AND($N719=$Q$7,$B719&lt;'111'!$L$11),"x","")</f>
        <v/>
      </c>
      <c r="S719" s="87" t="str">
        <f>IF(AND($O719=$Q$7,$B719&lt;'111'!$L$11),"x","")</f>
        <v/>
      </c>
      <c r="T719" s="87" t="str">
        <f>IF(ISERROR(FIND('112'!$M$9,G719,1)),"",IF((AND(FIND('112'!$M$9,G719,1)&gt;=1,B719='112'!$K$9,OR($N719='112'!$I$6,$O719='112'!$I$6))),"x",""))</f>
        <v/>
      </c>
      <c r="U719" s="87" t="str">
        <f>IF(ISERROR(FIND('112'!$M$9,G719,1)),"",IF((AND(FIND('112'!$M$9,G719,1)&gt;=1,B719&lt;'112'!$K$9,$N719='112'!$I$6)),"x",""))</f>
        <v/>
      </c>
      <c r="V719" s="87" t="str">
        <f>IF(ISERROR(FIND('112'!$M$9,G719,1)),"",IF((AND(FIND('112'!$M$9,G719,1)&gt;=1,B719&lt;'112'!$K$9,$O719='112'!$I$6)),"x",""))</f>
        <v/>
      </c>
      <c r="W719" s="87" t="str">
        <f>IF(AND($B719&gt;='1331'!$I$9,$B719&lt;='1331'!$J$9,OR($N719=$W$7,$O719=$W$7)),"x","")</f>
        <v/>
      </c>
      <c r="X719" s="87" t="str">
        <f>IF(AND($N719=$W$7,$B719&lt;'1331'!$I$9),"x","")</f>
        <v/>
      </c>
      <c r="Y719" s="87" t="str">
        <f>IF(AND($O719=$W$7,$B719&lt;'1331'!$I$9),"x","")</f>
        <v/>
      </c>
      <c r="Z719" s="87" t="str">
        <f>IF(AND('341-CT'!$H$9=H719,OR(LEFT(N719,3)=$Z$7,LEFT(O719,3)=$Z$7)),"x","")</f>
        <v/>
      </c>
      <c r="AA719" s="87" t="str">
        <f>IF(OR(TH!N719=TH!$AA$7,O719=TH!$AA$7),"x","")</f>
        <v/>
      </c>
      <c r="AB719" s="87" t="str">
        <f>IF(AND(OR(N719="131",O719="131"),H719='131-CT'!$H$9),"x","")</f>
        <v/>
      </c>
      <c r="AC719" s="87"/>
      <c r="AD719" s="87" t="str">
        <f>IF(AND(MONTH(E719)='IN-NX'!$J$5,'IN-NX'!$D$7=D719),"x","")</f>
        <v/>
      </c>
      <c r="AE719" s="87" t="str">
        <f>IF(AND(OR(LEFT(TH!N719,2)="15",LEFT(TH!O719,2)="15"),'152-CT'!$J$8=TH!F719),"x","")</f>
        <v/>
      </c>
      <c r="AF719" s="87" t="str">
        <f>IF(AND(OR(LEFT(TH!N719,2)="15",LEFT(TH!O719,2)="15"),'THE KHO'!$E$7=TH!F719),"x","")</f>
        <v/>
      </c>
      <c r="AG719" s="87" t="str">
        <f>IF(AND(N719="1521",MONTH(C719)='BK NL'!$M$11),"x","")</f>
        <v/>
      </c>
    </row>
    <row r="720" spans="1:33" ht="15.75" customHeight="1">
      <c r="A720" s="399" t="str">
        <f>IF(B720&lt;&gt;"",IF(AND(B720&gt;=_TM1,B720&lt;=_TM2,OR(TH!N720="1111",TH!O720="1111")),TH!D720,""),"")</f>
        <v/>
      </c>
      <c r="B720" s="63" t="str">
        <f t="shared" si="16"/>
        <v/>
      </c>
      <c r="C720" s="363"/>
      <c r="D720" s="363"/>
      <c r="E720" s="363"/>
      <c r="F720" s="364"/>
      <c r="G720" s="391"/>
      <c r="H720" s="365"/>
      <c r="I720" s="518"/>
      <c r="J720" s="518"/>
      <c r="K720" s="509"/>
      <c r="L720" s="518"/>
      <c r="M720" s="65"/>
      <c r="N720" s="366"/>
      <c r="O720" s="366"/>
      <c r="P720" s="87" t="str">
        <f>IF(AND('331-CT'!$E$7=TH!H720,OR(N720="331",O720="331")),"x","")</f>
        <v/>
      </c>
      <c r="Q720" s="87" t="str">
        <f>IF(AND(B720='111'!$L$11,OR($N720=$Q$7,$O720=$Q$7)),"x","")</f>
        <v/>
      </c>
      <c r="R720" s="87" t="str">
        <f>IF(AND($N720=$Q$7,$B720&lt;'111'!$L$11),"x","")</f>
        <v/>
      </c>
      <c r="S720" s="87" t="str">
        <f>IF(AND($O720=$Q$7,$B720&lt;'111'!$L$11),"x","")</f>
        <v/>
      </c>
      <c r="T720" s="87" t="str">
        <f>IF(ISERROR(FIND('112'!$M$9,G720,1)),"",IF((AND(FIND('112'!$M$9,G720,1)&gt;=1,B720='112'!$K$9,OR($N720='112'!$I$6,$O720='112'!$I$6))),"x",""))</f>
        <v/>
      </c>
      <c r="U720" s="87" t="str">
        <f>IF(ISERROR(FIND('112'!$M$9,G720,1)),"",IF((AND(FIND('112'!$M$9,G720,1)&gt;=1,B720&lt;'112'!$K$9,$N720='112'!$I$6)),"x",""))</f>
        <v/>
      </c>
      <c r="V720" s="87" t="str">
        <f>IF(ISERROR(FIND('112'!$M$9,G720,1)),"",IF((AND(FIND('112'!$M$9,G720,1)&gt;=1,B720&lt;'112'!$K$9,$O720='112'!$I$6)),"x",""))</f>
        <v/>
      </c>
      <c r="W720" s="87" t="str">
        <f>IF(AND($B720&gt;='1331'!$I$9,$B720&lt;='1331'!$J$9,OR($N720=$W$7,$O720=$W$7)),"x","")</f>
        <v/>
      </c>
      <c r="X720" s="87" t="str">
        <f>IF(AND($N720=$W$7,$B720&lt;'1331'!$I$9),"x","")</f>
        <v/>
      </c>
      <c r="Y720" s="87" t="str">
        <f>IF(AND($O720=$W$7,$B720&lt;'1331'!$I$9),"x","")</f>
        <v/>
      </c>
      <c r="Z720" s="87" t="str">
        <f>IF(AND('341-CT'!$H$9=H720,OR(LEFT(N720,3)=$Z$7,LEFT(O720,3)=$Z$7)),"x","")</f>
        <v/>
      </c>
      <c r="AA720" s="87" t="str">
        <f>IF(OR(TH!N720=TH!$AA$7,O720=TH!$AA$7),"x","")</f>
        <v/>
      </c>
      <c r="AB720" s="87" t="str">
        <f>IF(AND(OR(N720="131",O720="131"),H720='131-CT'!$H$9),"x","")</f>
        <v/>
      </c>
      <c r="AC720" s="87"/>
      <c r="AD720" s="87" t="str">
        <f>IF(AND(MONTH(E720)='IN-NX'!$J$5,'IN-NX'!$D$7=D720),"x","")</f>
        <v/>
      </c>
      <c r="AE720" s="87" t="str">
        <f>IF(AND(OR(LEFT(TH!N720,2)="15",LEFT(TH!O720,2)="15"),'152-CT'!$J$8=TH!F720),"x","")</f>
        <v/>
      </c>
      <c r="AF720" s="87" t="str">
        <f>IF(AND(OR(LEFT(TH!N720,2)="15",LEFT(TH!O720,2)="15"),'THE KHO'!$E$7=TH!F720),"x","")</f>
        <v/>
      </c>
      <c r="AG720" s="87" t="str">
        <f>IF(AND(N720="1521",MONTH(C720)='BK NL'!$M$11),"x","")</f>
        <v/>
      </c>
    </row>
    <row r="721" spans="1:33" ht="15.75" customHeight="1">
      <c r="A721" s="399" t="str">
        <f>IF(B721&lt;&gt;"",IF(AND(B721&gt;=_TM1,B721&lt;=_TM2,OR(TH!N721="1111",TH!O721="1111")),TH!D721,""),"")</f>
        <v/>
      </c>
      <c r="B721" s="63" t="str">
        <f t="shared" si="16"/>
        <v/>
      </c>
      <c r="C721" s="363"/>
      <c r="D721" s="363"/>
      <c r="E721" s="363"/>
      <c r="F721" s="364"/>
      <c r="G721" s="391"/>
      <c r="H721" s="365"/>
      <c r="I721" s="518"/>
      <c r="J721" s="518"/>
      <c r="K721" s="509"/>
      <c r="L721" s="518"/>
      <c r="M721" s="65"/>
      <c r="N721" s="366"/>
      <c r="O721" s="366"/>
      <c r="P721" s="87" t="str">
        <f>IF(AND('331-CT'!$E$7=TH!H721,OR(N721="331",O721="331")),"x","")</f>
        <v/>
      </c>
      <c r="Q721" s="87" t="str">
        <f>IF(AND(B721='111'!$L$11,OR($N721=$Q$7,$O721=$Q$7)),"x","")</f>
        <v/>
      </c>
      <c r="R721" s="87" t="str">
        <f>IF(AND($N721=$Q$7,$B721&lt;'111'!$L$11),"x","")</f>
        <v/>
      </c>
      <c r="S721" s="87" t="str">
        <f>IF(AND($O721=$Q$7,$B721&lt;'111'!$L$11),"x","")</f>
        <v/>
      </c>
      <c r="T721" s="87" t="str">
        <f>IF(ISERROR(FIND('112'!$M$9,G721,1)),"",IF((AND(FIND('112'!$M$9,G721,1)&gt;=1,B721='112'!$K$9,OR($N721='112'!$I$6,$O721='112'!$I$6))),"x",""))</f>
        <v/>
      </c>
      <c r="U721" s="87" t="str">
        <f>IF(ISERROR(FIND('112'!$M$9,G721,1)),"",IF((AND(FIND('112'!$M$9,G721,1)&gt;=1,B721&lt;'112'!$K$9,$N721='112'!$I$6)),"x",""))</f>
        <v/>
      </c>
      <c r="V721" s="87" t="str">
        <f>IF(ISERROR(FIND('112'!$M$9,G721,1)),"",IF((AND(FIND('112'!$M$9,G721,1)&gt;=1,B721&lt;'112'!$K$9,$O721='112'!$I$6)),"x",""))</f>
        <v/>
      </c>
      <c r="W721" s="87" t="str">
        <f>IF(AND($B721&gt;='1331'!$I$9,$B721&lt;='1331'!$J$9,OR($N721=$W$7,$O721=$W$7)),"x","")</f>
        <v/>
      </c>
      <c r="X721" s="87" t="str">
        <f>IF(AND($N721=$W$7,$B721&lt;'1331'!$I$9),"x","")</f>
        <v/>
      </c>
      <c r="Y721" s="87" t="str">
        <f>IF(AND($O721=$W$7,$B721&lt;'1331'!$I$9),"x","")</f>
        <v/>
      </c>
      <c r="Z721" s="87" t="str">
        <f>IF(AND('341-CT'!$H$9=H721,OR(LEFT(N721,3)=$Z$7,LEFT(O721,3)=$Z$7)),"x","")</f>
        <v/>
      </c>
      <c r="AA721" s="87" t="str">
        <f>IF(OR(TH!N721=TH!$AA$7,O721=TH!$AA$7),"x","")</f>
        <v/>
      </c>
      <c r="AB721" s="87" t="str">
        <f>IF(AND(OR(N721="131",O721="131"),H721='131-CT'!$H$9),"x","")</f>
        <v/>
      </c>
      <c r="AC721" s="87"/>
      <c r="AD721" s="87" t="str">
        <f>IF(AND(MONTH(E721)='IN-NX'!$J$5,'IN-NX'!$D$7=D721),"x","")</f>
        <v/>
      </c>
      <c r="AE721" s="87" t="str">
        <f>IF(AND(OR(LEFT(TH!N721,2)="15",LEFT(TH!O721,2)="15"),'152-CT'!$J$8=TH!F721),"x","")</f>
        <v/>
      </c>
      <c r="AF721" s="87" t="str">
        <f>IF(AND(OR(LEFT(TH!N721,2)="15",LEFT(TH!O721,2)="15"),'THE KHO'!$E$7=TH!F721),"x","")</f>
        <v/>
      </c>
      <c r="AG721" s="87" t="str">
        <f>IF(AND(N721="1521",MONTH(C721)='BK NL'!$M$11),"x","")</f>
        <v/>
      </c>
    </row>
    <row r="722" spans="1:33" ht="15.75" customHeight="1">
      <c r="A722" s="399" t="str">
        <f>IF(B722&lt;&gt;"",IF(AND(B722&gt;=_TM1,B722&lt;=_TM2,OR(TH!N722="1111",TH!O722="1111")),TH!D722,""),"")</f>
        <v/>
      </c>
      <c r="B722" s="63" t="str">
        <f t="shared" si="16"/>
        <v/>
      </c>
      <c r="C722" s="363"/>
      <c r="D722" s="363"/>
      <c r="E722" s="363"/>
      <c r="F722" s="364"/>
      <c r="G722" s="391"/>
      <c r="H722" s="365"/>
      <c r="I722" s="518"/>
      <c r="J722" s="518"/>
      <c r="K722" s="509"/>
      <c r="L722" s="518"/>
      <c r="M722" s="65"/>
      <c r="N722" s="366"/>
      <c r="O722" s="366"/>
      <c r="P722" s="87" t="str">
        <f>IF(AND('331-CT'!$E$7=TH!H722,OR(N722="331",O722="331")),"x","")</f>
        <v/>
      </c>
      <c r="Q722" s="87" t="str">
        <f>IF(AND(B722='111'!$L$11,OR($N722=$Q$7,$O722=$Q$7)),"x","")</f>
        <v/>
      </c>
      <c r="R722" s="87" t="str">
        <f>IF(AND($N722=$Q$7,$B722&lt;'111'!$L$11),"x","")</f>
        <v/>
      </c>
      <c r="S722" s="87" t="str">
        <f>IF(AND($O722=$Q$7,$B722&lt;'111'!$L$11),"x","")</f>
        <v/>
      </c>
      <c r="T722" s="87" t="str">
        <f>IF(ISERROR(FIND('112'!$M$9,G722,1)),"",IF((AND(FIND('112'!$M$9,G722,1)&gt;=1,B722='112'!$K$9,OR($N722='112'!$I$6,$O722='112'!$I$6))),"x",""))</f>
        <v/>
      </c>
      <c r="U722" s="87" t="str">
        <f>IF(ISERROR(FIND('112'!$M$9,G722,1)),"",IF((AND(FIND('112'!$M$9,G722,1)&gt;=1,B722&lt;'112'!$K$9,$N722='112'!$I$6)),"x",""))</f>
        <v/>
      </c>
      <c r="V722" s="87" t="str">
        <f>IF(ISERROR(FIND('112'!$M$9,G722,1)),"",IF((AND(FIND('112'!$M$9,G722,1)&gt;=1,B722&lt;'112'!$K$9,$O722='112'!$I$6)),"x",""))</f>
        <v/>
      </c>
      <c r="W722" s="87" t="str">
        <f>IF(AND($B722&gt;='1331'!$I$9,$B722&lt;='1331'!$J$9,OR($N722=$W$7,$O722=$W$7)),"x","")</f>
        <v/>
      </c>
      <c r="X722" s="87" t="str">
        <f>IF(AND($N722=$W$7,$B722&lt;'1331'!$I$9),"x","")</f>
        <v/>
      </c>
      <c r="Y722" s="87" t="str">
        <f>IF(AND($O722=$W$7,$B722&lt;'1331'!$I$9),"x","")</f>
        <v/>
      </c>
      <c r="Z722" s="87" t="str">
        <f>IF(AND('341-CT'!$H$9=H722,OR(LEFT(N722,3)=$Z$7,LEFT(O722,3)=$Z$7)),"x","")</f>
        <v/>
      </c>
      <c r="AA722" s="87" t="str">
        <f>IF(OR(TH!N722=TH!$AA$7,O722=TH!$AA$7),"x","")</f>
        <v/>
      </c>
      <c r="AB722" s="87" t="str">
        <f>IF(AND(OR(N722="131",O722="131"),H722='131-CT'!$H$9),"x","")</f>
        <v/>
      </c>
      <c r="AC722" s="87"/>
      <c r="AD722" s="87" t="str">
        <f>IF(AND(MONTH(E722)='IN-NX'!$J$5,'IN-NX'!$D$7=D722),"x","")</f>
        <v/>
      </c>
      <c r="AE722" s="87" t="str">
        <f>IF(AND(OR(LEFT(TH!N722,2)="15",LEFT(TH!O722,2)="15"),'152-CT'!$J$8=TH!F722),"x","")</f>
        <v/>
      </c>
      <c r="AF722" s="87" t="str">
        <f>IF(AND(OR(LEFT(TH!N722,2)="15",LEFT(TH!O722,2)="15"),'THE KHO'!$E$7=TH!F722),"x","")</f>
        <v/>
      </c>
      <c r="AG722" s="87" t="str">
        <f>IF(AND(N722="1521",MONTH(C722)='BK NL'!$M$11),"x","")</f>
        <v/>
      </c>
    </row>
    <row r="723" spans="1:33" ht="15.75" customHeight="1">
      <c r="A723" s="399" t="str">
        <f>IF(B723&lt;&gt;"",IF(AND(B723&gt;=_TM1,B723&lt;=_TM2,OR(TH!N723="1111",TH!O723="1111")),TH!D723,""),"")</f>
        <v/>
      </c>
      <c r="B723" s="63" t="str">
        <f t="shared" si="16"/>
        <v/>
      </c>
      <c r="C723" s="363"/>
      <c r="D723" s="363"/>
      <c r="E723" s="363"/>
      <c r="F723" s="364"/>
      <c r="G723" s="391"/>
      <c r="H723" s="365"/>
      <c r="I723" s="518"/>
      <c r="J723" s="518"/>
      <c r="K723" s="509"/>
      <c r="L723" s="518"/>
      <c r="M723" s="65"/>
      <c r="N723" s="366"/>
      <c r="O723" s="366"/>
      <c r="P723" s="87" t="str">
        <f>IF(AND('331-CT'!$E$7=TH!H723,OR(N723="331",O723="331")),"x","")</f>
        <v/>
      </c>
      <c r="Q723" s="87" t="str">
        <f>IF(AND(B723='111'!$L$11,OR($N723=$Q$7,$O723=$Q$7)),"x","")</f>
        <v/>
      </c>
      <c r="R723" s="87" t="str">
        <f>IF(AND($N723=$Q$7,$B723&lt;'111'!$L$11),"x","")</f>
        <v/>
      </c>
      <c r="S723" s="87" t="str">
        <f>IF(AND($O723=$Q$7,$B723&lt;'111'!$L$11),"x","")</f>
        <v/>
      </c>
      <c r="T723" s="87" t="str">
        <f>IF(ISERROR(FIND('112'!$M$9,G723,1)),"",IF((AND(FIND('112'!$M$9,G723,1)&gt;=1,B723='112'!$K$9,OR($N723='112'!$I$6,$O723='112'!$I$6))),"x",""))</f>
        <v/>
      </c>
      <c r="U723" s="87" t="str">
        <f>IF(ISERROR(FIND('112'!$M$9,G723,1)),"",IF((AND(FIND('112'!$M$9,G723,1)&gt;=1,B723&lt;'112'!$K$9,$N723='112'!$I$6)),"x",""))</f>
        <v/>
      </c>
      <c r="V723" s="87" t="str">
        <f>IF(ISERROR(FIND('112'!$M$9,G723,1)),"",IF((AND(FIND('112'!$M$9,G723,1)&gt;=1,B723&lt;'112'!$K$9,$O723='112'!$I$6)),"x",""))</f>
        <v/>
      </c>
      <c r="W723" s="87" t="str">
        <f>IF(AND($B723&gt;='1331'!$I$9,$B723&lt;='1331'!$J$9,OR($N723=$W$7,$O723=$W$7)),"x","")</f>
        <v/>
      </c>
      <c r="X723" s="87" t="str">
        <f>IF(AND($N723=$W$7,$B723&lt;'1331'!$I$9),"x","")</f>
        <v/>
      </c>
      <c r="Y723" s="87" t="str">
        <f>IF(AND($O723=$W$7,$B723&lt;'1331'!$I$9),"x","")</f>
        <v/>
      </c>
      <c r="Z723" s="87" t="str">
        <f>IF(AND('341-CT'!$H$9=H723,OR(LEFT(N723,3)=$Z$7,LEFT(O723,3)=$Z$7)),"x","")</f>
        <v/>
      </c>
      <c r="AA723" s="87" t="str">
        <f>IF(OR(TH!N723=TH!$AA$7,O723=TH!$AA$7),"x","")</f>
        <v/>
      </c>
      <c r="AB723" s="87" t="str">
        <f>IF(AND(OR(N723="131",O723="131"),H723='131-CT'!$H$9),"x","")</f>
        <v/>
      </c>
      <c r="AC723" s="87"/>
      <c r="AD723" s="87" t="str">
        <f>IF(AND(MONTH(E723)='IN-NX'!$J$5,'IN-NX'!$D$7=D723),"x","")</f>
        <v/>
      </c>
      <c r="AE723" s="87" t="str">
        <f>IF(AND(OR(LEFT(TH!N723,2)="15",LEFT(TH!O723,2)="15"),'152-CT'!$J$8=TH!F723),"x","")</f>
        <v/>
      </c>
      <c r="AF723" s="87" t="str">
        <f>IF(AND(OR(LEFT(TH!N723,2)="15",LEFT(TH!O723,2)="15"),'THE KHO'!$E$7=TH!F723),"x","")</f>
        <v/>
      </c>
      <c r="AG723" s="87" t="str">
        <f>IF(AND(N723="1521",MONTH(C723)='BK NL'!$M$11),"x","")</f>
        <v/>
      </c>
    </row>
    <row r="724" spans="1:33" ht="15.75" customHeight="1">
      <c r="A724" s="399" t="str">
        <f>IF(B724&lt;&gt;"",IF(AND(B724&gt;=_TM1,B724&lt;=_TM2,OR(TH!N724="1111",TH!O724="1111")),TH!D724,""),"")</f>
        <v/>
      </c>
      <c r="B724" s="63" t="str">
        <f t="shared" si="16"/>
        <v/>
      </c>
      <c r="C724" s="64"/>
      <c r="D724" s="64"/>
      <c r="E724" s="64"/>
      <c r="F724" s="67"/>
      <c r="G724" s="376"/>
      <c r="H724" s="407"/>
      <c r="I724" s="520"/>
      <c r="J724" s="520"/>
      <c r="K724" s="511"/>
      <c r="L724" s="520"/>
      <c r="M724" s="65"/>
      <c r="N724" s="366"/>
      <c r="O724" s="66"/>
      <c r="P724" s="87" t="str">
        <f>IF(AND('331-CT'!$E$7=TH!H724,OR(N724="331",O724="331")),"x","")</f>
        <v/>
      </c>
      <c r="Q724" s="87" t="str">
        <f>IF(AND(B724='111'!$L$11,OR($N724=$Q$7,$O724=$Q$7)),"x","")</f>
        <v/>
      </c>
      <c r="R724" s="87" t="str">
        <f>IF(AND($N724=$Q$7,$B724&lt;'111'!$L$11),"x","")</f>
        <v/>
      </c>
      <c r="S724" s="87" t="str">
        <f>IF(AND($O724=$Q$7,$B724&lt;'111'!$L$11),"x","")</f>
        <v/>
      </c>
      <c r="T724" s="87" t="str">
        <f>IF(ISERROR(FIND('112'!$M$9,G724,1)),"",IF((AND(FIND('112'!$M$9,G724,1)&gt;=1,B724='112'!$K$9,OR($N724='112'!$I$6,$O724='112'!$I$6))),"x",""))</f>
        <v/>
      </c>
      <c r="U724" s="87" t="str">
        <f>IF(ISERROR(FIND('112'!$M$9,G724,1)),"",IF((AND(FIND('112'!$M$9,G724,1)&gt;=1,B724&lt;'112'!$K$9,$N724='112'!$I$6)),"x",""))</f>
        <v/>
      </c>
      <c r="V724" s="87" t="str">
        <f>IF(ISERROR(FIND('112'!$M$9,G724,1)),"",IF((AND(FIND('112'!$M$9,G724,1)&gt;=1,B724&lt;'112'!$K$9,$O724='112'!$I$6)),"x",""))</f>
        <v/>
      </c>
      <c r="W724" s="87" t="str">
        <f>IF(AND($B724&gt;='1331'!$I$9,$B724&lt;='1331'!$J$9,OR($N724=$W$7,$O724=$W$7)),"x","")</f>
        <v/>
      </c>
      <c r="X724" s="87" t="str">
        <f>IF(AND($N724=$W$7,$B724&lt;'1331'!$I$9),"x","")</f>
        <v/>
      </c>
      <c r="Y724" s="87" t="str">
        <f>IF(AND($O724=$W$7,$B724&lt;'1331'!$I$9),"x","")</f>
        <v/>
      </c>
      <c r="Z724" s="87" t="str">
        <f>IF(AND('341-CT'!$H$9=H724,OR(LEFT(N724,3)=$Z$7,LEFT(O724,3)=$Z$7)),"x","")</f>
        <v/>
      </c>
      <c r="AA724" s="87" t="str">
        <f>IF(OR(TH!N724=TH!$AA$7,O724=TH!$AA$7),"x","")</f>
        <v/>
      </c>
      <c r="AB724" s="87" t="str">
        <f>IF(AND(OR(N724="131",O724="131"),H724='131-CT'!$H$9),"x","")</f>
        <v/>
      </c>
      <c r="AC724" s="87"/>
      <c r="AD724" s="87" t="str">
        <f>IF(AND(MONTH(E724)='IN-NX'!$J$5,'IN-NX'!$D$7=D724),"x","")</f>
        <v/>
      </c>
      <c r="AE724" s="87" t="str">
        <f>IF(AND(OR(LEFT(TH!N724,2)="15",LEFT(TH!O724,2)="15"),'152-CT'!$J$8=TH!F724),"x","")</f>
        <v/>
      </c>
      <c r="AF724" s="87" t="str">
        <f>IF(AND(OR(LEFT(TH!N724,2)="15",LEFT(TH!O724,2)="15"),'THE KHO'!$E$7=TH!F724),"x","")</f>
        <v/>
      </c>
      <c r="AG724" s="87" t="str">
        <f>IF(AND(N724="1521",MONTH(C724)='BK NL'!$M$11),"x","")</f>
        <v/>
      </c>
    </row>
    <row r="725" spans="1:33" ht="15.75" customHeight="1">
      <c r="A725" s="399" t="str">
        <f>IF(B725&lt;&gt;"",IF(AND(B725&gt;=_TM1,B725&lt;=_TM2,OR(TH!N725="1111",TH!O725="1111")),TH!D725,""),"")</f>
        <v/>
      </c>
      <c r="B725" s="63" t="str">
        <f t="shared" si="16"/>
        <v/>
      </c>
      <c r="C725" s="64"/>
      <c r="D725" s="64"/>
      <c r="E725" s="64"/>
      <c r="F725" s="67"/>
      <c r="G725" s="376"/>
      <c r="H725" s="407"/>
      <c r="I725" s="520"/>
      <c r="J725" s="520"/>
      <c r="K725" s="511"/>
      <c r="L725" s="520"/>
      <c r="M725" s="65"/>
      <c r="N725" s="366"/>
      <c r="O725" s="66"/>
      <c r="P725" s="87" t="str">
        <f>IF(AND('331-CT'!$E$7=TH!H725,OR(N725="331",O725="331")),"x","")</f>
        <v/>
      </c>
      <c r="Q725" s="87" t="str">
        <f>IF(AND(B725='111'!$L$11,OR($N725=$Q$7,$O725=$Q$7)),"x","")</f>
        <v/>
      </c>
      <c r="R725" s="87" t="str">
        <f>IF(AND($N725=$Q$7,$B725&lt;'111'!$L$11),"x","")</f>
        <v/>
      </c>
      <c r="S725" s="87" t="str">
        <f>IF(AND($O725=$Q$7,$B725&lt;'111'!$L$11),"x","")</f>
        <v/>
      </c>
      <c r="T725" s="87" t="str">
        <f>IF(ISERROR(FIND('112'!$M$9,G725,1)),"",IF((AND(FIND('112'!$M$9,G725,1)&gt;=1,B725='112'!$K$9,OR($N725='112'!$I$6,$O725='112'!$I$6))),"x",""))</f>
        <v/>
      </c>
      <c r="U725" s="87" t="str">
        <f>IF(ISERROR(FIND('112'!$M$9,G725,1)),"",IF((AND(FIND('112'!$M$9,G725,1)&gt;=1,B725&lt;'112'!$K$9,$N725='112'!$I$6)),"x",""))</f>
        <v/>
      </c>
      <c r="V725" s="87" t="str">
        <f>IF(ISERROR(FIND('112'!$M$9,G725,1)),"",IF((AND(FIND('112'!$M$9,G725,1)&gt;=1,B725&lt;'112'!$K$9,$O725='112'!$I$6)),"x",""))</f>
        <v/>
      </c>
      <c r="W725" s="87" t="str">
        <f>IF(AND($B725&gt;='1331'!$I$9,$B725&lt;='1331'!$J$9,OR($N725=$W$7,$O725=$W$7)),"x","")</f>
        <v/>
      </c>
      <c r="X725" s="87" t="str">
        <f>IF(AND($N725=$W$7,$B725&lt;'1331'!$I$9),"x","")</f>
        <v/>
      </c>
      <c r="Y725" s="87" t="str">
        <f>IF(AND($O725=$W$7,$B725&lt;'1331'!$I$9),"x","")</f>
        <v/>
      </c>
      <c r="Z725" s="87" t="str">
        <f>IF(AND('341-CT'!$H$9=H725,OR(LEFT(N725,3)=$Z$7,LEFT(O725,3)=$Z$7)),"x","")</f>
        <v/>
      </c>
      <c r="AA725" s="87" t="str">
        <f>IF(OR(TH!N725=TH!$AA$7,O725=TH!$AA$7),"x","")</f>
        <v/>
      </c>
      <c r="AB725" s="87" t="str">
        <f>IF(AND(OR(N725="131",O725="131"),H725='131-CT'!$H$9),"x","")</f>
        <v/>
      </c>
      <c r="AC725" s="87"/>
      <c r="AD725" s="87" t="str">
        <f>IF(AND(MONTH(E725)='IN-NX'!$J$5,'IN-NX'!$D$7=D725),"x","")</f>
        <v/>
      </c>
      <c r="AE725" s="87" t="str">
        <f>IF(AND(OR(LEFT(TH!N725,2)="15",LEFT(TH!O725,2)="15"),'152-CT'!$J$8=TH!F725),"x","")</f>
        <v/>
      </c>
      <c r="AF725" s="87" t="str">
        <f>IF(AND(OR(LEFT(TH!N725,2)="15",LEFT(TH!O725,2)="15"),'THE KHO'!$E$7=TH!F725),"x","")</f>
        <v/>
      </c>
      <c r="AG725" s="87" t="str">
        <f>IF(AND(N725="1521",MONTH(C725)='BK NL'!$M$11),"x","")</f>
        <v/>
      </c>
    </row>
    <row r="726" spans="1:33" ht="15.75" customHeight="1">
      <c r="A726" s="399" t="str">
        <f>IF(B726&lt;&gt;"",IF(AND(B726&gt;=_TM1,B726&lt;=_TM2,OR(TH!N726="1111",TH!O726="1111")),TH!D726,""),"")</f>
        <v/>
      </c>
      <c r="B726" s="63" t="str">
        <f t="shared" si="16"/>
        <v/>
      </c>
      <c r="C726" s="363"/>
      <c r="D726" s="363"/>
      <c r="E726" s="363"/>
      <c r="F726" s="364"/>
      <c r="G726" s="391"/>
      <c r="H726" s="365"/>
      <c r="I726" s="518"/>
      <c r="J726" s="518"/>
      <c r="K726" s="509"/>
      <c r="L726" s="518"/>
      <c r="M726" s="65"/>
      <c r="N726" s="366"/>
      <c r="O726" s="366"/>
      <c r="P726" s="87" t="str">
        <f>IF(AND('331-CT'!$E$7=TH!H726,OR(N726="331",O726="331")),"x","")</f>
        <v/>
      </c>
      <c r="Q726" s="87" t="str">
        <f>IF(AND(B726='111'!$L$11,OR($N726=$Q$7,$O726=$Q$7)),"x","")</f>
        <v/>
      </c>
      <c r="R726" s="87" t="str">
        <f>IF(AND($N726=$Q$7,$B726&lt;'111'!$L$11),"x","")</f>
        <v/>
      </c>
      <c r="S726" s="87" t="str">
        <f>IF(AND($O726=$Q$7,$B726&lt;'111'!$L$11),"x","")</f>
        <v/>
      </c>
      <c r="T726" s="87" t="str">
        <f>IF(ISERROR(FIND('112'!$M$9,G726,1)),"",IF((AND(FIND('112'!$M$9,G726,1)&gt;=1,B726='112'!$K$9,OR($N726='112'!$I$6,$O726='112'!$I$6))),"x",""))</f>
        <v/>
      </c>
      <c r="U726" s="87" t="str">
        <f>IF(ISERROR(FIND('112'!$M$9,G726,1)),"",IF((AND(FIND('112'!$M$9,G726,1)&gt;=1,B726&lt;'112'!$K$9,$N726='112'!$I$6)),"x",""))</f>
        <v/>
      </c>
      <c r="V726" s="87" t="str">
        <f>IF(ISERROR(FIND('112'!$M$9,G726,1)),"",IF((AND(FIND('112'!$M$9,G726,1)&gt;=1,B726&lt;'112'!$K$9,$O726='112'!$I$6)),"x",""))</f>
        <v/>
      </c>
      <c r="W726" s="87" t="str">
        <f>IF(AND($B726&gt;='1331'!$I$9,$B726&lt;='1331'!$J$9,OR($N726=$W$7,$O726=$W$7)),"x","")</f>
        <v/>
      </c>
      <c r="X726" s="87" t="str">
        <f>IF(AND($N726=$W$7,$B726&lt;'1331'!$I$9),"x","")</f>
        <v/>
      </c>
      <c r="Y726" s="87" t="str">
        <f>IF(AND($O726=$W$7,$B726&lt;'1331'!$I$9),"x","")</f>
        <v/>
      </c>
      <c r="Z726" s="87" t="str">
        <f>IF(AND('341-CT'!$H$9=H726,OR(LEFT(N726,3)=$Z$7,LEFT(O726,3)=$Z$7)),"x","")</f>
        <v/>
      </c>
      <c r="AA726" s="87" t="str">
        <f>IF(OR(TH!N726=TH!$AA$7,O726=TH!$AA$7),"x","")</f>
        <v/>
      </c>
      <c r="AB726" s="87" t="str">
        <f>IF(AND(OR(N726="131",O726="131"),H726='131-CT'!$H$9),"x","")</f>
        <v/>
      </c>
      <c r="AC726" s="87"/>
      <c r="AD726" s="87" t="str">
        <f>IF(AND(MONTH(E726)='IN-NX'!$J$5,'IN-NX'!$D$7=D726),"x","")</f>
        <v/>
      </c>
      <c r="AE726" s="87" t="str">
        <f>IF(AND(OR(LEFT(TH!N726,2)="15",LEFT(TH!O726,2)="15"),'152-CT'!$J$8=TH!F726),"x","")</f>
        <v/>
      </c>
      <c r="AF726" s="87" t="str">
        <f>IF(AND(OR(LEFT(TH!N726,2)="15",LEFT(TH!O726,2)="15"),'THE KHO'!$E$7=TH!F726),"x","")</f>
        <v/>
      </c>
      <c r="AG726" s="87" t="str">
        <f>IF(AND(N726="1521",MONTH(C726)='BK NL'!$M$11),"x","")</f>
        <v/>
      </c>
    </row>
    <row r="727" spans="1:33" ht="15.75" customHeight="1">
      <c r="A727" s="399" t="str">
        <f>IF(B727&lt;&gt;"",IF(AND(B727&gt;=_TM1,B727&lt;=_TM2,OR(TH!N727="1111",TH!O727="1111")),TH!D727,""),"")</f>
        <v/>
      </c>
      <c r="B727" s="63" t="str">
        <f t="shared" si="16"/>
        <v/>
      </c>
      <c r="C727" s="363"/>
      <c r="D727" s="363"/>
      <c r="E727" s="363"/>
      <c r="F727" s="364"/>
      <c r="G727" s="391"/>
      <c r="H727" s="365"/>
      <c r="I727" s="518"/>
      <c r="J727" s="518"/>
      <c r="K727" s="509"/>
      <c r="L727" s="518"/>
      <c r="M727" s="65"/>
      <c r="N727" s="366"/>
      <c r="O727" s="366"/>
      <c r="P727" s="87" t="str">
        <f>IF(AND('331-CT'!$E$7=TH!H727,OR(N727="331",O727="331")),"x","")</f>
        <v/>
      </c>
      <c r="Q727" s="87" t="str">
        <f>IF(AND(B727='111'!$L$11,OR($N727=$Q$7,$O727=$Q$7)),"x","")</f>
        <v/>
      </c>
      <c r="R727" s="87" t="str">
        <f>IF(AND($N727=$Q$7,$B727&lt;'111'!$L$11),"x","")</f>
        <v/>
      </c>
      <c r="S727" s="87" t="str">
        <f>IF(AND($O727=$Q$7,$B727&lt;'111'!$L$11),"x","")</f>
        <v/>
      </c>
      <c r="T727" s="87" t="str">
        <f>IF(ISERROR(FIND('112'!$M$9,G727,1)),"",IF((AND(FIND('112'!$M$9,G727,1)&gt;=1,B727='112'!$K$9,OR($N727='112'!$I$6,$O727='112'!$I$6))),"x",""))</f>
        <v/>
      </c>
      <c r="U727" s="87" t="str">
        <f>IF(ISERROR(FIND('112'!$M$9,G727,1)),"",IF((AND(FIND('112'!$M$9,G727,1)&gt;=1,B727&lt;'112'!$K$9,$N727='112'!$I$6)),"x",""))</f>
        <v/>
      </c>
      <c r="V727" s="87" t="str">
        <f>IF(ISERROR(FIND('112'!$M$9,G727,1)),"",IF((AND(FIND('112'!$M$9,G727,1)&gt;=1,B727&lt;'112'!$K$9,$O727='112'!$I$6)),"x",""))</f>
        <v/>
      </c>
      <c r="W727" s="87" t="str">
        <f>IF(AND($B727&gt;='1331'!$I$9,$B727&lt;='1331'!$J$9,OR($N727=$W$7,$O727=$W$7)),"x","")</f>
        <v/>
      </c>
      <c r="X727" s="87" t="str">
        <f>IF(AND($N727=$W$7,$B727&lt;'1331'!$I$9),"x","")</f>
        <v/>
      </c>
      <c r="Y727" s="87" t="str">
        <f>IF(AND($O727=$W$7,$B727&lt;'1331'!$I$9),"x","")</f>
        <v/>
      </c>
      <c r="Z727" s="87" t="str">
        <f>IF(AND('341-CT'!$H$9=H727,OR(LEFT(N727,3)=$Z$7,LEFT(O727,3)=$Z$7)),"x","")</f>
        <v/>
      </c>
      <c r="AA727" s="87" t="str">
        <f>IF(OR(TH!N727=TH!$AA$7,O727=TH!$AA$7),"x","")</f>
        <v/>
      </c>
      <c r="AB727" s="87" t="str">
        <f>IF(AND(OR(N727="131",O727="131"),H727='131-CT'!$H$9),"x","")</f>
        <v/>
      </c>
      <c r="AC727" s="87"/>
      <c r="AD727" s="87" t="str">
        <f>IF(AND(MONTH(E727)='IN-NX'!$J$5,'IN-NX'!$D$7=D727),"x","")</f>
        <v/>
      </c>
      <c r="AE727" s="87" t="str">
        <f>IF(AND(OR(LEFT(TH!N727,2)="15",LEFT(TH!O727,2)="15"),'152-CT'!$J$8=TH!F727),"x","")</f>
        <v/>
      </c>
      <c r="AF727" s="87" t="str">
        <f>IF(AND(OR(LEFT(TH!N727,2)="15",LEFT(TH!O727,2)="15"),'THE KHO'!$E$7=TH!F727),"x","")</f>
        <v/>
      </c>
      <c r="AG727" s="87" t="str">
        <f>IF(AND(N727="1521",MONTH(C727)='BK NL'!$M$11),"x","")</f>
        <v/>
      </c>
    </row>
    <row r="728" spans="1:33" ht="15.75" customHeight="1">
      <c r="A728" s="399" t="str">
        <f>IF(B728&lt;&gt;"",IF(AND(B728&gt;=_TM1,B728&lt;=_TM2,OR(TH!N728="1111",TH!O728="1111")),TH!D728,""),"")</f>
        <v/>
      </c>
      <c r="B728" s="63" t="str">
        <f t="shared" si="16"/>
        <v/>
      </c>
      <c r="C728" s="363"/>
      <c r="D728" s="363"/>
      <c r="E728" s="363"/>
      <c r="F728" s="364"/>
      <c r="G728" s="391"/>
      <c r="H728" s="365"/>
      <c r="I728" s="518"/>
      <c r="J728" s="518"/>
      <c r="K728" s="509"/>
      <c r="L728" s="518"/>
      <c r="M728" s="65"/>
      <c r="N728" s="366"/>
      <c r="O728" s="366"/>
      <c r="P728" s="87" t="str">
        <f>IF(AND('331-CT'!$E$7=TH!H728,OR(N728="331",O728="331")),"x","")</f>
        <v/>
      </c>
      <c r="Q728" s="87" t="str">
        <f>IF(AND(B728='111'!$L$11,OR($N728=$Q$7,$O728=$Q$7)),"x","")</f>
        <v/>
      </c>
      <c r="R728" s="87" t="str">
        <f>IF(AND($N728=$Q$7,$B728&lt;'111'!$L$11),"x","")</f>
        <v/>
      </c>
      <c r="S728" s="87" t="str">
        <f>IF(AND($O728=$Q$7,$B728&lt;'111'!$L$11),"x","")</f>
        <v/>
      </c>
      <c r="T728" s="87" t="str">
        <f>IF(ISERROR(FIND('112'!$M$9,G728,1)),"",IF((AND(FIND('112'!$M$9,G728,1)&gt;=1,B728='112'!$K$9,OR($N728='112'!$I$6,$O728='112'!$I$6))),"x",""))</f>
        <v/>
      </c>
      <c r="U728" s="87" t="str">
        <f>IF(ISERROR(FIND('112'!$M$9,G728,1)),"",IF((AND(FIND('112'!$M$9,G728,1)&gt;=1,B728&lt;'112'!$K$9,$N728='112'!$I$6)),"x",""))</f>
        <v/>
      </c>
      <c r="V728" s="87" t="str">
        <f>IF(ISERROR(FIND('112'!$M$9,G728,1)),"",IF((AND(FIND('112'!$M$9,G728,1)&gt;=1,B728&lt;'112'!$K$9,$O728='112'!$I$6)),"x",""))</f>
        <v/>
      </c>
      <c r="W728" s="87" t="str">
        <f>IF(AND($B728&gt;='1331'!$I$9,$B728&lt;='1331'!$J$9,OR($N728=$W$7,$O728=$W$7)),"x","")</f>
        <v/>
      </c>
      <c r="X728" s="87" t="str">
        <f>IF(AND($N728=$W$7,$B728&lt;'1331'!$I$9),"x","")</f>
        <v/>
      </c>
      <c r="Y728" s="87" t="str">
        <f>IF(AND($O728=$W$7,$B728&lt;'1331'!$I$9),"x","")</f>
        <v/>
      </c>
      <c r="Z728" s="87" t="str">
        <f>IF(AND('341-CT'!$H$9=H728,OR(LEFT(N728,3)=$Z$7,LEFT(O728,3)=$Z$7)),"x","")</f>
        <v/>
      </c>
      <c r="AA728" s="87" t="str">
        <f>IF(OR(TH!N728=TH!$AA$7,O728=TH!$AA$7),"x","")</f>
        <v/>
      </c>
      <c r="AB728" s="87" t="str">
        <f>IF(AND(OR(N728="131",O728="131"),H728='131-CT'!$H$9),"x","")</f>
        <v/>
      </c>
      <c r="AC728" s="87"/>
      <c r="AD728" s="87" t="str">
        <f>IF(AND(MONTH(E728)='IN-NX'!$J$5,'IN-NX'!$D$7=D728),"x","")</f>
        <v/>
      </c>
      <c r="AE728" s="87" t="str">
        <f>IF(AND(OR(LEFT(TH!N728,2)="15",LEFT(TH!O728,2)="15"),'152-CT'!$J$8=TH!F728),"x","")</f>
        <v/>
      </c>
      <c r="AF728" s="87" t="str">
        <f>IF(AND(OR(LEFT(TH!N728,2)="15",LEFT(TH!O728,2)="15"),'THE KHO'!$E$7=TH!F728),"x","")</f>
        <v/>
      </c>
      <c r="AG728" s="87" t="str">
        <f>IF(AND(N728="1521",MONTH(C728)='BK NL'!$M$11),"x","")</f>
        <v/>
      </c>
    </row>
    <row r="729" spans="1:33" ht="15.75" customHeight="1">
      <c r="A729" s="399" t="str">
        <f>IF(B729&lt;&gt;"",IF(AND(B729&gt;=_TM1,B729&lt;=_TM2,OR(TH!N729="1111",TH!O729="1111")),TH!D729,""),"")</f>
        <v/>
      </c>
      <c r="B729" s="63" t="str">
        <f t="shared" si="16"/>
        <v/>
      </c>
      <c r="C729" s="363"/>
      <c r="D729" s="363"/>
      <c r="E729" s="363"/>
      <c r="F729" s="364"/>
      <c r="G729" s="391"/>
      <c r="H729" s="365"/>
      <c r="I729" s="518"/>
      <c r="J729" s="518"/>
      <c r="K729" s="509"/>
      <c r="L729" s="518"/>
      <c r="M729" s="65"/>
      <c r="N729" s="366"/>
      <c r="O729" s="366"/>
      <c r="P729" s="87" t="str">
        <f>IF(AND('331-CT'!$E$7=TH!H729,OR(N729="331",O729="331")),"x","")</f>
        <v/>
      </c>
      <c r="Q729" s="87" t="str">
        <f>IF(AND(B729='111'!$L$11,OR($N729=$Q$7,$O729=$Q$7)),"x","")</f>
        <v/>
      </c>
      <c r="R729" s="87" t="str">
        <f>IF(AND($N729=$Q$7,$B729&lt;'111'!$L$11),"x","")</f>
        <v/>
      </c>
      <c r="S729" s="87" t="str">
        <f>IF(AND($O729=$Q$7,$B729&lt;'111'!$L$11),"x","")</f>
        <v/>
      </c>
      <c r="T729" s="87" t="str">
        <f>IF(ISERROR(FIND('112'!$M$9,G729,1)),"",IF((AND(FIND('112'!$M$9,G729,1)&gt;=1,B729='112'!$K$9,OR($N729='112'!$I$6,$O729='112'!$I$6))),"x",""))</f>
        <v/>
      </c>
      <c r="U729" s="87" t="str">
        <f>IF(ISERROR(FIND('112'!$M$9,G729,1)),"",IF((AND(FIND('112'!$M$9,G729,1)&gt;=1,B729&lt;'112'!$K$9,$N729='112'!$I$6)),"x",""))</f>
        <v/>
      </c>
      <c r="V729" s="87" t="str">
        <f>IF(ISERROR(FIND('112'!$M$9,G729,1)),"",IF((AND(FIND('112'!$M$9,G729,1)&gt;=1,B729&lt;'112'!$K$9,$O729='112'!$I$6)),"x",""))</f>
        <v/>
      </c>
      <c r="W729" s="87" t="str">
        <f>IF(AND($B729&gt;='1331'!$I$9,$B729&lt;='1331'!$J$9,OR($N729=$W$7,$O729=$W$7)),"x","")</f>
        <v/>
      </c>
      <c r="X729" s="87" t="str">
        <f>IF(AND($N729=$W$7,$B729&lt;'1331'!$I$9),"x","")</f>
        <v/>
      </c>
      <c r="Y729" s="87" t="str">
        <f>IF(AND($O729=$W$7,$B729&lt;'1331'!$I$9),"x","")</f>
        <v/>
      </c>
      <c r="Z729" s="87" t="str">
        <f>IF(AND('341-CT'!$H$9=H729,OR(LEFT(N729,3)=$Z$7,LEFT(O729,3)=$Z$7)),"x","")</f>
        <v/>
      </c>
      <c r="AA729" s="87" t="str">
        <f>IF(OR(TH!N729=TH!$AA$7,O729=TH!$AA$7),"x","")</f>
        <v/>
      </c>
      <c r="AB729" s="87" t="str">
        <f>IF(AND(OR(N729="131",O729="131"),H729='131-CT'!$H$9),"x","")</f>
        <v/>
      </c>
      <c r="AC729" s="87"/>
      <c r="AD729" s="87" t="str">
        <f>IF(AND(MONTH(E729)='IN-NX'!$J$5,'IN-NX'!$D$7=D729),"x","")</f>
        <v/>
      </c>
      <c r="AE729" s="87" t="str">
        <f>IF(AND(OR(LEFT(TH!N729,2)="15",LEFT(TH!O729,2)="15"),'152-CT'!$J$8=TH!F729),"x","")</f>
        <v/>
      </c>
      <c r="AF729" s="87" t="str">
        <f>IF(AND(OR(LEFT(TH!N729,2)="15",LEFT(TH!O729,2)="15"),'THE KHO'!$E$7=TH!F729),"x","")</f>
        <v/>
      </c>
      <c r="AG729" s="87" t="str">
        <f>IF(AND(N729="1521",MONTH(C729)='BK NL'!$M$11),"x","")</f>
        <v/>
      </c>
    </row>
    <row r="730" spans="1:33" ht="15.75" customHeight="1">
      <c r="A730" s="399" t="str">
        <f>IF(B730&lt;&gt;"",IF(AND(B730&gt;=_TM1,B730&lt;=_TM2,OR(TH!N730="1111",TH!O730="1111")),TH!D730,""),"")</f>
        <v/>
      </c>
      <c r="B730" s="63" t="str">
        <f t="shared" si="16"/>
        <v/>
      </c>
      <c r="C730" s="363"/>
      <c r="D730" s="363"/>
      <c r="E730" s="363"/>
      <c r="F730" s="364"/>
      <c r="G730" s="391"/>
      <c r="H730" s="365"/>
      <c r="I730" s="518"/>
      <c r="J730" s="518"/>
      <c r="K730" s="509"/>
      <c r="L730" s="518"/>
      <c r="M730" s="65"/>
      <c r="N730" s="366"/>
      <c r="O730" s="366"/>
      <c r="P730" s="87" t="str">
        <f>IF(AND('331-CT'!$E$7=TH!H730,OR(N730="331",O730="331")),"x","")</f>
        <v/>
      </c>
      <c r="Q730" s="87" t="str">
        <f>IF(AND(B730='111'!$L$11,OR($N730=$Q$7,$O730=$Q$7)),"x","")</f>
        <v/>
      </c>
      <c r="R730" s="87" t="str">
        <f>IF(AND($N730=$Q$7,$B730&lt;'111'!$L$11),"x","")</f>
        <v/>
      </c>
      <c r="S730" s="87" t="str">
        <f>IF(AND($O730=$Q$7,$B730&lt;'111'!$L$11),"x","")</f>
        <v/>
      </c>
      <c r="T730" s="87" t="str">
        <f>IF(ISERROR(FIND('112'!$M$9,G730,1)),"",IF((AND(FIND('112'!$M$9,G730,1)&gt;=1,B730='112'!$K$9,OR($N730='112'!$I$6,$O730='112'!$I$6))),"x",""))</f>
        <v/>
      </c>
      <c r="U730" s="87" t="str">
        <f>IF(ISERROR(FIND('112'!$M$9,G730,1)),"",IF((AND(FIND('112'!$M$9,G730,1)&gt;=1,B730&lt;'112'!$K$9,$N730='112'!$I$6)),"x",""))</f>
        <v/>
      </c>
      <c r="V730" s="87" t="str">
        <f>IF(ISERROR(FIND('112'!$M$9,G730,1)),"",IF((AND(FIND('112'!$M$9,G730,1)&gt;=1,B730&lt;'112'!$K$9,$O730='112'!$I$6)),"x",""))</f>
        <v/>
      </c>
      <c r="W730" s="87" t="str">
        <f>IF(AND($B730&gt;='1331'!$I$9,$B730&lt;='1331'!$J$9,OR($N730=$W$7,$O730=$W$7)),"x","")</f>
        <v/>
      </c>
      <c r="X730" s="87" t="str">
        <f>IF(AND($N730=$W$7,$B730&lt;'1331'!$I$9),"x","")</f>
        <v/>
      </c>
      <c r="Y730" s="87" t="str">
        <f>IF(AND($O730=$W$7,$B730&lt;'1331'!$I$9),"x","")</f>
        <v/>
      </c>
      <c r="Z730" s="87" t="str">
        <f>IF(AND('341-CT'!$H$9=H730,OR(LEFT(N730,3)=$Z$7,LEFT(O730,3)=$Z$7)),"x","")</f>
        <v/>
      </c>
      <c r="AA730" s="87" t="str">
        <f>IF(OR(TH!N730=TH!$AA$7,O730=TH!$AA$7),"x","")</f>
        <v/>
      </c>
      <c r="AB730" s="87" t="str">
        <f>IF(AND(OR(N730="131",O730="131"),H730='131-CT'!$H$9),"x","")</f>
        <v/>
      </c>
      <c r="AC730" s="87"/>
      <c r="AD730" s="87" t="str">
        <f>IF(AND(MONTH(E730)='IN-NX'!$J$5,'IN-NX'!$D$7=D730),"x","")</f>
        <v/>
      </c>
      <c r="AE730" s="87" t="str">
        <f>IF(AND(OR(LEFT(TH!N730,2)="15",LEFT(TH!O730,2)="15"),'152-CT'!$J$8=TH!F730),"x","")</f>
        <v/>
      </c>
      <c r="AF730" s="87" t="str">
        <f>IF(AND(OR(LEFT(TH!N730,2)="15",LEFT(TH!O730,2)="15"),'THE KHO'!$E$7=TH!F730),"x","")</f>
        <v/>
      </c>
      <c r="AG730" s="87" t="str">
        <f>IF(AND(N730="1521",MONTH(C730)='BK NL'!$M$11),"x","")</f>
        <v/>
      </c>
    </row>
    <row r="731" spans="1:33" ht="15.75" customHeight="1">
      <c r="A731" s="399" t="str">
        <f>IF(B731&lt;&gt;"",IF(AND(B731&gt;=_TM1,B731&lt;=_TM2,OR(TH!N731="1111",TH!O731="1111")),TH!D731,""),"")</f>
        <v/>
      </c>
      <c r="B731" s="63" t="str">
        <f t="shared" si="16"/>
        <v/>
      </c>
      <c r="C731" s="363"/>
      <c r="D731" s="363"/>
      <c r="E731" s="363"/>
      <c r="F731" s="364"/>
      <c r="G731" s="391"/>
      <c r="H731" s="365"/>
      <c r="I731" s="518"/>
      <c r="J731" s="518"/>
      <c r="K731" s="509"/>
      <c r="L731" s="518"/>
      <c r="M731" s="65"/>
      <c r="N731" s="366"/>
      <c r="O731" s="366"/>
      <c r="P731" s="87" t="str">
        <f>IF(AND('331-CT'!$E$7=TH!H731,OR(N731="331",O731="331")),"x","")</f>
        <v/>
      </c>
      <c r="Q731" s="87" t="str">
        <f>IF(AND(B731='111'!$L$11,OR($N731=$Q$7,$O731=$Q$7)),"x","")</f>
        <v/>
      </c>
      <c r="R731" s="87" t="str">
        <f>IF(AND($N731=$Q$7,$B731&lt;'111'!$L$11),"x","")</f>
        <v/>
      </c>
      <c r="S731" s="87" t="str">
        <f>IF(AND($O731=$Q$7,$B731&lt;'111'!$L$11),"x","")</f>
        <v/>
      </c>
      <c r="T731" s="87" t="str">
        <f>IF(ISERROR(FIND('112'!$M$9,G731,1)),"",IF((AND(FIND('112'!$M$9,G731,1)&gt;=1,B731='112'!$K$9,OR($N731='112'!$I$6,$O731='112'!$I$6))),"x",""))</f>
        <v/>
      </c>
      <c r="U731" s="87" t="str">
        <f>IF(ISERROR(FIND('112'!$M$9,G731,1)),"",IF((AND(FIND('112'!$M$9,G731,1)&gt;=1,B731&lt;'112'!$K$9,$N731='112'!$I$6)),"x",""))</f>
        <v/>
      </c>
      <c r="V731" s="87" t="str">
        <f>IF(ISERROR(FIND('112'!$M$9,G731,1)),"",IF((AND(FIND('112'!$M$9,G731,1)&gt;=1,B731&lt;'112'!$K$9,$O731='112'!$I$6)),"x",""))</f>
        <v/>
      </c>
      <c r="W731" s="87" t="str">
        <f>IF(AND($B731&gt;='1331'!$I$9,$B731&lt;='1331'!$J$9,OR($N731=$W$7,$O731=$W$7)),"x","")</f>
        <v/>
      </c>
      <c r="X731" s="87" t="str">
        <f>IF(AND($N731=$W$7,$B731&lt;'1331'!$I$9),"x","")</f>
        <v/>
      </c>
      <c r="Y731" s="87" t="str">
        <f>IF(AND($O731=$W$7,$B731&lt;'1331'!$I$9),"x","")</f>
        <v/>
      </c>
      <c r="Z731" s="87" t="str">
        <f>IF(AND('341-CT'!$H$9=H731,OR(LEFT(N731,3)=$Z$7,LEFT(O731,3)=$Z$7)),"x","")</f>
        <v/>
      </c>
      <c r="AA731" s="87" t="str">
        <f>IF(OR(TH!N731=TH!$AA$7,O731=TH!$AA$7),"x","")</f>
        <v/>
      </c>
      <c r="AB731" s="87" t="str">
        <f>IF(AND(OR(N731="131",O731="131"),H731='131-CT'!$H$9),"x","")</f>
        <v/>
      </c>
      <c r="AC731" s="87"/>
      <c r="AD731" s="87" t="str">
        <f>IF(AND(MONTH(E731)='IN-NX'!$J$5,'IN-NX'!$D$7=D731),"x","")</f>
        <v/>
      </c>
      <c r="AE731" s="87" t="str">
        <f>IF(AND(OR(LEFT(TH!N731,2)="15",LEFT(TH!O731,2)="15"),'152-CT'!$J$8=TH!F731),"x","")</f>
        <v/>
      </c>
      <c r="AF731" s="87" t="str">
        <f>IF(AND(OR(LEFT(TH!N731,2)="15",LEFT(TH!O731,2)="15"),'THE KHO'!$E$7=TH!F731),"x","")</f>
        <v/>
      </c>
      <c r="AG731" s="87" t="str">
        <f>IF(AND(N731="1521",MONTH(C731)='BK NL'!$M$11),"x","")</f>
        <v/>
      </c>
    </row>
    <row r="732" spans="1:33" ht="15.75" customHeight="1">
      <c r="A732" s="399" t="str">
        <f>IF(B732&lt;&gt;"",IF(AND(B732&gt;=_TM1,B732&lt;=_TM2,OR(TH!N732="1111",TH!O732="1111")),TH!D732,""),"")</f>
        <v/>
      </c>
      <c r="B732" s="63" t="str">
        <f t="shared" si="16"/>
        <v/>
      </c>
      <c r="C732" s="363"/>
      <c r="D732" s="363"/>
      <c r="E732" s="363"/>
      <c r="F732" s="364"/>
      <c r="G732" s="391"/>
      <c r="H732" s="365"/>
      <c r="I732" s="518"/>
      <c r="J732" s="518"/>
      <c r="K732" s="509"/>
      <c r="L732" s="518"/>
      <c r="M732" s="65"/>
      <c r="N732" s="366"/>
      <c r="O732" s="366"/>
      <c r="P732" s="87" t="str">
        <f>IF(AND('331-CT'!$E$7=TH!H732,OR(N732="331",O732="331")),"x","")</f>
        <v/>
      </c>
      <c r="Q732" s="87" t="str">
        <f>IF(AND(B732='111'!$L$11,OR($N732=$Q$7,$O732=$Q$7)),"x","")</f>
        <v/>
      </c>
      <c r="R732" s="87" t="str">
        <f>IF(AND($N732=$Q$7,$B732&lt;'111'!$L$11),"x","")</f>
        <v/>
      </c>
      <c r="S732" s="87" t="str">
        <f>IF(AND($O732=$Q$7,$B732&lt;'111'!$L$11),"x","")</f>
        <v/>
      </c>
      <c r="T732" s="87" t="str">
        <f>IF(ISERROR(FIND('112'!$M$9,G732,1)),"",IF((AND(FIND('112'!$M$9,G732,1)&gt;=1,B732='112'!$K$9,OR($N732='112'!$I$6,$O732='112'!$I$6))),"x",""))</f>
        <v/>
      </c>
      <c r="U732" s="87" t="str">
        <f>IF(ISERROR(FIND('112'!$M$9,G732,1)),"",IF((AND(FIND('112'!$M$9,G732,1)&gt;=1,B732&lt;'112'!$K$9,$N732='112'!$I$6)),"x",""))</f>
        <v/>
      </c>
      <c r="V732" s="87" t="str">
        <f>IF(ISERROR(FIND('112'!$M$9,G732,1)),"",IF((AND(FIND('112'!$M$9,G732,1)&gt;=1,B732&lt;'112'!$K$9,$O732='112'!$I$6)),"x",""))</f>
        <v/>
      </c>
      <c r="W732" s="87" t="str">
        <f>IF(AND($B732&gt;='1331'!$I$9,$B732&lt;='1331'!$J$9,OR($N732=$W$7,$O732=$W$7)),"x","")</f>
        <v/>
      </c>
      <c r="X732" s="87" t="str">
        <f>IF(AND($N732=$W$7,$B732&lt;'1331'!$I$9),"x","")</f>
        <v/>
      </c>
      <c r="Y732" s="87" t="str">
        <f>IF(AND($O732=$W$7,$B732&lt;'1331'!$I$9),"x","")</f>
        <v/>
      </c>
      <c r="Z732" s="87" t="str">
        <f>IF(AND('341-CT'!$H$9=H732,OR(LEFT(N732,3)=$Z$7,LEFT(O732,3)=$Z$7)),"x","")</f>
        <v/>
      </c>
      <c r="AA732" s="87" t="str">
        <f>IF(OR(TH!N732=TH!$AA$7,O732=TH!$AA$7),"x","")</f>
        <v/>
      </c>
      <c r="AB732" s="87" t="str">
        <f>IF(AND(OR(N732="131",O732="131"),H732='131-CT'!$H$9),"x","")</f>
        <v/>
      </c>
      <c r="AC732" s="87"/>
      <c r="AD732" s="87" t="str">
        <f>IF(AND(MONTH(E732)='IN-NX'!$J$5,'IN-NX'!$D$7=D732),"x","")</f>
        <v/>
      </c>
      <c r="AE732" s="87" t="str">
        <f>IF(AND(OR(LEFT(TH!N732,2)="15",LEFT(TH!O732,2)="15"),'152-CT'!$J$8=TH!F732),"x","")</f>
        <v/>
      </c>
      <c r="AF732" s="87" t="str">
        <f>IF(AND(OR(LEFT(TH!N732,2)="15",LEFT(TH!O732,2)="15"),'THE KHO'!$E$7=TH!F732),"x","")</f>
        <v/>
      </c>
      <c r="AG732" s="87" t="str">
        <f>IF(AND(N732="1521",MONTH(C732)='BK NL'!$M$11),"x","")</f>
        <v/>
      </c>
    </row>
    <row r="733" spans="1:33" ht="15.75" customHeight="1">
      <c r="A733" s="399" t="str">
        <f>IF(B733&lt;&gt;"",IF(AND(B733&gt;=_TM1,B733&lt;=_TM2,OR(TH!N733="1111",TH!O733="1111")),TH!D733,""),"")</f>
        <v/>
      </c>
      <c r="B733" s="63" t="str">
        <f t="shared" si="16"/>
        <v/>
      </c>
      <c r="C733" s="363"/>
      <c r="D733" s="363"/>
      <c r="E733" s="363"/>
      <c r="F733" s="364"/>
      <c r="G733" s="391"/>
      <c r="H733" s="365"/>
      <c r="I733" s="518"/>
      <c r="J733" s="518"/>
      <c r="K733" s="509"/>
      <c r="L733" s="518"/>
      <c r="M733" s="65"/>
      <c r="N733" s="366"/>
      <c r="O733" s="366"/>
      <c r="P733" s="87" t="str">
        <f>IF(AND('331-CT'!$E$7=TH!H733,OR(N733="331",O733="331")),"x","")</f>
        <v/>
      </c>
      <c r="Q733" s="87" t="str">
        <f>IF(AND(B733='111'!$L$11,OR($N733=$Q$7,$O733=$Q$7)),"x","")</f>
        <v/>
      </c>
      <c r="R733" s="87" t="str">
        <f>IF(AND($N733=$Q$7,$B733&lt;'111'!$L$11),"x","")</f>
        <v/>
      </c>
      <c r="S733" s="87" t="str">
        <f>IF(AND($O733=$Q$7,$B733&lt;'111'!$L$11),"x","")</f>
        <v/>
      </c>
      <c r="T733" s="87" t="str">
        <f>IF(ISERROR(FIND('112'!$M$9,G733,1)),"",IF((AND(FIND('112'!$M$9,G733,1)&gt;=1,B733='112'!$K$9,OR($N733='112'!$I$6,$O733='112'!$I$6))),"x",""))</f>
        <v/>
      </c>
      <c r="U733" s="87" t="str">
        <f>IF(ISERROR(FIND('112'!$M$9,G733,1)),"",IF((AND(FIND('112'!$M$9,G733,1)&gt;=1,B733&lt;'112'!$K$9,$N733='112'!$I$6)),"x",""))</f>
        <v/>
      </c>
      <c r="V733" s="87" t="str">
        <f>IF(ISERROR(FIND('112'!$M$9,G733,1)),"",IF((AND(FIND('112'!$M$9,G733,1)&gt;=1,B733&lt;'112'!$K$9,$O733='112'!$I$6)),"x",""))</f>
        <v/>
      </c>
      <c r="W733" s="87" t="str">
        <f>IF(AND($B733&gt;='1331'!$I$9,$B733&lt;='1331'!$J$9,OR($N733=$W$7,$O733=$W$7)),"x","")</f>
        <v/>
      </c>
      <c r="X733" s="87" t="str">
        <f>IF(AND($N733=$W$7,$B733&lt;'1331'!$I$9),"x","")</f>
        <v/>
      </c>
      <c r="Y733" s="87" t="str">
        <f>IF(AND($O733=$W$7,$B733&lt;'1331'!$I$9),"x","")</f>
        <v/>
      </c>
      <c r="Z733" s="87" t="str">
        <f>IF(AND('341-CT'!$H$9=H733,OR(LEFT(N733,3)=$Z$7,LEFT(O733,3)=$Z$7)),"x","")</f>
        <v/>
      </c>
      <c r="AA733" s="87" t="str">
        <f>IF(OR(TH!N733=TH!$AA$7,O733=TH!$AA$7),"x","")</f>
        <v/>
      </c>
      <c r="AB733" s="87" t="str">
        <f>IF(AND(OR(N733="131",O733="131"),H733='131-CT'!$H$9),"x","")</f>
        <v/>
      </c>
      <c r="AC733" s="87"/>
      <c r="AD733" s="87" t="str">
        <f>IF(AND(MONTH(E733)='IN-NX'!$J$5,'IN-NX'!$D$7=D733),"x","")</f>
        <v/>
      </c>
      <c r="AE733" s="87" t="str">
        <f>IF(AND(OR(LEFT(TH!N733,2)="15",LEFT(TH!O733,2)="15"),'152-CT'!$J$8=TH!F733),"x","")</f>
        <v/>
      </c>
      <c r="AF733" s="87" t="str">
        <f>IF(AND(OR(LEFT(TH!N733,2)="15",LEFT(TH!O733,2)="15"),'THE KHO'!$E$7=TH!F733),"x","")</f>
        <v/>
      </c>
      <c r="AG733" s="87" t="str">
        <f>IF(AND(N733="1521",MONTH(C733)='BK NL'!$M$11),"x","")</f>
        <v/>
      </c>
    </row>
    <row r="734" spans="1:33" ht="15.75" customHeight="1">
      <c r="A734" s="399" t="str">
        <f>IF(B734&lt;&gt;"",IF(AND(B734&gt;=_TM1,B734&lt;=_TM2,OR(TH!N734="1111",TH!O734="1111")),TH!D734,""),"")</f>
        <v/>
      </c>
      <c r="B734" s="63" t="str">
        <f t="shared" si="16"/>
        <v/>
      </c>
      <c r="C734" s="363"/>
      <c r="D734" s="363"/>
      <c r="E734" s="363"/>
      <c r="F734" s="364"/>
      <c r="G734" s="391"/>
      <c r="H734" s="365"/>
      <c r="I734" s="518"/>
      <c r="J734" s="518"/>
      <c r="K734" s="509"/>
      <c r="L734" s="518"/>
      <c r="M734" s="65"/>
      <c r="N734" s="366"/>
      <c r="O734" s="366"/>
      <c r="P734" s="87" t="str">
        <f>IF(AND('331-CT'!$E$7=TH!H734,OR(N734="331",O734="331")),"x","")</f>
        <v/>
      </c>
      <c r="Q734" s="87" t="str">
        <f>IF(AND(B734='111'!$L$11,OR($N734=$Q$7,$O734=$Q$7)),"x","")</f>
        <v/>
      </c>
      <c r="R734" s="87" t="str">
        <f>IF(AND($N734=$Q$7,$B734&lt;'111'!$L$11),"x","")</f>
        <v/>
      </c>
      <c r="S734" s="87" t="str">
        <f>IF(AND($O734=$Q$7,$B734&lt;'111'!$L$11),"x","")</f>
        <v/>
      </c>
      <c r="T734" s="87" t="str">
        <f>IF(ISERROR(FIND('112'!$M$9,G734,1)),"",IF((AND(FIND('112'!$M$9,G734,1)&gt;=1,B734='112'!$K$9,OR($N734='112'!$I$6,$O734='112'!$I$6))),"x",""))</f>
        <v/>
      </c>
      <c r="U734" s="87" t="str">
        <f>IF(ISERROR(FIND('112'!$M$9,G734,1)),"",IF((AND(FIND('112'!$M$9,G734,1)&gt;=1,B734&lt;'112'!$K$9,$N734='112'!$I$6)),"x",""))</f>
        <v/>
      </c>
      <c r="V734" s="87" t="str">
        <f>IF(ISERROR(FIND('112'!$M$9,G734,1)),"",IF((AND(FIND('112'!$M$9,G734,1)&gt;=1,B734&lt;'112'!$K$9,$O734='112'!$I$6)),"x",""))</f>
        <v/>
      </c>
      <c r="W734" s="87" t="str">
        <f>IF(AND($B734&gt;='1331'!$I$9,$B734&lt;='1331'!$J$9,OR($N734=$W$7,$O734=$W$7)),"x","")</f>
        <v/>
      </c>
      <c r="X734" s="87" t="str">
        <f>IF(AND($N734=$W$7,$B734&lt;'1331'!$I$9),"x","")</f>
        <v/>
      </c>
      <c r="Y734" s="87" t="str">
        <f>IF(AND($O734=$W$7,$B734&lt;'1331'!$I$9),"x","")</f>
        <v/>
      </c>
      <c r="Z734" s="87" t="str">
        <f>IF(AND('341-CT'!$H$9=H734,OR(LEFT(N734,3)=$Z$7,LEFT(O734,3)=$Z$7)),"x","")</f>
        <v/>
      </c>
      <c r="AA734" s="87" t="str">
        <f>IF(OR(TH!N734=TH!$AA$7,O734=TH!$AA$7),"x","")</f>
        <v/>
      </c>
      <c r="AB734" s="87" t="str">
        <f>IF(AND(OR(N734="131",O734="131"),H734='131-CT'!$H$9),"x","")</f>
        <v/>
      </c>
      <c r="AC734" s="87"/>
      <c r="AD734" s="87" t="str">
        <f>IF(AND(MONTH(E734)='IN-NX'!$J$5,'IN-NX'!$D$7=D734),"x","")</f>
        <v/>
      </c>
      <c r="AE734" s="87" t="str">
        <f>IF(AND(OR(LEFT(TH!N734,2)="15",LEFT(TH!O734,2)="15"),'152-CT'!$J$8=TH!F734),"x","")</f>
        <v/>
      </c>
      <c r="AF734" s="87" t="str">
        <f>IF(AND(OR(LEFT(TH!N734,2)="15",LEFT(TH!O734,2)="15"),'THE KHO'!$E$7=TH!F734),"x","")</f>
        <v/>
      </c>
      <c r="AG734" s="87" t="str">
        <f>IF(AND(N734="1521",MONTH(C734)='BK NL'!$M$11),"x","")</f>
        <v/>
      </c>
    </row>
    <row r="735" spans="1:33" ht="15.75" customHeight="1">
      <c r="A735" s="399" t="str">
        <f>IF(B735&lt;&gt;"",IF(AND(B735&gt;=_TM1,B735&lt;=_TM2,OR(TH!N735="1111",TH!O735="1111")),TH!D735,""),"")</f>
        <v/>
      </c>
      <c r="B735" s="63" t="str">
        <f t="shared" si="16"/>
        <v/>
      </c>
      <c r="C735" s="64"/>
      <c r="D735" s="64"/>
      <c r="E735" s="64"/>
      <c r="F735" s="67"/>
      <c r="G735" s="376"/>
      <c r="H735" s="367"/>
      <c r="I735" s="516"/>
      <c r="J735" s="516"/>
      <c r="K735" s="507"/>
      <c r="L735" s="516"/>
      <c r="M735" s="65"/>
      <c r="N735" s="366"/>
      <c r="O735" s="66"/>
      <c r="P735" s="87" t="str">
        <f>IF(AND('331-CT'!$E$7=TH!H735,OR(N735="331",O735="331")),"x","")</f>
        <v/>
      </c>
      <c r="Q735" s="87" t="str">
        <f>IF(AND(B735='111'!$L$11,OR($N735=$Q$7,$O735=$Q$7)),"x","")</f>
        <v/>
      </c>
      <c r="R735" s="87" t="str">
        <f>IF(AND($N735=$Q$7,$B735&lt;'111'!$L$11),"x","")</f>
        <v/>
      </c>
      <c r="S735" s="87" t="str">
        <f>IF(AND($O735=$Q$7,$B735&lt;'111'!$L$11),"x","")</f>
        <v/>
      </c>
      <c r="T735" s="87" t="str">
        <f>IF(ISERROR(FIND('112'!$M$9,G735,1)),"",IF((AND(FIND('112'!$M$9,G735,1)&gt;=1,B735='112'!$K$9,OR($N735='112'!$I$6,$O735='112'!$I$6))),"x",""))</f>
        <v/>
      </c>
      <c r="U735" s="87" t="str">
        <f>IF(ISERROR(FIND('112'!$M$9,G735,1)),"",IF((AND(FIND('112'!$M$9,G735,1)&gt;=1,B735&lt;'112'!$K$9,$N735='112'!$I$6)),"x",""))</f>
        <v/>
      </c>
      <c r="V735" s="87" t="str">
        <f>IF(ISERROR(FIND('112'!$M$9,G735,1)),"",IF((AND(FIND('112'!$M$9,G735,1)&gt;=1,B735&lt;'112'!$K$9,$O735='112'!$I$6)),"x",""))</f>
        <v/>
      </c>
      <c r="W735" s="87" t="str">
        <f>IF(AND($B735&gt;='1331'!$I$9,$B735&lt;='1331'!$J$9,OR($N735=$W$7,$O735=$W$7)),"x","")</f>
        <v/>
      </c>
      <c r="X735" s="87" t="str">
        <f>IF(AND($N735=$W$7,$B735&lt;'1331'!$I$9),"x","")</f>
        <v/>
      </c>
      <c r="Y735" s="87" t="str">
        <f>IF(AND($O735=$W$7,$B735&lt;'1331'!$I$9),"x","")</f>
        <v/>
      </c>
      <c r="Z735" s="87" t="str">
        <f>IF(AND('341-CT'!$H$9=H735,OR(LEFT(N735,3)=$Z$7,LEFT(O735,3)=$Z$7)),"x","")</f>
        <v/>
      </c>
      <c r="AA735" s="87" t="str">
        <f>IF(OR(TH!N735=TH!$AA$7,O735=TH!$AA$7),"x","")</f>
        <v/>
      </c>
      <c r="AB735" s="87" t="str">
        <f>IF(AND(OR(N735="131",O735="131"),H735='131-CT'!$H$9),"x","")</f>
        <v/>
      </c>
      <c r="AC735" s="87"/>
      <c r="AD735" s="87" t="str">
        <f>IF(AND(MONTH(E735)='IN-NX'!$J$5,'IN-NX'!$D$7=D735),"x","")</f>
        <v/>
      </c>
      <c r="AE735" s="87" t="str">
        <f>IF(AND(OR(LEFT(TH!N735,2)="15",LEFT(TH!O735,2)="15"),'152-CT'!$J$8=TH!F735),"x","")</f>
        <v/>
      </c>
      <c r="AF735" s="87" t="str">
        <f>IF(AND(OR(LEFT(TH!N735,2)="15",LEFT(TH!O735,2)="15"),'THE KHO'!$E$7=TH!F735),"x","")</f>
        <v/>
      </c>
      <c r="AG735" s="87" t="str">
        <f>IF(AND(N735="1521",MONTH(C735)='BK NL'!$M$11),"x","")</f>
        <v/>
      </c>
    </row>
    <row r="736" spans="1:33" ht="15.75" customHeight="1">
      <c r="A736" s="399" t="str">
        <f>IF(B736&lt;&gt;"",IF(AND(B736&gt;=_TM1,B736&lt;=_TM2,OR(TH!N736="1111",TH!O736="1111")),TH!D736,""),"")</f>
        <v/>
      </c>
      <c r="B736" s="63" t="str">
        <f t="shared" si="16"/>
        <v/>
      </c>
      <c r="C736" s="64"/>
      <c r="D736" s="64"/>
      <c r="E736" s="64"/>
      <c r="F736" s="67"/>
      <c r="G736" s="376"/>
      <c r="H736" s="367"/>
      <c r="I736" s="516"/>
      <c r="J736" s="516"/>
      <c r="K736" s="507"/>
      <c r="L736" s="516"/>
      <c r="M736" s="65"/>
      <c r="N736" s="366"/>
      <c r="O736" s="66"/>
      <c r="P736" s="87" t="str">
        <f>IF(AND('331-CT'!$E$7=TH!H736,OR(N736="331",O736="331")),"x","")</f>
        <v/>
      </c>
      <c r="Q736" s="87" t="str">
        <f>IF(AND(B736='111'!$L$11,OR($N736=$Q$7,$O736=$Q$7)),"x","")</f>
        <v/>
      </c>
      <c r="R736" s="87" t="str">
        <f>IF(AND($N736=$Q$7,$B736&lt;'111'!$L$11),"x","")</f>
        <v/>
      </c>
      <c r="S736" s="87" t="str">
        <f>IF(AND($O736=$Q$7,$B736&lt;'111'!$L$11),"x","")</f>
        <v/>
      </c>
      <c r="T736" s="87" t="str">
        <f>IF(ISERROR(FIND('112'!$M$9,G736,1)),"",IF((AND(FIND('112'!$M$9,G736,1)&gt;=1,B736='112'!$K$9,OR($N736='112'!$I$6,$O736='112'!$I$6))),"x",""))</f>
        <v/>
      </c>
      <c r="U736" s="87" t="str">
        <f>IF(ISERROR(FIND('112'!$M$9,G736,1)),"",IF((AND(FIND('112'!$M$9,G736,1)&gt;=1,B736&lt;'112'!$K$9,$N736='112'!$I$6)),"x",""))</f>
        <v/>
      </c>
      <c r="V736" s="87" t="str">
        <f>IF(ISERROR(FIND('112'!$M$9,G736,1)),"",IF((AND(FIND('112'!$M$9,G736,1)&gt;=1,B736&lt;'112'!$K$9,$O736='112'!$I$6)),"x",""))</f>
        <v/>
      </c>
      <c r="W736" s="87" t="str">
        <f>IF(AND($B736&gt;='1331'!$I$9,$B736&lt;='1331'!$J$9,OR($N736=$W$7,$O736=$W$7)),"x","")</f>
        <v/>
      </c>
      <c r="X736" s="87" t="str">
        <f>IF(AND($N736=$W$7,$B736&lt;'1331'!$I$9),"x","")</f>
        <v/>
      </c>
      <c r="Y736" s="87" t="str">
        <f>IF(AND($O736=$W$7,$B736&lt;'1331'!$I$9),"x","")</f>
        <v/>
      </c>
      <c r="Z736" s="87" t="str">
        <f>IF(AND('341-CT'!$H$9=H736,OR(LEFT(N736,3)=$Z$7,LEFT(O736,3)=$Z$7)),"x","")</f>
        <v/>
      </c>
      <c r="AA736" s="87" t="str">
        <f>IF(OR(TH!N736=TH!$AA$7,O736=TH!$AA$7),"x","")</f>
        <v/>
      </c>
      <c r="AB736" s="87" t="str">
        <f>IF(AND(OR(N736="131",O736="131"),H736='131-CT'!$H$9),"x","")</f>
        <v/>
      </c>
      <c r="AC736" s="87"/>
      <c r="AD736" s="87" t="str">
        <f>IF(AND(MONTH(E736)='IN-NX'!$J$5,'IN-NX'!$D$7=D736),"x","")</f>
        <v/>
      </c>
      <c r="AE736" s="87" t="str">
        <f>IF(AND(OR(LEFT(TH!N736,2)="15",LEFT(TH!O736,2)="15"),'152-CT'!$J$8=TH!F736),"x","")</f>
        <v/>
      </c>
      <c r="AF736" s="87" t="str">
        <f>IF(AND(OR(LEFT(TH!N736,2)="15",LEFT(TH!O736,2)="15"),'THE KHO'!$E$7=TH!F736),"x","")</f>
        <v/>
      </c>
      <c r="AG736" s="87" t="str">
        <f>IF(AND(N736="1521",MONTH(C736)='BK NL'!$M$11),"x","")</f>
        <v/>
      </c>
    </row>
    <row r="737" spans="1:33" ht="15.75" customHeight="1">
      <c r="A737" s="399" t="str">
        <f>IF(B737&lt;&gt;"",IF(AND(B737&gt;=_TM1,B737&lt;=_TM2,OR(TH!N737="1111",TH!O737="1111")),TH!D737,""),"")</f>
        <v/>
      </c>
      <c r="B737" s="63" t="str">
        <f t="shared" si="16"/>
        <v/>
      </c>
      <c r="C737" s="64"/>
      <c r="D737" s="64"/>
      <c r="E737" s="64"/>
      <c r="F737" s="67"/>
      <c r="G737" s="376"/>
      <c r="H737" s="365"/>
      <c r="I737" s="518"/>
      <c r="J737" s="518"/>
      <c r="K737" s="509"/>
      <c r="L737" s="518"/>
      <c r="M737" s="65"/>
      <c r="N737" s="66"/>
      <c r="O737" s="66"/>
      <c r="P737" s="87" t="str">
        <f>IF(AND('331-CT'!$E$7=TH!H737,OR(N737="331",O737="331")),"x","")</f>
        <v/>
      </c>
      <c r="Q737" s="87" t="str">
        <f>IF(AND(B737='111'!$L$11,OR($N737=$Q$7,$O737=$Q$7)),"x","")</f>
        <v/>
      </c>
      <c r="R737" s="87" t="str">
        <f>IF(AND($N737=$Q$7,$B737&lt;'111'!$L$11),"x","")</f>
        <v/>
      </c>
      <c r="S737" s="87" t="str">
        <f>IF(AND($O737=$Q$7,$B737&lt;'111'!$L$11),"x","")</f>
        <v/>
      </c>
      <c r="T737" s="87" t="str">
        <f>IF(ISERROR(FIND('112'!$M$9,G737,1)),"",IF((AND(FIND('112'!$M$9,G737,1)&gt;=1,B737='112'!$K$9,OR($N737='112'!$I$6,$O737='112'!$I$6))),"x",""))</f>
        <v/>
      </c>
      <c r="U737" s="87" t="str">
        <f>IF(ISERROR(FIND('112'!$M$9,G737,1)),"",IF((AND(FIND('112'!$M$9,G737,1)&gt;=1,B737&lt;'112'!$K$9,$N737='112'!$I$6)),"x",""))</f>
        <v/>
      </c>
      <c r="V737" s="87" t="str">
        <f>IF(ISERROR(FIND('112'!$M$9,G737,1)),"",IF((AND(FIND('112'!$M$9,G737,1)&gt;=1,B737&lt;'112'!$K$9,$O737='112'!$I$6)),"x",""))</f>
        <v/>
      </c>
      <c r="W737" s="87" t="str">
        <f>IF(AND($B737&gt;='1331'!$I$9,$B737&lt;='1331'!$J$9,OR($N737=$W$7,$O737=$W$7)),"x","")</f>
        <v/>
      </c>
      <c r="X737" s="87" t="str">
        <f>IF(AND($N737=$W$7,$B737&lt;'1331'!$I$9),"x","")</f>
        <v/>
      </c>
      <c r="Y737" s="87" t="str">
        <f>IF(AND($O737=$W$7,$B737&lt;'1331'!$I$9),"x","")</f>
        <v/>
      </c>
      <c r="Z737" s="87" t="str">
        <f>IF(AND('341-CT'!$H$9=H737,OR(LEFT(N737,3)=$Z$7,LEFT(O737,3)=$Z$7)),"x","")</f>
        <v/>
      </c>
      <c r="AA737" s="87" t="str">
        <f>IF(OR(TH!N737=TH!$AA$7,O737=TH!$AA$7),"x","")</f>
        <v/>
      </c>
      <c r="AB737" s="87" t="str">
        <f>IF(AND(OR(N737="131",O737="131"),H737='131-CT'!$H$9),"x","")</f>
        <v/>
      </c>
      <c r="AC737" s="87"/>
      <c r="AD737" s="87" t="str">
        <f>IF(AND(MONTH(E737)='IN-NX'!$J$5,'IN-NX'!$D$7=D737),"x","")</f>
        <v/>
      </c>
      <c r="AE737" s="87" t="str">
        <f>IF(AND(OR(LEFT(TH!N737,2)="15",LEFT(TH!O737,2)="15"),'152-CT'!$J$8=TH!F737),"x","")</f>
        <v/>
      </c>
      <c r="AF737" s="87" t="str">
        <f>IF(AND(OR(LEFT(TH!N737,2)="15",LEFT(TH!O737,2)="15"),'THE KHO'!$E$7=TH!F737),"x","")</f>
        <v/>
      </c>
      <c r="AG737" s="87" t="str">
        <f>IF(AND(N737="1521",MONTH(C737)='BK NL'!$M$11),"x","")</f>
        <v/>
      </c>
    </row>
    <row r="738" spans="1:33" ht="15.75" customHeight="1">
      <c r="A738" s="399" t="str">
        <f>IF(B738&lt;&gt;"",IF(AND(B738&gt;=_TM1,B738&lt;=_TM2,OR(TH!N738="1111",TH!O738="1111")),TH!D738,""),"")</f>
        <v/>
      </c>
      <c r="B738" s="63" t="str">
        <f t="shared" si="16"/>
        <v/>
      </c>
      <c r="C738" s="64"/>
      <c r="D738" s="64"/>
      <c r="E738" s="64"/>
      <c r="F738" s="67"/>
      <c r="G738" s="376"/>
      <c r="H738" s="365"/>
      <c r="I738" s="518"/>
      <c r="J738" s="518"/>
      <c r="K738" s="509"/>
      <c r="L738" s="518"/>
      <c r="M738" s="65"/>
      <c r="N738" s="66"/>
      <c r="O738" s="66"/>
      <c r="P738" s="87" t="str">
        <f>IF(AND('331-CT'!$E$7=TH!H738,OR(N738="331",O738="331")),"x","")</f>
        <v/>
      </c>
      <c r="Q738" s="87" t="str">
        <f>IF(AND(B738='111'!$L$11,OR($N738=$Q$7,$O738=$Q$7)),"x","")</f>
        <v/>
      </c>
      <c r="R738" s="87" t="str">
        <f>IF(AND($N738=$Q$7,$B738&lt;'111'!$L$11),"x","")</f>
        <v/>
      </c>
      <c r="S738" s="87" t="str">
        <f>IF(AND($O738=$Q$7,$B738&lt;'111'!$L$11),"x","")</f>
        <v/>
      </c>
      <c r="T738" s="87" t="str">
        <f>IF(ISERROR(FIND('112'!$M$9,G738,1)),"",IF((AND(FIND('112'!$M$9,G738,1)&gt;=1,B738='112'!$K$9,OR($N738='112'!$I$6,$O738='112'!$I$6))),"x",""))</f>
        <v/>
      </c>
      <c r="U738" s="87" t="str">
        <f>IF(ISERROR(FIND('112'!$M$9,G738,1)),"",IF((AND(FIND('112'!$M$9,G738,1)&gt;=1,B738&lt;'112'!$K$9,$N738='112'!$I$6)),"x",""))</f>
        <v/>
      </c>
      <c r="V738" s="87" t="str">
        <f>IF(ISERROR(FIND('112'!$M$9,G738,1)),"",IF((AND(FIND('112'!$M$9,G738,1)&gt;=1,B738&lt;'112'!$K$9,$O738='112'!$I$6)),"x",""))</f>
        <v/>
      </c>
      <c r="W738" s="87" t="str">
        <f>IF(AND($B738&gt;='1331'!$I$9,$B738&lt;='1331'!$J$9,OR($N738=$W$7,$O738=$W$7)),"x","")</f>
        <v/>
      </c>
      <c r="X738" s="87" t="str">
        <f>IF(AND($N738=$W$7,$B738&lt;'1331'!$I$9),"x","")</f>
        <v/>
      </c>
      <c r="Y738" s="87" t="str">
        <f>IF(AND($O738=$W$7,$B738&lt;'1331'!$I$9),"x","")</f>
        <v/>
      </c>
      <c r="Z738" s="87" t="str">
        <f>IF(AND('341-CT'!$H$9=H738,OR(LEFT(N738,3)=$Z$7,LEFT(O738,3)=$Z$7)),"x","")</f>
        <v/>
      </c>
      <c r="AA738" s="87" t="str">
        <f>IF(OR(TH!N738=TH!$AA$7,O738=TH!$AA$7),"x","")</f>
        <v/>
      </c>
      <c r="AB738" s="87" t="str">
        <f>IF(AND(OR(N738="131",O738="131"),H738='131-CT'!$H$9),"x","")</f>
        <v/>
      </c>
      <c r="AC738" s="87"/>
      <c r="AD738" s="87" t="str">
        <f>IF(AND(MONTH(E738)='IN-NX'!$J$5,'IN-NX'!$D$7=D738),"x","")</f>
        <v/>
      </c>
      <c r="AE738" s="87" t="str">
        <f>IF(AND(OR(LEFT(TH!N738,2)="15",LEFT(TH!O738,2)="15"),'152-CT'!$J$8=TH!F738),"x","")</f>
        <v/>
      </c>
      <c r="AF738" s="87" t="str">
        <f>IF(AND(OR(LEFT(TH!N738,2)="15",LEFT(TH!O738,2)="15"),'THE KHO'!$E$7=TH!F738),"x","")</f>
        <v/>
      </c>
      <c r="AG738" s="87" t="str">
        <f>IF(AND(N738="1521",MONTH(C738)='BK NL'!$M$11),"x","")</f>
        <v/>
      </c>
    </row>
    <row r="739" spans="1:33" ht="15.75" customHeight="1">
      <c r="A739" s="399" t="str">
        <f>IF(B739&lt;&gt;"",IF(AND(B739&gt;=_TM1,B739&lt;=_TM2,OR(TH!N739="1111",TH!O739="1111")),TH!D739,""),"")</f>
        <v/>
      </c>
      <c r="B739" s="63" t="str">
        <f t="shared" si="16"/>
        <v/>
      </c>
      <c r="C739" s="64"/>
      <c r="D739" s="64"/>
      <c r="E739" s="64"/>
      <c r="F739" s="67"/>
      <c r="G739" s="376"/>
      <c r="H739" s="75"/>
      <c r="I739" s="518"/>
      <c r="J739" s="518"/>
      <c r="K739" s="509"/>
      <c r="L739" s="518"/>
      <c r="M739" s="65"/>
      <c r="N739" s="66"/>
      <c r="O739" s="66"/>
      <c r="P739" s="87" t="str">
        <f>IF(AND('331-CT'!$E$7=TH!H739,OR(N739="331",O739="331")),"x","")</f>
        <v/>
      </c>
      <c r="Q739" s="87" t="str">
        <f>IF(AND(B739='111'!$L$11,OR($N739=$Q$7,$O739=$Q$7)),"x","")</f>
        <v/>
      </c>
      <c r="R739" s="87" t="str">
        <f>IF(AND($N739=$Q$7,$B739&lt;'111'!$L$11),"x","")</f>
        <v/>
      </c>
      <c r="S739" s="87" t="str">
        <f>IF(AND($O739=$Q$7,$B739&lt;'111'!$L$11),"x","")</f>
        <v/>
      </c>
      <c r="T739" s="87" t="str">
        <f>IF(ISERROR(FIND('112'!$M$9,G739,1)),"",IF((AND(FIND('112'!$M$9,G739,1)&gt;=1,B739='112'!$K$9,OR($N739='112'!$I$6,$O739='112'!$I$6))),"x",""))</f>
        <v/>
      </c>
      <c r="U739" s="87" t="str">
        <f>IF(ISERROR(FIND('112'!$M$9,G739,1)),"",IF((AND(FIND('112'!$M$9,G739,1)&gt;=1,B739&lt;'112'!$K$9,$N739='112'!$I$6)),"x",""))</f>
        <v/>
      </c>
      <c r="V739" s="87" t="str">
        <f>IF(ISERROR(FIND('112'!$M$9,G739,1)),"",IF((AND(FIND('112'!$M$9,G739,1)&gt;=1,B739&lt;'112'!$K$9,$O739='112'!$I$6)),"x",""))</f>
        <v/>
      </c>
      <c r="W739" s="87" t="str">
        <f>IF(AND($B739&gt;='1331'!$I$9,$B739&lt;='1331'!$J$9,OR($N739=$W$7,$O739=$W$7)),"x","")</f>
        <v/>
      </c>
      <c r="X739" s="87" t="str">
        <f>IF(AND($N739=$W$7,$B739&lt;'1331'!$I$9),"x","")</f>
        <v/>
      </c>
      <c r="Y739" s="87" t="str">
        <f>IF(AND($O739=$W$7,$B739&lt;'1331'!$I$9),"x","")</f>
        <v/>
      </c>
      <c r="Z739" s="87" t="str">
        <f>IF(AND('341-CT'!$H$9=H739,OR(LEFT(N739,3)=$Z$7,LEFT(O739,3)=$Z$7)),"x","")</f>
        <v/>
      </c>
      <c r="AA739" s="87" t="str">
        <f>IF(OR(TH!N739=TH!$AA$7,O739=TH!$AA$7),"x","")</f>
        <v/>
      </c>
      <c r="AB739" s="87" t="str">
        <f>IF(AND(OR(N739="131",O739="131"),H739='131-CT'!$H$9),"x","")</f>
        <v/>
      </c>
      <c r="AC739" s="87"/>
      <c r="AD739" s="87" t="str">
        <f>IF(AND(MONTH(E739)='IN-NX'!$J$5,'IN-NX'!$D$7=D739),"x","")</f>
        <v/>
      </c>
      <c r="AE739" s="87" t="str">
        <f>IF(AND(OR(LEFT(TH!N739,2)="15",LEFT(TH!O739,2)="15"),'152-CT'!$J$8=TH!F739),"x","")</f>
        <v/>
      </c>
      <c r="AF739" s="87" t="str">
        <f>IF(AND(OR(LEFT(TH!N739,2)="15",LEFT(TH!O739,2)="15"),'THE KHO'!$E$7=TH!F739),"x","")</f>
        <v/>
      </c>
      <c r="AG739" s="87" t="str">
        <f>IF(AND(N739="1521",MONTH(C739)='BK NL'!$M$11),"x","")</f>
        <v/>
      </c>
    </row>
    <row r="740" spans="1:33" ht="15.75" customHeight="1">
      <c r="A740" s="399" t="str">
        <f>IF(B740&lt;&gt;"",IF(AND(B740&gt;=_TM1,B740&lt;=_TM2,OR(TH!N740="1111",TH!O740="1111")),TH!D740,""),"")</f>
        <v/>
      </c>
      <c r="B740" s="63" t="str">
        <f t="shared" si="16"/>
        <v/>
      </c>
      <c r="C740" s="64"/>
      <c r="D740" s="64"/>
      <c r="E740" s="64"/>
      <c r="F740" s="67"/>
      <c r="G740" s="376"/>
      <c r="H740" s="75"/>
      <c r="I740" s="518"/>
      <c r="J740" s="518"/>
      <c r="K740" s="509"/>
      <c r="L740" s="518"/>
      <c r="M740" s="65"/>
      <c r="N740" s="66"/>
      <c r="O740" s="66"/>
      <c r="P740" s="87" t="str">
        <f>IF(AND('331-CT'!$E$7=TH!H740,OR(N740="331",O740="331")),"x","")</f>
        <v/>
      </c>
      <c r="Q740" s="87" t="str">
        <f>IF(AND(B740='111'!$L$11,OR($N740=$Q$7,$O740=$Q$7)),"x","")</f>
        <v/>
      </c>
      <c r="R740" s="87" t="str">
        <f>IF(AND($N740=$Q$7,$B740&lt;'111'!$L$11),"x","")</f>
        <v/>
      </c>
      <c r="S740" s="87" t="str">
        <f>IF(AND($O740=$Q$7,$B740&lt;'111'!$L$11),"x","")</f>
        <v/>
      </c>
      <c r="T740" s="87" t="str">
        <f>IF(ISERROR(FIND('112'!$M$9,G740,1)),"",IF((AND(FIND('112'!$M$9,G740,1)&gt;=1,B740='112'!$K$9,OR($N740='112'!$I$6,$O740='112'!$I$6))),"x",""))</f>
        <v/>
      </c>
      <c r="U740" s="87" t="str">
        <f>IF(ISERROR(FIND('112'!$M$9,G740,1)),"",IF((AND(FIND('112'!$M$9,G740,1)&gt;=1,B740&lt;'112'!$K$9,$N740='112'!$I$6)),"x",""))</f>
        <v/>
      </c>
      <c r="V740" s="87" t="str">
        <f>IF(ISERROR(FIND('112'!$M$9,G740,1)),"",IF((AND(FIND('112'!$M$9,G740,1)&gt;=1,B740&lt;'112'!$K$9,$O740='112'!$I$6)),"x",""))</f>
        <v/>
      </c>
      <c r="W740" s="87" t="str">
        <f>IF(AND($B740&gt;='1331'!$I$9,$B740&lt;='1331'!$J$9,OR($N740=$W$7,$O740=$W$7)),"x","")</f>
        <v/>
      </c>
      <c r="X740" s="87" t="str">
        <f>IF(AND($N740=$W$7,$B740&lt;'1331'!$I$9),"x","")</f>
        <v/>
      </c>
      <c r="Y740" s="87" t="str">
        <f>IF(AND($O740=$W$7,$B740&lt;'1331'!$I$9),"x","")</f>
        <v/>
      </c>
      <c r="Z740" s="87" t="str">
        <f>IF(AND('341-CT'!$H$9=H740,OR(LEFT(N740,3)=$Z$7,LEFT(O740,3)=$Z$7)),"x","")</f>
        <v/>
      </c>
      <c r="AA740" s="87" t="str">
        <f>IF(OR(TH!N740=TH!$AA$7,O740=TH!$AA$7),"x","")</f>
        <v/>
      </c>
      <c r="AB740" s="87" t="str">
        <f>IF(AND(OR(N740="131",O740="131"),H740='131-CT'!$H$9),"x","")</f>
        <v/>
      </c>
      <c r="AC740" s="87"/>
      <c r="AD740" s="87" t="str">
        <f>IF(AND(MONTH(E740)='IN-NX'!$J$5,'IN-NX'!$D$7=D740),"x","")</f>
        <v/>
      </c>
      <c r="AE740" s="87" t="str">
        <f>IF(AND(OR(LEFT(TH!N740,2)="15",LEFT(TH!O740,2)="15"),'152-CT'!$J$8=TH!F740),"x","")</f>
        <v/>
      </c>
      <c r="AF740" s="87" t="str">
        <f>IF(AND(OR(LEFT(TH!N740,2)="15",LEFT(TH!O740,2)="15"),'THE KHO'!$E$7=TH!F740),"x","")</f>
        <v/>
      </c>
      <c r="AG740" s="87" t="str">
        <f>IF(AND(N740="1521",MONTH(C740)='BK NL'!$M$11),"x","")</f>
        <v/>
      </c>
    </row>
    <row r="741" spans="1:33" ht="15.75" customHeight="1">
      <c r="A741" s="399" t="str">
        <f>IF(B741&lt;&gt;"",IF(AND(B741&gt;=_TM1,B741&lt;=_TM2,OR(TH!N741="1111",TH!O741="1111")),TH!D741,""),"")</f>
        <v/>
      </c>
      <c r="B741" s="63" t="str">
        <f t="shared" si="16"/>
        <v/>
      </c>
      <c r="C741" s="64"/>
      <c r="D741" s="64"/>
      <c r="E741" s="64"/>
      <c r="F741" s="67"/>
      <c r="G741" s="376"/>
      <c r="H741" s="75"/>
      <c r="I741" s="518"/>
      <c r="J741" s="518"/>
      <c r="K741" s="509"/>
      <c r="L741" s="518"/>
      <c r="M741" s="65"/>
      <c r="N741" s="66"/>
      <c r="O741" s="66"/>
      <c r="P741" s="87" t="str">
        <f>IF(AND('331-CT'!$E$7=TH!H741,OR(N741="331",O741="331")),"x","")</f>
        <v/>
      </c>
      <c r="Q741" s="87" t="str">
        <f>IF(AND(B741='111'!$L$11,OR($N741=$Q$7,$O741=$Q$7)),"x","")</f>
        <v/>
      </c>
      <c r="R741" s="87" t="str">
        <f>IF(AND($N741=$Q$7,$B741&lt;'111'!$L$11),"x","")</f>
        <v/>
      </c>
      <c r="S741" s="87" t="str">
        <f>IF(AND($O741=$Q$7,$B741&lt;'111'!$L$11),"x","")</f>
        <v/>
      </c>
      <c r="T741" s="87" t="str">
        <f>IF(ISERROR(FIND('112'!$M$9,G741,1)),"",IF((AND(FIND('112'!$M$9,G741,1)&gt;=1,B741='112'!$K$9,OR($N741='112'!$I$6,$O741='112'!$I$6))),"x",""))</f>
        <v/>
      </c>
      <c r="U741" s="87" t="str">
        <f>IF(ISERROR(FIND('112'!$M$9,G741,1)),"",IF((AND(FIND('112'!$M$9,G741,1)&gt;=1,B741&lt;'112'!$K$9,$N741='112'!$I$6)),"x",""))</f>
        <v/>
      </c>
      <c r="V741" s="87" t="str">
        <f>IF(ISERROR(FIND('112'!$M$9,G741,1)),"",IF((AND(FIND('112'!$M$9,G741,1)&gt;=1,B741&lt;'112'!$K$9,$O741='112'!$I$6)),"x",""))</f>
        <v/>
      </c>
      <c r="W741" s="87" t="str">
        <f>IF(AND($B741&gt;='1331'!$I$9,$B741&lt;='1331'!$J$9,OR($N741=$W$7,$O741=$W$7)),"x","")</f>
        <v/>
      </c>
      <c r="X741" s="87" t="str">
        <f>IF(AND($N741=$W$7,$B741&lt;'1331'!$I$9),"x","")</f>
        <v/>
      </c>
      <c r="Y741" s="87" t="str">
        <f>IF(AND($O741=$W$7,$B741&lt;'1331'!$I$9),"x","")</f>
        <v/>
      </c>
      <c r="Z741" s="87" t="str">
        <f>IF(AND('341-CT'!$H$9=H741,OR(LEFT(N741,3)=$Z$7,LEFT(O741,3)=$Z$7)),"x","")</f>
        <v/>
      </c>
      <c r="AA741" s="87" t="str">
        <f>IF(OR(TH!N741=TH!$AA$7,O741=TH!$AA$7),"x","")</f>
        <v/>
      </c>
      <c r="AB741" s="87" t="str">
        <f>IF(AND(OR(N741="131",O741="131"),H741='131-CT'!$H$9),"x","")</f>
        <v/>
      </c>
      <c r="AC741" s="87"/>
      <c r="AD741" s="87" t="str">
        <f>IF(AND(MONTH(E741)='IN-NX'!$J$5,'IN-NX'!$D$7=D741),"x","")</f>
        <v/>
      </c>
      <c r="AE741" s="87" t="str">
        <f>IF(AND(OR(LEFT(TH!N741,2)="15",LEFT(TH!O741,2)="15"),'152-CT'!$J$8=TH!F741),"x","")</f>
        <v/>
      </c>
      <c r="AF741" s="87" t="str">
        <f>IF(AND(OR(LEFT(TH!N741,2)="15",LEFT(TH!O741,2)="15"),'THE KHO'!$E$7=TH!F741),"x","")</f>
        <v/>
      </c>
      <c r="AG741" s="87" t="str">
        <f>IF(AND(N741="1521",MONTH(C741)='BK NL'!$M$11),"x","")</f>
        <v/>
      </c>
    </row>
    <row r="742" spans="1:33" ht="15.75" customHeight="1">
      <c r="A742" s="399" t="str">
        <f>IF(B742&lt;&gt;"",IF(AND(B742&gt;=_TM1,B742&lt;=_TM2,OR(TH!N742="1111",TH!O742="1111")),TH!D742,""),"")</f>
        <v/>
      </c>
      <c r="B742" s="63" t="str">
        <f t="shared" si="16"/>
        <v/>
      </c>
      <c r="C742" s="363"/>
      <c r="D742" s="363"/>
      <c r="E742" s="363"/>
      <c r="F742" s="364"/>
      <c r="G742" s="391"/>
      <c r="H742" s="365"/>
      <c r="I742" s="518"/>
      <c r="J742" s="518"/>
      <c r="K742" s="509"/>
      <c r="L742" s="518"/>
      <c r="M742" s="65"/>
      <c r="N742" s="366"/>
      <c r="O742" s="366"/>
      <c r="P742" s="87" t="str">
        <f>IF(AND('331-CT'!$E$7=TH!H742,OR(N742="331",O742="331")),"x","")</f>
        <v/>
      </c>
      <c r="Q742" s="87" t="str">
        <f>IF(AND(B742='111'!$L$11,OR($N742=$Q$7,$O742=$Q$7)),"x","")</f>
        <v/>
      </c>
      <c r="R742" s="87" t="str">
        <f>IF(AND($N742=$Q$7,$B742&lt;'111'!$L$11),"x","")</f>
        <v/>
      </c>
      <c r="S742" s="87" t="str">
        <f>IF(AND($O742=$Q$7,$B742&lt;'111'!$L$11),"x","")</f>
        <v/>
      </c>
      <c r="T742" s="87" t="str">
        <f>IF(ISERROR(FIND('112'!$M$9,G742,1)),"",IF((AND(FIND('112'!$M$9,G742,1)&gt;=1,B742='112'!$K$9,OR($N742='112'!$I$6,$O742='112'!$I$6))),"x",""))</f>
        <v/>
      </c>
      <c r="U742" s="87" t="str">
        <f>IF(ISERROR(FIND('112'!$M$9,G742,1)),"",IF((AND(FIND('112'!$M$9,G742,1)&gt;=1,B742&lt;'112'!$K$9,$N742='112'!$I$6)),"x",""))</f>
        <v/>
      </c>
      <c r="V742" s="87" t="str">
        <f>IF(ISERROR(FIND('112'!$M$9,G742,1)),"",IF((AND(FIND('112'!$M$9,G742,1)&gt;=1,B742&lt;'112'!$K$9,$O742='112'!$I$6)),"x",""))</f>
        <v/>
      </c>
      <c r="W742" s="87" t="str">
        <f>IF(AND($B742&gt;='1331'!$I$9,$B742&lt;='1331'!$J$9,OR($N742=$W$7,$O742=$W$7)),"x","")</f>
        <v/>
      </c>
      <c r="X742" s="87" t="str">
        <f>IF(AND($N742=$W$7,$B742&lt;'1331'!$I$9),"x","")</f>
        <v/>
      </c>
      <c r="Y742" s="87" t="str">
        <f>IF(AND($O742=$W$7,$B742&lt;'1331'!$I$9),"x","")</f>
        <v/>
      </c>
      <c r="Z742" s="87" t="str">
        <f>IF(AND('341-CT'!$H$9=H742,OR(LEFT(N742,3)=$Z$7,LEFT(O742,3)=$Z$7)),"x","")</f>
        <v/>
      </c>
      <c r="AA742" s="87" t="str">
        <f>IF(OR(TH!N742=TH!$AA$7,O742=TH!$AA$7),"x","")</f>
        <v/>
      </c>
      <c r="AB742" s="87" t="str">
        <f>IF(AND(OR(N742="131",O742="131"),H742='131-CT'!$H$9),"x","")</f>
        <v/>
      </c>
      <c r="AC742" s="87"/>
      <c r="AD742" s="87" t="str">
        <f>IF(AND(MONTH(E742)='IN-NX'!$J$5,'IN-NX'!$D$7=D742),"x","")</f>
        <v/>
      </c>
      <c r="AE742" s="87" t="str">
        <f>IF(AND(OR(LEFT(TH!N742,2)="15",LEFT(TH!O742,2)="15"),'152-CT'!$J$8=TH!F742),"x","")</f>
        <v/>
      </c>
      <c r="AF742" s="87" t="str">
        <f>IF(AND(OR(LEFT(TH!N742,2)="15",LEFT(TH!O742,2)="15"),'THE KHO'!$E$7=TH!F742),"x","")</f>
        <v/>
      </c>
      <c r="AG742" s="87" t="str">
        <f>IF(AND(N742="1521",MONTH(C742)='BK NL'!$M$11),"x","")</f>
        <v/>
      </c>
    </row>
    <row r="743" spans="1:33" ht="15.75" customHeight="1">
      <c r="A743" s="399" t="str">
        <f>IF(B743&lt;&gt;"",IF(AND(B743&gt;=_TM1,B743&lt;=_TM2,OR(TH!N743="1111",TH!O743="1111")),TH!D743,""),"")</f>
        <v/>
      </c>
      <c r="B743" s="63" t="str">
        <f t="shared" si="16"/>
        <v/>
      </c>
      <c r="C743" s="363"/>
      <c r="D743" s="363"/>
      <c r="E743" s="363"/>
      <c r="F743" s="364"/>
      <c r="G743" s="391"/>
      <c r="H743" s="365"/>
      <c r="I743" s="518"/>
      <c r="J743" s="518"/>
      <c r="K743" s="509"/>
      <c r="L743" s="518"/>
      <c r="M743" s="65"/>
      <c r="N743" s="366"/>
      <c r="O743" s="366"/>
      <c r="P743" s="87" t="str">
        <f>IF(AND('331-CT'!$E$7=TH!H743,OR(N743="331",O743="331")),"x","")</f>
        <v/>
      </c>
      <c r="Q743" s="87" t="str">
        <f>IF(AND(B743='111'!$L$11,OR($N743=$Q$7,$O743=$Q$7)),"x","")</f>
        <v/>
      </c>
      <c r="R743" s="87" t="str">
        <f>IF(AND($N743=$Q$7,$B743&lt;'111'!$L$11),"x","")</f>
        <v/>
      </c>
      <c r="S743" s="87" t="str">
        <f>IF(AND($O743=$Q$7,$B743&lt;'111'!$L$11),"x","")</f>
        <v/>
      </c>
      <c r="T743" s="87" t="str">
        <f>IF(ISERROR(FIND('112'!$M$9,G743,1)),"",IF((AND(FIND('112'!$M$9,G743,1)&gt;=1,B743='112'!$K$9,OR($N743='112'!$I$6,$O743='112'!$I$6))),"x",""))</f>
        <v/>
      </c>
      <c r="U743" s="87" t="str">
        <f>IF(ISERROR(FIND('112'!$M$9,G743,1)),"",IF((AND(FIND('112'!$M$9,G743,1)&gt;=1,B743&lt;'112'!$K$9,$N743='112'!$I$6)),"x",""))</f>
        <v/>
      </c>
      <c r="V743" s="87" t="str">
        <f>IF(ISERROR(FIND('112'!$M$9,G743,1)),"",IF((AND(FIND('112'!$M$9,G743,1)&gt;=1,B743&lt;'112'!$K$9,$O743='112'!$I$6)),"x",""))</f>
        <v/>
      </c>
      <c r="W743" s="87" t="str">
        <f>IF(AND($B743&gt;='1331'!$I$9,$B743&lt;='1331'!$J$9,OR($N743=$W$7,$O743=$W$7)),"x","")</f>
        <v/>
      </c>
      <c r="X743" s="87" t="str">
        <f>IF(AND($N743=$W$7,$B743&lt;'1331'!$I$9),"x","")</f>
        <v/>
      </c>
      <c r="Y743" s="87" t="str">
        <f>IF(AND($O743=$W$7,$B743&lt;'1331'!$I$9),"x","")</f>
        <v/>
      </c>
      <c r="Z743" s="87" t="str">
        <f>IF(AND('341-CT'!$H$9=H743,OR(LEFT(N743,3)=$Z$7,LEFT(O743,3)=$Z$7)),"x","")</f>
        <v/>
      </c>
      <c r="AA743" s="87" t="str">
        <f>IF(OR(TH!N743=TH!$AA$7,O743=TH!$AA$7),"x","")</f>
        <v/>
      </c>
      <c r="AB743" s="87" t="str">
        <f>IF(AND(OR(N743="131",O743="131"),H743='131-CT'!$H$9),"x","")</f>
        <v/>
      </c>
      <c r="AC743" s="87"/>
      <c r="AD743" s="87" t="str">
        <f>IF(AND(MONTH(E743)='IN-NX'!$J$5,'IN-NX'!$D$7=D743),"x","")</f>
        <v/>
      </c>
      <c r="AE743" s="87" t="str">
        <f>IF(AND(OR(LEFT(TH!N743,2)="15",LEFT(TH!O743,2)="15"),'152-CT'!$J$8=TH!F743),"x","")</f>
        <v/>
      </c>
      <c r="AF743" s="87" t="str">
        <f>IF(AND(OR(LEFT(TH!N743,2)="15",LEFT(TH!O743,2)="15"),'THE KHO'!$E$7=TH!F743),"x","")</f>
        <v/>
      </c>
      <c r="AG743" s="87" t="str">
        <f>IF(AND(N743="1521",MONTH(C743)='BK NL'!$M$11),"x","")</f>
        <v/>
      </c>
    </row>
    <row r="744" spans="1:33" ht="15.75" customHeight="1">
      <c r="A744" s="399" t="str">
        <f>IF(B744&lt;&gt;"",IF(AND(B744&gt;=_TM1,B744&lt;=_TM2,OR(TH!N744="1111",TH!O744="1111")),TH!D744,""),"")</f>
        <v/>
      </c>
      <c r="B744" s="63" t="str">
        <f t="shared" si="16"/>
        <v/>
      </c>
      <c r="C744" s="363"/>
      <c r="D744" s="363"/>
      <c r="E744" s="363"/>
      <c r="F744" s="364"/>
      <c r="G744" s="391"/>
      <c r="H744" s="365"/>
      <c r="I744" s="518"/>
      <c r="J744" s="518"/>
      <c r="K744" s="509"/>
      <c r="L744" s="518"/>
      <c r="M744" s="65"/>
      <c r="N744" s="366"/>
      <c r="O744" s="366"/>
      <c r="P744" s="87" t="str">
        <f>IF(AND('331-CT'!$E$7=TH!H744,OR(N744="331",O744="331")),"x","")</f>
        <v/>
      </c>
      <c r="Q744" s="87" t="str">
        <f>IF(AND(B744='111'!$L$11,OR($N744=$Q$7,$O744=$Q$7)),"x","")</f>
        <v/>
      </c>
      <c r="R744" s="87" t="str">
        <f>IF(AND($N744=$Q$7,$B744&lt;'111'!$L$11),"x","")</f>
        <v/>
      </c>
      <c r="S744" s="87" t="str">
        <f>IF(AND($O744=$Q$7,$B744&lt;'111'!$L$11),"x","")</f>
        <v/>
      </c>
      <c r="T744" s="87" t="str">
        <f>IF(ISERROR(FIND('112'!$M$9,G744,1)),"",IF((AND(FIND('112'!$M$9,G744,1)&gt;=1,B744='112'!$K$9,OR($N744='112'!$I$6,$O744='112'!$I$6))),"x",""))</f>
        <v/>
      </c>
      <c r="U744" s="87" t="str">
        <f>IF(ISERROR(FIND('112'!$M$9,G744,1)),"",IF((AND(FIND('112'!$M$9,G744,1)&gt;=1,B744&lt;'112'!$K$9,$N744='112'!$I$6)),"x",""))</f>
        <v/>
      </c>
      <c r="V744" s="87" t="str">
        <f>IF(ISERROR(FIND('112'!$M$9,G744,1)),"",IF((AND(FIND('112'!$M$9,G744,1)&gt;=1,B744&lt;'112'!$K$9,$O744='112'!$I$6)),"x",""))</f>
        <v/>
      </c>
      <c r="W744" s="87" t="str">
        <f>IF(AND($B744&gt;='1331'!$I$9,$B744&lt;='1331'!$J$9,OR($N744=$W$7,$O744=$W$7)),"x","")</f>
        <v/>
      </c>
      <c r="X744" s="87" t="str">
        <f>IF(AND($N744=$W$7,$B744&lt;'1331'!$I$9),"x","")</f>
        <v/>
      </c>
      <c r="Y744" s="87" t="str">
        <f>IF(AND($O744=$W$7,$B744&lt;'1331'!$I$9),"x","")</f>
        <v/>
      </c>
      <c r="Z744" s="87" t="str">
        <f>IF(AND('341-CT'!$H$9=H744,OR(LEFT(N744,3)=$Z$7,LEFT(O744,3)=$Z$7)),"x","")</f>
        <v/>
      </c>
      <c r="AA744" s="87" t="str">
        <f>IF(OR(TH!N744=TH!$AA$7,O744=TH!$AA$7),"x","")</f>
        <v/>
      </c>
      <c r="AB744" s="87" t="str">
        <f>IF(AND(OR(N744="131",O744="131"),H744='131-CT'!$H$9),"x","")</f>
        <v/>
      </c>
      <c r="AC744" s="87"/>
      <c r="AD744" s="87" t="str">
        <f>IF(AND(MONTH(E744)='IN-NX'!$J$5,'IN-NX'!$D$7=D744),"x","")</f>
        <v/>
      </c>
      <c r="AE744" s="87" t="str">
        <f>IF(AND(OR(LEFT(TH!N744,2)="15",LEFT(TH!O744,2)="15"),'152-CT'!$J$8=TH!F744),"x","")</f>
        <v/>
      </c>
      <c r="AF744" s="87" t="str">
        <f>IF(AND(OR(LEFT(TH!N744,2)="15",LEFT(TH!O744,2)="15"),'THE KHO'!$E$7=TH!F744),"x","")</f>
        <v/>
      </c>
      <c r="AG744" s="87" t="str">
        <f>IF(AND(N744="1521",MONTH(C744)='BK NL'!$M$11),"x","")</f>
        <v/>
      </c>
    </row>
    <row r="745" spans="1:33" ht="15.75" customHeight="1">
      <c r="A745" s="399" t="str">
        <f>IF(B745&lt;&gt;"",IF(AND(B745&gt;=_TM1,B745&lt;=_TM2,OR(TH!N745="1111",TH!O745="1111")),TH!D745,""),"")</f>
        <v/>
      </c>
      <c r="B745" s="63" t="str">
        <f t="shared" si="16"/>
        <v/>
      </c>
      <c r="C745" s="363"/>
      <c r="D745" s="363"/>
      <c r="E745" s="363"/>
      <c r="F745" s="364"/>
      <c r="G745" s="391"/>
      <c r="H745" s="365"/>
      <c r="I745" s="518"/>
      <c r="J745" s="518"/>
      <c r="K745" s="509"/>
      <c r="L745" s="518"/>
      <c r="M745" s="65"/>
      <c r="N745" s="366"/>
      <c r="O745" s="366"/>
      <c r="P745" s="87" t="str">
        <f>IF(AND('331-CT'!$E$7=TH!H745,OR(N745="331",O745="331")),"x","")</f>
        <v/>
      </c>
      <c r="Q745" s="87" t="str">
        <f>IF(AND(B745='111'!$L$11,OR($N745=$Q$7,$O745=$Q$7)),"x","")</f>
        <v/>
      </c>
      <c r="R745" s="87" t="str">
        <f>IF(AND($N745=$Q$7,$B745&lt;'111'!$L$11),"x","")</f>
        <v/>
      </c>
      <c r="S745" s="87" t="str">
        <f>IF(AND($O745=$Q$7,$B745&lt;'111'!$L$11),"x","")</f>
        <v/>
      </c>
      <c r="T745" s="87" t="str">
        <f>IF(ISERROR(FIND('112'!$M$9,G745,1)),"",IF((AND(FIND('112'!$M$9,G745,1)&gt;=1,B745='112'!$K$9,OR($N745='112'!$I$6,$O745='112'!$I$6))),"x",""))</f>
        <v/>
      </c>
      <c r="U745" s="87" t="str">
        <f>IF(ISERROR(FIND('112'!$M$9,G745,1)),"",IF((AND(FIND('112'!$M$9,G745,1)&gt;=1,B745&lt;'112'!$K$9,$N745='112'!$I$6)),"x",""))</f>
        <v/>
      </c>
      <c r="V745" s="87" t="str">
        <f>IF(ISERROR(FIND('112'!$M$9,G745,1)),"",IF((AND(FIND('112'!$M$9,G745,1)&gt;=1,B745&lt;'112'!$K$9,$O745='112'!$I$6)),"x",""))</f>
        <v/>
      </c>
      <c r="W745" s="87" t="str">
        <f>IF(AND($B745&gt;='1331'!$I$9,$B745&lt;='1331'!$J$9,OR($N745=$W$7,$O745=$W$7)),"x","")</f>
        <v/>
      </c>
      <c r="X745" s="87" t="str">
        <f>IF(AND($N745=$W$7,$B745&lt;'1331'!$I$9),"x","")</f>
        <v/>
      </c>
      <c r="Y745" s="87" t="str">
        <f>IF(AND($O745=$W$7,$B745&lt;'1331'!$I$9),"x","")</f>
        <v/>
      </c>
      <c r="Z745" s="87" t="str">
        <f>IF(AND('341-CT'!$H$9=H745,OR(LEFT(N745,3)=$Z$7,LEFT(O745,3)=$Z$7)),"x","")</f>
        <v/>
      </c>
      <c r="AA745" s="87" t="str">
        <f>IF(OR(TH!N745=TH!$AA$7,O745=TH!$AA$7),"x","")</f>
        <v/>
      </c>
      <c r="AB745" s="87" t="str">
        <f>IF(AND(OR(N745="131",O745="131"),H745='131-CT'!$H$9),"x","")</f>
        <v/>
      </c>
      <c r="AC745" s="87"/>
      <c r="AD745" s="87" t="str">
        <f>IF(AND(MONTH(E745)='IN-NX'!$J$5,'IN-NX'!$D$7=D745),"x","")</f>
        <v/>
      </c>
      <c r="AE745" s="87" t="str">
        <f>IF(AND(OR(LEFT(TH!N745,2)="15",LEFT(TH!O745,2)="15"),'152-CT'!$J$8=TH!F745),"x","")</f>
        <v/>
      </c>
      <c r="AF745" s="87" t="str">
        <f>IF(AND(OR(LEFT(TH!N745,2)="15",LEFT(TH!O745,2)="15"),'THE KHO'!$E$7=TH!F745),"x","")</f>
        <v/>
      </c>
      <c r="AG745" s="87" t="str">
        <f>IF(AND(N745="1521",MONTH(C745)='BK NL'!$M$11),"x","")</f>
        <v/>
      </c>
    </row>
    <row r="746" spans="1:33" ht="15.75" customHeight="1">
      <c r="A746" s="399" t="str">
        <f>IF(B746&lt;&gt;"",IF(AND(B746&gt;=_TM1,B746&lt;=_TM2,OR(TH!N746="1111",TH!O746="1111")),TH!D746,""),"")</f>
        <v/>
      </c>
      <c r="B746" s="63" t="str">
        <f t="shared" si="16"/>
        <v/>
      </c>
      <c r="C746" s="363"/>
      <c r="D746" s="363"/>
      <c r="E746" s="363"/>
      <c r="F746" s="364"/>
      <c r="G746" s="391"/>
      <c r="H746" s="365"/>
      <c r="I746" s="518"/>
      <c r="J746" s="518"/>
      <c r="K746" s="509"/>
      <c r="L746" s="518"/>
      <c r="M746" s="65"/>
      <c r="N746" s="366"/>
      <c r="O746" s="366"/>
      <c r="P746" s="87" t="str">
        <f>IF(AND('331-CT'!$E$7=TH!H746,OR(N746="331",O746="331")),"x","")</f>
        <v/>
      </c>
      <c r="Q746" s="87" t="str">
        <f>IF(AND(B746='111'!$L$11,OR($N746=$Q$7,$O746=$Q$7)),"x","")</f>
        <v/>
      </c>
      <c r="R746" s="87" t="str">
        <f>IF(AND($N746=$Q$7,$B746&lt;'111'!$L$11),"x","")</f>
        <v/>
      </c>
      <c r="S746" s="87" t="str">
        <f>IF(AND($O746=$Q$7,$B746&lt;'111'!$L$11),"x","")</f>
        <v/>
      </c>
      <c r="T746" s="87" t="str">
        <f>IF(ISERROR(FIND('112'!$M$9,G746,1)),"",IF((AND(FIND('112'!$M$9,G746,1)&gt;=1,B746='112'!$K$9,OR($N746='112'!$I$6,$O746='112'!$I$6))),"x",""))</f>
        <v/>
      </c>
      <c r="U746" s="87" t="str">
        <f>IF(ISERROR(FIND('112'!$M$9,G746,1)),"",IF((AND(FIND('112'!$M$9,G746,1)&gt;=1,B746&lt;'112'!$K$9,$N746='112'!$I$6)),"x",""))</f>
        <v/>
      </c>
      <c r="V746" s="87" t="str">
        <f>IF(ISERROR(FIND('112'!$M$9,G746,1)),"",IF((AND(FIND('112'!$M$9,G746,1)&gt;=1,B746&lt;'112'!$K$9,$O746='112'!$I$6)),"x",""))</f>
        <v/>
      </c>
      <c r="W746" s="87" t="str">
        <f>IF(AND($B746&gt;='1331'!$I$9,$B746&lt;='1331'!$J$9,OR($N746=$W$7,$O746=$W$7)),"x","")</f>
        <v/>
      </c>
      <c r="X746" s="87" t="str">
        <f>IF(AND($N746=$W$7,$B746&lt;'1331'!$I$9),"x","")</f>
        <v/>
      </c>
      <c r="Y746" s="87" t="str">
        <f>IF(AND($O746=$W$7,$B746&lt;'1331'!$I$9),"x","")</f>
        <v/>
      </c>
      <c r="Z746" s="87" t="str">
        <f>IF(AND('341-CT'!$H$9=H746,OR(LEFT(N746,3)=$Z$7,LEFT(O746,3)=$Z$7)),"x","")</f>
        <v/>
      </c>
      <c r="AA746" s="87" t="str">
        <f>IF(OR(TH!N746=TH!$AA$7,O746=TH!$AA$7),"x","")</f>
        <v/>
      </c>
      <c r="AB746" s="87" t="str">
        <f>IF(AND(OR(N746="131",O746="131"),H746='131-CT'!$H$9),"x","")</f>
        <v/>
      </c>
      <c r="AC746" s="87"/>
      <c r="AD746" s="87" t="str">
        <f>IF(AND(MONTH(E746)='IN-NX'!$J$5,'IN-NX'!$D$7=D746),"x","")</f>
        <v/>
      </c>
      <c r="AE746" s="87" t="str">
        <f>IF(AND(OR(LEFT(TH!N746,2)="15",LEFT(TH!O746,2)="15"),'152-CT'!$J$8=TH!F746),"x","")</f>
        <v/>
      </c>
      <c r="AF746" s="87" t="str">
        <f>IF(AND(OR(LEFT(TH!N746,2)="15",LEFT(TH!O746,2)="15"),'THE KHO'!$E$7=TH!F746),"x","")</f>
        <v/>
      </c>
      <c r="AG746" s="87" t="str">
        <f>IF(AND(N746="1521",MONTH(C746)='BK NL'!$M$11),"x","")</f>
        <v/>
      </c>
    </row>
    <row r="747" spans="1:33" ht="15.75" customHeight="1">
      <c r="A747" s="399" t="str">
        <f>IF(B747&lt;&gt;"",IF(AND(B747&gt;=_TM1,B747&lt;=_TM2,OR(TH!N747="1111",TH!O747="1111")),TH!D747,""),"")</f>
        <v/>
      </c>
      <c r="B747" s="63" t="str">
        <f t="shared" si="16"/>
        <v/>
      </c>
      <c r="C747" s="363"/>
      <c r="D747" s="363"/>
      <c r="E747" s="363"/>
      <c r="F747" s="364"/>
      <c r="G747" s="391"/>
      <c r="H747" s="365"/>
      <c r="I747" s="518"/>
      <c r="J747" s="518"/>
      <c r="K747" s="509"/>
      <c r="L747" s="518"/>
      <c r="M747" s="65"/>
      <c r="N747" s="366"/>
      <c r="O747" s="366"/>
      <c r="P747" s="87" t="str">
        <f>IF(AND('331-CT'!$E$7=TH!H747,OR(N747="331",O747="331")),"x","")</f>
        <v/>
      </c>
      <c r="Q747" s="87" t="str">
        <f>IF(AND(B747='111'!$L$11,OR($N747=$Q$7,$O747=$Q$7)),"x","")</f>
        <v/>
      </c>
      <c r="R747" s="87" t="str">
        <f>IF(AND($N747=$Q$7,$B747&lt;'111'!$L$11),"x","")</f>
        <v/>
      </c>
      <c r="S747" s="87" t="str">
        <f>IF(AND($O747=$Q$7,$B747&lt;'111'!$L$11),"x","")</f>
        <v/>
      </c>
      <c r="T747" s="87" t="str">
        <f>IF(ISERROR(FIND('112'!$M$9,G747,1)),"",IF((AND(FIND('112'!$M$9,G747,1)&gt;=1,B747='112'!$K$9,OR($N747='112'!$I$6,$O747='112'!$I$6))),"x",""))</f>
        <v/>
      </c>
      <c r="U747" s="87" t="str">
        <f>IF(ISERROR(FIND('112'!$M$9,G747,1)),"",IF((AND(FIND('112'!$M$9,G747,1)&gt;=1,B747&lt;'112'!$K$9,$N747='112'!$I$6)),"x",""))</f>
        <v/>
      </c>
      <c r="V747" s="87" t="str">
        <f>IF(ISERROR(FIND('112'!$M$9,G747,1)),"",IF((AND(FIND('112'!$M$9,G747,1)&gt;=1,B747&lt;'112'!$K$9,$O747='112'!$I$6)),"x",""))</f>
        <v/>
      </c>
      <c r="W747" s="87" t="str">
        <f>IF(AND($B747&gt;='1331'!$I$9,$B747&lt;='1331'!$J$9,OR($N747=$W$7,$O747=$W$7)),"x","")</f>
        <v/>
      </c>
      <c r="X747" s="87" t="str">
        <f>IF(AND($N747=$W$7,$B747&lt;'1331'!$I$9),"x","")</f>
        <v/>
      </c>
      <c r="Y747" s="87" t="str">
        <f>IF(AND($O747=$W$7,$B747&lt;'1331'!$I$9),"x","")</f>
        <v/>
      </c>
      <c r="Z747" s="87" t="str">
        <f>IF(AND('341-CT'!$H$9=H747,OR(LEFT(N747,3)=$Z$7,LEFT(O747,3)=$Z$7)),"x","")</f>
        <v/>
      </c>
      <c r="AA747" s="87" t="str">
        <f>IF(OR(TH!N747=TH!$AA$7,O747=TH!$AA$7),"x","")</f>
        <v/>
      </c>
      <c r="AB747" s="87" t="str">
        <f>IF(AND(OR(N747="131",O747="131"),H747='131-CT'!$H$9),"x","")</f>
        <v/>
      </c>
      <c r="AC747" s="87"/>
      <c r="AD747" s="87" t="str">
        <f>IF(AND(MONTH(E747)='IN-NX'!$J$5,'IN-NX'!$D$7=D747),"x","")</f>
        <v/>
      </c>
      <c r="AE747" s="87" t="str">
        <f>IF(AND(OR(LEFT(TH!N747,2)="15",LEFT(TH!O747,2)="15"),'152-CT'!$J$8=TH!F747),"x","")</f>
        <v/>
      </c>
      <c r="AF747" s="87" t="str">
        <f>IF(AND(OR(LEFT(TH!N747,2)="15",LEFT(TH!O747,2)="15"),'THE KHO'!$E$7=TH!F747),"x","")</f>
        <v/>
      </c>
      <c r="AG747" s="87" t="str">
        <f>IF(AND(N747="1521",MONTH(C747)='BK NL'!$M$11),"x","")</f>
        <v/>
      </c>
    </row>
    <row r="748" spans="1:33" ht="15.75" customHeight="1">
      <c r="A748" s="399" t="str">
        <f>IF(B748&lt;&gt;"",IF(AND(B748&gt;=_TM1,B748&lt;=_TM2,OR(TH!N748="1111",TH!O748="1111")),TH!D748,""),"")</f>
        <v/>
      </c>
      <c r="B748" s="63" t="str">
        <f t="shared" si="16"/>
        <v/>
      </c>
      <c r="C748" s="363"/>
      <c r="D748" s="363"/>
      <c r="E748" s="363"/>
      <c r="F748" s="364"/>
      <c r="G748" s="391"/>
      <c r="H748" s="365"/>
      <c r="I748" s="518"/>
      <c r="J748" s="518"/>
      <c r="K748" s="509"/>
      <c r="L748" s="518"/>
      <c r="M748" s="65"/>
      <c r="N748" s="366"/>
      <c r="O748" s="366"/>
      <c r="P748" s="87" t="str">
        <f>IF(AND('331-CT'!$E$7=TH!H748,OR(N748="331",O748="331")),"x","")</f>
        <v/>
      </c>
      <c r="Q748" s="87" t="str">
        <f>IF(AND(B748='111'!$L$11,OR($N748=$Q$7,$O748=$Q$7)),"x","")</f>
        <v/>
      </c>
      <c r="R748" s="87" t="str">
        <f>IF(AND($N748=$Q$7,$B748&lt;'111'!$L$11),"x","")</f>
        <v/>
      </c>
      <c r="S748" s="87" t="str">
        <f>IF(AND($O748=$Q$7,$B748&lt;'111'!$L$11),"x","")</f>
        <v/>
      </c>
      <c r="T748" s="87" t="str">
        <f>IF(ISERROR(FIND('112'!$M$9,G748,1)),"",IF((AND(FIND('112'!$M$9,G748,1)&gt;=1,B748='112'!$K$9,OR($N748='112'!$I$6,$O748='112'!$I$6))),"x",""))</f>
        <v/>
      </c>
      <c r="U748" s="87" t="str">
        <f>IF(ISERROR(FIND('112'!$M$9,G748,1)),"",IF((AND(FIND('112'!$M$9,G748,1)&gt;=1,B748&lt;'112'!$K$9,$N748='112'!$I$6)),"x",""))</f>
        <v/>
      </c>
      <c r="V748" s="87" t="str">
        <f>IF(ISERROR(FIND('112'!$M$9,G748,1)),"",IF((AND(FIND('112'!$M$9,G748,1)&gt;=1,B748&lt;'112'!$K$9,$O748='112'!$I$6)),"x",""))</f>
        <v/>
      </c>
      <c r="W748" s="87" t="str">
        <f>IF(AND($B748&gt;='1331'!$I$9,$B748&lt;='1331'!$J$9,OR($N748=$W$7,$O748=$W$7)),"x","")</f>
        <v/>
      </c>
      <c r="X748" s="87" t="str">
        <f>IF(AND($N748=$W$7,$B748&lt;'1331'!$I$9),"x","")</f>
        <v/>
      </c>
      <c r="Y748" s="87" t="str">
        <f>IF(AND($O748=$W$7,$B748&lt;'1331'!$I$9),"x","")</f>
        <v/>
      </c>
      <c r="Z748" s="87" t="str">
        <f>IF(AND('341-CT'!$H$9=H748,OR(LEFT(N748,3)=$Z$7,LEFT(O748,3)=$Z$7)),"x","")</f>
        <v/>
      </c>
      <c r="AA748" s="87" t="str">
        <f>IF(OR(TH!N748=TH!$AA$7,O748=TH!$AA$7),"x","")</f>
        <v/>
      </c>
      <c r="AB748" s="87" t="str">
        <f>IF(AND(OR(N748="131",O748="131"),H748='131-CT'!$H$9),"x","")</f>
        <v/>
      </c>
      <c r="AC748" s="87"/>
      <c r="AD748" s="87" t="str">
        <f>IF(AND(MONTH(E748)='IN-NX'!$J$5,'IN-NX'!$D$7=D748),"x","")</f>
        <v/>
      </c>
      <c r="AE748" s="87" t="str">
        <f>IF(AND(OR(LEFT(TH!N748,2)="15",LEFT(TH!O748,2)="15"),'152-CT'!$J$8=TH!F748),"x","")</f>
        <v/>
      </c>
      <c r="AF748" s="87" t="str">
        <f>IF(AND(OR(LEFT(TH!N748,2)="15",LEFT(TH!O748,2)="15"),'THE KHO'!$E$7=TH!F748),"x","")</f>
        <v/>
      </c>
      <c r="AG748" s="87" t="str">
        <f>IF(AND(N748="1521",MONTH(C748)='BK NL'!$M$11),"x","")</f>
        <v/>
      </c>
    </row>
    <row r="749" spans="1:33" ht="15.75" customHeight="1">
      <c r="A749" s="399" t="str">
        <f>IF(B749&lt;&gt;"",IF(AND(B749&gt;=_TM1,B749&lt;=_TM2,OR(TH!N749="1111",TH!O749="1111")),TH!D749,""),"")</f>
        <v/>
      </c>
      <c r="B749" s="63" t="str">
        <f t="shared" si="16"/>
        <v/>
      </c>
      <c r="C749" s="363"/>
      <c r="D749" s="363"/>
      <c r="E749" s="363"/>
      <c r="F749" s="364"/>
      <c r="G749" s="391"/>
      <c r="H749" s="365"/>
      <c r="I749" s="518"/>
      <c r="J749" s="518"/>
      <c r="K749" s="509"/>
      <c r="L749" s="518"/>
      <c r="M749" s="65"/>
      <c r="N749" s="366"/>
      <c r="O749" s="366"/>
      <c r="P749" s="87" t="str">
        <f>IF(AND('331-CT'!$E$7=TH!H749,OR(N749="331",O749="331")),"x","")</f>
        <v/>
      </c>
      <c r="Q749" s="87" t="str">
        <f>IF(AND(B749='111'!$L$11,OR($N749=$Q$7,$O749=$Q$7)),"x","")</f>
        <v/>
      </c>
      <c r="R749" s="87" t="str">
        <f>IF(AND($N749=$Q$7,$B749&lt;'111'!$L$11),"x","")</f>
        <v/>
      </c>
      <c r="S749" s="87" t="str">
        <f>IF(AND($O749=$Q$7,$B749&lt;'111'!$L$11),"x","")</f>
        <v/>
      </c>
      <c r="T749" s="87" t="str">
        <f>IF(ISERROR(FIND('112'!$M$9,G749,1)),"",IF((AND(FIND('112'!$M$9,G749,1)&gt;=1,B749='112'!$K$9,OR($N749='112'!$I$6,$O749='112'!$I$6))),"x",""))</f>
        <v/>
      </c>
      <c r="U749" s="87" t="str">
        <f>IF(ISERROR(FIND('112'!$M$9,G749,1)),"",IF((AND(FIND('112'!$M$9,G749,1)&gt;=1,B749&lt;'112'!$K$9,$N749='112'!$I$6)),"x",""))</f>
        <v/>
      </c>
      <c r="V749" s="87" t="str">
        <f>IF(ISERROR(FIND('112'!$M$9,G749,1)),"",IF((AND(FIND('112'!$M$9,G749,1)&gt;=1,B749&lt;'112'!$K$9,$O749='112'!$I$6)),"x",""))</f>
        <v/>
      </c>
      <c r="W749" s="87" t="str">
        <f>IF(AND($B749&gt;='1331'!$I$9,$B749&lt;='1331'!$J$9,OR($N749=$W$7,$O749=$W$7)),"x","")</f>
        <v/>
      </c>
      <c r="X749" s="87" t="str">
        <f>IF(AND($N749=$W$7,$B749&lt;'1331'!$I$9),"x","")</f>
        <v/>
      </c>
      <c r="Y749" s="87" t="str">
        <f>IF(AND($O749=$W$7,$B749&lt;'1331'!$I$9),"x","")</f>
        <v/>
      </c>
      <c r="Z749" s="87" t="str">
        <f>IF(AND('341-CT'!$H$9=H749,OR(LEFT(N749,3)=$Z$7,LEFT(O749,3)=$Z$7)),"x","")</f>
        <v/>
      </c>
      <c r="AA749" s="87" t="str">
        <f>IF(OR(TH!N749=TH!$AA$7,O749=TH!$AA$7),"x","")</f>
        <v/>
      </c>
      <c r="AB749" s="87" t="str">
        <f>IF(AND(OR(N749="131",O749="131"),H749='131-CT'!$H$9),"x","")</f>
        <v/>
      </c>
      <c r="AC749" s="87"/>
      <c r="AD749" s="87" t="str">
        <f>IF(AND(MONTH(E749)='IN-NX'!$J$5,'IN-NX'!$D$7=D749),"x","")</f>
        <v/>
      </c>
      <c r="AE749" s="87" t="str">
        <f>IF(AND(OR(LEFT(TH!N749,2)="15",LEFT(TH!O749,2)="15"),'152-CT'!$J$8=TH!F749),"x","")</f>
        <v/>
      </c>
      <c r="AF749" s="87" t="str">
        <f>IF(AND(OR(LEFT(TH!N749,2)="15",LEFT(TH!O749,2)="15"),'THE KHO'!$E$7=TH!F749),"x","")</f>
        <v/>
      </c>
      <c r="AG749" s="87" t="str">
        <f>IF(AND(N749="1521",MONTH(C749)='BK NL'!$M$11),"x","")</f>
        <v/>
      </c>
    </row>
    <row r="750" spans="1:33" ht="15.75" customHeight="1">
      <c r="A750" s="399" t="str">
        <f>IF(B750&lt;&gt;"",IF(AND(B750&gt;=_TM1,B750&lt;=_TM2,OR(TH!N750="1111",TH!O750="1111")),TH!D750,""),"")</f>
        <v/>
      </c>
      <c r="B750" s="63" t="str">
        <f t="shared" ref="B750:B768" si="17">IF(C750&lt;&gt;"",MONTH(C750),"")</f>
        <v/>
      </c>
      <c r="C750" s="363"/>
      <c r="D750" s="363"/>
      <c r="E750" s="363"/>
      <c r="F750" s="364"/>
      <c r="G750" s="391"/>
      <c r="H750" s="365"/>
      <c r="I750" s="518"/>
      <c r="J750" s="518"/>
      <c r="K750" s="509"/>
      <c r="L750" s="518"/>
      <c r="M750" s="65"/>
      <c r="N750" s="366"/>
      <c r="O750" s="366"/>
      <c r="P750" s="87" t="str">
        <f>IF(AND('331-CT'!$E$7=TH!H750,OR(N750="331",O750="331")),"x","")</f>
        <v/>
      </c>
      <c r="Q750" s="87" t="str">
        <f>IF(AND(B750='111'!$L$11,OR($N750=$Q$7,$O750=$Q$7)),"x","")</f>
        <v/>
      </c>
      <c r="R750" s="87" t="str">
        <f>IF(AND($N750=$Q$7,$B750&lt;'111'!$L$11),"x","")</f>
        <v/>
      </c>
      <c r="S750" s="87" t="str">
        <f>IF(AND($O750=$Q$7,$B750&lt;'111'!$L$11),"x","")</f>
        <v/>
      </c>
      <c r="T750" s="87" t="str">
        <f>IF(ISERROR(FIND('112'!$M$9,G750,1)),"",IF((AND(FIND('112'!$M$9,G750,1)&gt;=1,B750='112'!$K$9,OR($N750='112'!$I$6,$O750='112'!$I$6))),"x",""))</f>
        <v/>
      </c>
      <c r="U750" s="87" t="str">
        <f>IF(ISERROR(FIND('112'!$M$9,G750,1)),"",IF((AND(FIND('112'!$M$9,G750,1)&gt;=1,B750&lt;'112'!$K$9,$N750='112'!$I$6)),"x",""))</f>
        <v/>
      </c>
      <c r="V750" s="87" t="str">
        <f>IF(ISERROR(FIND('112'!$M$9,G750,1)),"",IF((AND(FIND('112'!$M$9,G750,1)&gt;=1,B750&lt;'112'!$K$9,$O750='112'!$I$6)),"x",""))</f>
        <v/>
      </c>
      <c r="W750" s="87" t="str">
        <f>IF(AND($B750&gt;='1331'!$I$9,$B750&lt;='1331'!$J$9,OR($N750=$W$7,$O750=$W$7)),"x","")</f>
        <v/>
      </c>
      <c r="X750" s="87" t="str">
        <f>IF(AND($N750=$W$7,$B750&lt;'1331'!$I$9),"x","")</f>
        <v/>
      </c>
      <c r="Y750" s="87" t="str">
        <f>IF(AND($O750=$W$7,$B750&lt;'1331'!$I$9),"x","")</f>
        <v/>
      </c>
      <c r="Z750" s="87" t="str">
        <f>IF(AND('341-CT'!$H$9=H750,OR(LEFT(N750,3)=$Z$7,LEFT(O750,3)=$Z$7)),"x","")</f>
        <v/>
      </c>
      <c r="AA750" s="87" t="str">
        <f>IF(OR(TH!N750=TH!$AA$7,O750=TH!$AA$7),"x","")</f>
        <v/>
      </c>
      <c r="AB750" s="87" t="str">
        <f>IF(AND(OR(N750="131",O750="131"),H750='131-CT'!$H$9),"x","")</f>
        <v/>
      </c>
      <c r="AC750" s="87"/>
      <c r="AD750" s="87" t="str">
        <f>IF(AND(MONTH(E750)='IN-NX'!$J$5,'IN-NX'!$D$7=D750),"x","")</f>
        <v/>
      </c>
      <c r="AE750" s="87" t="str">
        <f>IF(AND(OR(LEFT(TH!N750,2)="15",LEFT(TH!O750,2)="15"),'152-CT'!$J$8=TH!F750),"x","")</f>
        <v/>
      </c>
      <c r="AF750" s="87" t="str">
        <f>IF(AND(OR(LEFT(TH!N750,2)="15",LEFT(TH!O750,2)="15"),'THE KHO'!$E$7=TH!F750),"x","")</f>
        <v/>
      </c>
      <c r="AG750" s="87" t="str">
        <f>IF(AND(N750="1521",MONTH(C750)='BK NL'!$M$11),"x","")</f>
        <v/>
      </c>
    </row>
    <row r="751" spans="1:33" ht="15.75" customHeight="1">
      <c r="A751" s="399" t="str">
        <f>IF(B751&lt;&gt;"",IF(AND(B751&gt;=_TM1,B751&lt;=_TM2,OR(TH!N751="1111",TH!O751="1111")),TH!D751,""),"")</f>
        <v/>
      </c>
      <c r="B751" s="63" t="str">
        <f t="shared" si="17"/>
        <v/>
      </c>
      <c r="C751" s="64"/>
      <c r="D751" s="64"/>
      <c r="E751" s="64"/>
      <c r="F751" s="67"/>
      <c r="G751" s="376"/>
      <c r="H751" s="407"/>
      <c r="I751" s="520"/>
      <c r="J751" s="520"/>
      <c r="K751" s="511"/>
      <c r="L751" s="520"/>
      <c r="M751" s="392"/>
      <c r="N751" s="366"/>
      <c r="O751" s="66"/>
      <c r="P751" s="87" t="str">
        <f>IF(AND('331-CT'!$E$7=TH!H751,OR(N751="331",O751="331")),"x","")</f>
        <v/>
      </c>
      <c r="Q751" s="87" t="str">
        <f>IF(AND(B751='111'!$L$11,OR($N751=$Q$7,$O751=$Q$7)),"x","")</f>
        <v/>
      </c>
      <c r="R751" s="87" t="str">
        <f>IF(AND($N751=$Q$7,$B751&lt;'111'!$L$11),"x","")</f>
        <v/>
      </c>
      <c r="S751" s="87" t="str">
        <f>IF(AND($O751=$Q$7,$B751&lt;'111'!$L$11),"x","")</f>
        <v/>
      </c>
      <c r="T751" s="87" t="str">
        <f>IF(ISERROR(FIND('112'!$M$9,G751,1)),"",IF((AND(FIND('112'!$M$9,G751,1)&gt;=1,B751='112'!$K$9,OR($N751='112'!$I$6,$O751='112'!$I$6))),"x",""))</f>
        <v/>
      </c>
      <c r="U751" s="87" t="str">
        <f>IF(ISERROR(FIND('112'!$M$9,G751,1)),"",IF((AND(FIND('112'!$M$9,G751,1)&gt;=1,B751&lt;'112'!$K$9,$N751='112'!$I$6)),"x",""))</f>
        <v/>
      </c>
      <c r="V751" s="87" t="str">
        <f>IF(ISERROR(FIND('112'!$M$9,G751,1)),"",IF((AND(FIND('112'!$M$9,G751,1)&gt;=1,B751&lt;'112'!$K$9,$O751='112'!$I$6)),"x",""))</f>
        <v/>
      </c>
      <c r="W751" s="87" t="str">
        <f>IF(AND($B751&gt;='1331'!$I$9,$B751&lt;='1331'!$J$9,OR($N751=$W$7,$O751=$W$7)),"x","")</f>
        <v/>
      </c>
      <c r="X751" s="87" t="str">
        <f>IF(AND($N751=$W$7,$B751&lt;'1331'!$I$9),"x","")</f>
        <v/>
      </c>
      <c r="Y751" s="87" t="str">
        <f>IF(AND($O751=$W$7,$B751&lt;'1331'!$I$9),"x","")</f>
        <v/>
      </c>
      <c r="Z751" s="87" t="str">
        <f>IF(AND('341-CT'!$H$9=H751,OR(LEFT(N751,3)=$Z$7,LEFT(O751,3)=$Z$7)),"x","")</f>
        <v/>
      </c>
      <c r="AA751" s="87" t="str">
        <f>IF(OR(TH!N751=TH!$AA$7,O751=TH!$AA$7),"x","")</f>
        <v/>
      </c>
      <c r="AB751" s="87" t="str">
        <f>IF(AND(OR(N751="131",O751="131"),H751='131-CT'!$H$9),"x","")</f>
        <v/>
      </c>
      <c r="AC751" s="87"/>
      <c r="AD751" s="87" t="str">
        <f>IF(AND(MONTH(E751)='IN-NX'!$J$5,'IN-NX'!$D$7=D751),"x","")</f>
        <v/>
      </c>
      <c r="AE751" s="87" t="str">
        <f>IF(AND(OR(LEFT(TH!N751,2)="15",LEFT(TH!O751,2)="15"),'152-CT'!$J$8=TH!F751),"x","")</f>
        <v/>
      </c>
      <c r="AF751" s="87" t="str">
        <f>IF(AND(OR(LEFT(TH!N751,2)="15",LEFT(TH!O751,2)="15"),'THE KHO'!$E$7=TH!F751),"x","")</f>
        <v/>
      </c>
      <c r="AG751" s="87" t="str">
        <f>IF(AND(N751="1521",MONTH(C751)='BK NL'!$M$11),"x","")</f>
        <v/>
      </c>
    </row>
    <row r="752" spans="1:33" ht="15.75" customHeight="1">
      <c r="A752" s="399" t="str">
        <f>IF(B752&lt;&gt;"",IF(AND(B752&gt;=_TM1,B752&lt;=_TM2,OR(TH!N752="1111",TH!O752="1111")),TH!D752,""),"")</f>
        <v/>
      </c>
      <c r="B752" s="63" t="str">
        <f t="shared" si="17"/>
        <v/>
      </c>
      <c r="C752" s="64"/>
      <c r="D752" s="64"/>
      <c r="E752" s="64"/>
      <c r="F752" s="67"/>
      <c r="G752" s="376"/>
      <c r="H752" s="407"/>
      <c r="I752" s="520"/>
      <c r="J752" s="520"/>
      <c r="K752" s="511"/>
      <c r="L752" s="520"/>
      <c r="M752" s="65"/>
      <c r="N752" s="366"/>
      <c r="O752" s="66"/>
      <c r="P752" s="87" t="str">
        <f>IF(AND('331-CT'!$E$7=TH!H752,OR(N752="331",O752="331")),"x","")</f>
        <v/>
      </c>
      <c r="Q752" s="87" t="str">
        <f>IF(AND(B752='111'!$L$11,OR($N752=$Q$7,$O752=$Q$7)),"x","")</f>
        <v/>
      </c>
      <c r="R752" s="87" t="str">
        <f>IF(AND($N752=$Q$7,$B752&lt;'111'!$L$11),"x","")</f>
        <v/>
      </c>
      <c r="S752" s="87" t="str">
        <f>IF(AND($O752=$Q$7,$B752&lt;'111'!$L$11),"x","")</f>
        <v/>
      </c>
      <c r="T752" s="87" t="str">
        <f>IF(ISERROR(FIND('112'!$M$9,G752,1)),"",IF((AND(FIND('112'!$M$9,G752,1)&gt;=1,B752='112'!$K$9,OR($N752='112'!$I$6,$O752='112'!$I$6))),"x",""))</f>
        <v/>
      </c>
      <c r="U752" s="87" t="str">
        <f>IF(ISERROR(FIND('112'!$M$9,G752,1)),"",IF((AND(FIND('112'!$M$9,G752,1)&gt;=1,B752&lt;'112'!$K$9,$N752='112'!$I$6)),"x",""))</f>
        <v/>
      </c>
      <c r="V752" s="87" t="str">
        <f>IF(ISERROR(FIND('112'!$M$9,G752,1)),"",IF((AND(FIND('112'!$M$9,G752,1)&gt;=1,B752&lt;'112'!$K$9,$O752='112'!$I$6)),"x",""))</f>
        <v/>
      </c>
      <c r="W752" s="87" t="str">
        <f>IF(AND($B752&gt;='1331'!$I$9,$B752&lt;='1331'!$J$9,OR($N752=$W$7,$O752=$W$7)),"x","")</f>
        <v/>
      </c>
      <c r="X752" s="87" t="str">
        <f>IF(AND($N752=$W$7,$B752&lt;'1331'!$I$9),"x","")</f>
        <v/>
      </c>
      <c r="Y752" s="87" t="str">
        <f>IF(AND($O752=$W$7,$B752&lt;'1331'!$I$9),"x","")</f>
        <v/>
      </c>
      <c r="Z752" s="87" t="str">
        <f>IF(AND('341-CT'!$H$9=H752,OR(LEFT(N752,3)=$Z$7,LEFT(O752,3)=$Z$7)),"x","")</f>
        <v/>
      </c>
      <c r="AA752" s="87" t="str">
        <f>IF(OR(TH!N752=TH!$AA$7,O752=TH!$AA$7),"x","")</f>
        <v/>
      </c>
      <c r="AB752" s="87" t="str">
        <f>IF(AND(OR(N752="131",O752="131"),H752='131-CT'!$H$9),"x","")</f>
        <v/>
      </c>
      <c r="AC752" s="87"/>
      <c r="AD752" s="87" t="str">
        <f>IF(AND(MONTH(E752)='IN-NX'!$J$5,'IN-NX'!$D$7=D752),"x","")</f>
        <v/>
      </c>
      <c r="AE752" s="87" t="str">
        <f>IF(AND(OR(LEFT(TH!N752,2)="15",LEFT(TH!O752,2)="15"),'152-CT'!$J$8=TH!F752),"x","")</f>
        <v/>
      </c>
      <c r="AF752" s="87" t="str">
        <f>IF(AND(OR(LEFT(TH!N752,2)="15",LEFT(TH!O752,2)="15"),'THE KHO'!$E$7=TH!F752),"x","")</f>
        <v/>
      </c>
      <c r="AG752" s="87" t="str">
        <f>IF(AND(N752="1521",MONTH(C752)='BK NL'!$M$11),"x","")</f>
        <v/>
      </c>
    </row>
    <row r="753" spans="1:33" ht="15.75" customHeight="1">
      <c r="A753" s="399" t="str">
        <f>IF(B753&lt;&gt;"",IF(AND(B753&gt;=_TM1,B753&lt;=_TM2,OR(TH!N753="1111",TH!O753="1111")),TH!D753,""),"")</f>
        <v/>
      </c>
      <c r="B753" s="63" t="str">
        <f t="shared" si="17"/>
        <v/>
      </c>
      <c r="C753" s="64"/>
      <c r="D753" s="64"/>
      <c r="E753" s="64"/>
      <c r="F753" s="67"/>
      <c r="G753" s="376"/>
      <c r="H753" s="75"/>
      <c r="I753" s="518"/>
      <c r="J753" s="518"/>
      <c r="K753" s="509"/>
      <c r="L753" s="518"/>
      <c r="M753" s="65"/>
      <c r="N753" s="66"/>
      <c r="O753" s="66"/>
      <c r="P753" s="87" t="str">
        <f>IF(AND('331-CT'!$E$7=TH!H753,OR(N753="331",O753="331")),"x","")</f>
        <v/>
      </c>
      <c r="Q753" s="87" t="str">
        <f>IF(AND(B753='111'!$L$11,OR($N753=$Q$7,$O753=$Q$7)),"x","")</f>
        <v/>
      </c>
      <c r="R753" s="87" t="str">
        <f>IF(AND($N753=$Q$7,$B753&lt;'111'!$L$11),"x","")</f>
        <v/>
      </c>
      <c r="S753" s="87" t="str">
        <f>IF(AND($O753=$Q$7,$B753&lt;'111'!$L$11),"x","")</f>
        <v/>
      </c>
      <c r="T753" s="87" t="str">
        <f>IF(ISERROR(FIND('112'!$M$9,G753,1)),"",IF((AND(FIND('112'!$M$9,G753,1)&gt;=1,B753='112'!$K$9,OR($N753='112'!$I$6,$O753='112'!$I$6))),"x",""))</f>
        <v/>
      </c>
      <c r="U753" s="87" t="str">
        <f>IF(ISERROR(FIND('112'!$M$9,G753,1)),"",IF((AND(FIND('112'!$M$9,G753,1)&gt;=1,B753&lt;'112'!$K$9,$N753='112'!$I$6)),"x",""))</f>
        <v/>
      </c>
      <c r="V753" s="87" t="str">
        <f>IF(ISERROR(FIND('112'!$M$9,G753,1)),"",IF((AND(FIND('112'!$M$9,G753,1)&gt;=1,B753&lt;'112'!$K$9,$O753='112'!$I$6)),"x",""))</f>
        <v/>
      </c>
      <c r="W753" s="87" t="str">
        <f>IF(AND($B753&gt;='1331'!$I$9,$B753&lt;='1331'!$J$9,OR($N753=$W$7,$O753=$W$7)),"x","")</f>
        <v/>
      </c>
      <c r="X753" s="87" t="str">
        <f>IF(AND($N753=$W$7,$B753&lt;'1331'!$I$9),"x","")</f>
        <v/>
      </c>
      <c r="Y753" s="87" t="str">
        <f>IF(AND($O753=$W$7,$B753&lt;'1331'!$I$9),"x","")</f>
        <v/>
      </c>
      <c r="Z753" s="87" t="str">
        <f>IF(AND('341-CT'!$H$9=H753,OR(LEFT(N753,3)=$Z$7,LEFT(O753,3)=$Z$7)),"x","")</f>
        <v/>
      </c>
      <c r="AA753" s="87" t="str">
        <f>IF(OR(TH!N753=TH!$AA$7,O753=TH!$AA$7),"x","")</f>
        <v/>
      </c>
      <c r="AB753" s="87" t="str">
        <f>IF(AND(OR(N753="131",O753="131"),H753='131-CT'!$H$9),"x","")</f>
        <v/>
      </c>
      <c r="AC753" s="87"/>
      <c r="AD753" s="87" t="str">
        <f>IF(AND(MONTH(E753)='IN-NX'!$J$5,'IN-NX'!$D$7=D753),"x","")</f>
        <v/>
      </c>
      <c r="AE753" s="87" t="str">
        <f>IF(AND(OR(LEFT(TH!N753,2)="15",LEFT(TH!O753,2)="15"),'152-CT'!$J$8=TH!F753),"x","")</f>
        <v/>
      </c>
      <c r="AF753" s="87" t="str">
        <f>IF(AND(OR(LEFT(TH!N753,2)="15",LEFT(TH!O753,2)="15"),'THE KHO'!$E$7=TH!F753),"x","")</f>
        <v/>
      </c>
      <c r="AG753" s="87" t="str">
        <f>IF(AND(N753="1521",MONTH(C753)='BK NL'!$M$11),"x","")</f>
        <v/>
      </c>
    </row>
    <row r="754" spans="1:33" ht="15.75" customHeight="1">
      <c r="A754" s="399" t="str">
        <f>IF(B754&lt;&gt;"",IF(AND(B754&gt;=_TM1,B754&lt;=_TM2,OR(TH!N754="1111",TH!O754="1111")),TH!D754,""),"")</f>
        <v/>
      </c>
      <c r="B754" s="63" t="str">
        <f t="shared" si="17"/>
        <v/>
      </c>
      <c r="C754" s="64"/>
      <c r="D754" s="64"/>
      <c r="E754" s="64"/>
      <c r="F754" s="67"/>
      <c r="G754" s="376"/>
      <c r="H754" s="75"/>
      <c r="I754" s="518"/>
      <c r="J754" s="518"/>
      <c r="K754" s="509"/>
      <c r="L754" s="518"/>
      <c r="M754" s="65"/>
      <c r="N754" s="66"/>
      <c r="O754" s="66"/>
      <c r="P754" s="87" t="str">
        <f>IF(AND('331-CT'!$E$7=TH!H754,OR(N754="331",O754="331")),"x","")</f>
        <v/>
      </c>
      <c r="Q754" s="87" t="str">
        <f>IF(AND(B754='111'!$L$11,OR($N754=$Q$7,$O754=$Q$7)),"x","")</f>
        <v/>
      </c>
      <c r="R754" s="87" t="str">
        <f>IF(AND($N754=$Q$7,$B754&lt;'111'!$L$11),"x","")</f>
        <v/>
      </c>
      <c r="S754" s="87" t="str">
        <f>IF(AND($O754=$Q$7,$B754&lt;'111'!$L$11),"x","")</f>
        <v/>
      </c>
      <c r="T754" s="87" t="str">
        <f>IF(ISERROR(FIND('112'!$M$9,G754,1)),"",IF((AND(FIND('112'!$M$9,G754,1)&gt;=1,B754='112'!$K$9,OR($N754='112'!$I$6,$O754='112'!$I$6))),"x",""))</f>
        <v/>
      </c>
      <c r="U754" s="87" t="str">
        <f>IF(ISERROR(FIND('112'!$M$9,G754,1)),"",IF((AND(FIND('112'!$M$9,G754,1)&gt;=1,B754&lt;'112'!$K$9,$N754='112'!$I$6)),"x",""))</f>
        <v/>
      </c>
      <c r="V754" s="87" t="str">
        <f>IF(ISERROR(FIND('112'!$M$9,G754,1)),"",IF((AND(FIND('112'!$M$9,G754,1)&gt;=1,B754&lt;'112'!$K$9,$O754='112'!$I$6)),"x",""))</f>
        <v/>
      </c>
      <c r="W754" s="87" t="str">
        <f>IF(AND($B754&gt;='1331'!$I$9,$B754&lt;='1331'!$J$9,OR($N754=$W$7,$O754=$W$7)),"x","")</f>
        <v/>
      </c>
      <c r="X754" s="87" t="str">
        <f>IF(AND($N754=$W$7,$B754&lt;'1331'!$I$9),"x","")</f>
        <v/>
      </c>
      <c r="Y754" s="87" t="str">
        <f>IF(AND($O754=$W$7,$B754&lt;'1331'!$I$9),"x","")</f>
        <v/>
      </c>
      <c r="Z754" s="87" t="str">
        <f>IF(AND('341-CT'!$H$9=H754,OR(LEFT(N754,3)=$Z$7,LEFT(O754,3)=$Z$7)),"x","")</f>
        <v/>
      </c>
      <c r="AA754" s="87" t="str">
        <f>IF(OR(TH!N754=TH!$AA$7,O754=TH!$AA$7),"x","")</f>
        <v/>
      </c>
      <c r="AB754" s="87" t="str">
        <f>IF(AND(OR(N754="131",O754="131"),H754='131-CT'!$H$9),"x","")</f>
        <v/>
      </c>
      <c r="AC754" s="87"/>
      <c r="AD754" s="87" t="str">
        <f>IF(AND(MONTH(E754)='IN-NX'!$J$5,'IN-NX'!$D$7=D754),"x","")</f>
        <v/>
      </c>
      <c r="AE754" s="87" t="str">
        <f>IF(AND(OR(LEFT(TH!N754,2)="15",LEFT(TH!O754,2)="15"),'152-CT'!$J$8=TH!F754),"x","")</f>
        <v/>
      </c>
      <c r="AF754" s="87" t="str">
        <f>IF(AND(OR(LEFT(TH!N754,2)="15",LEFT(TH!O754,2)="15"),'THE KHO'!$E$7=TH!F754),"x","")</f>
        <v/>
      </c>
      <c r="AG754" s="87" t="str">
        <f>IF(AND(N754="1521",MONTH(C754)='BK NL'!$M$11),"x","")</f>
        <v/>
      </c>
    </row>
    <row r="755" spans="1:33" ht="15.75" customHeight="1">
      <c r="A755" s="399" t="str">
        <f>IF(B755&lt;&gt;"",IF(AND(B755&gt;=_TM1,B755&lt;=_TM2,OR(TH!N755="1111",TH!O755="1111")),TH!D755,""),"")</f>
        <v/>
      </c>
      <c r="B755" s="63" t="str">
        <f t="shared" si="17"/>
        <v/>
      </c>
      <c r="C755" s="64"/>
      <c r="D755" s="64"/>
      <c r="E755" s="64"/>
      <c r="F755" s="67"/>
      <c r="G755" s="376"/>
      <c r="H755" s="75"/>
      <c r="I755" s="518"/>
      <c r="J755" s="518"/>
      <c r="K755" s="509"/>
      <c r="L755" s="518"/>
      <c r="M755" s="65"/>
      <c r="N755" s="66"/>
      <c r="O755" s="66"/>
      <c r="P755" s="87" t="str">
        <f>IF(AND('331-CT'!$E$7=TH!H755,OR(N755="331",O755="331")),"x","")</f>
        <v/>
      </c>
      <c r="Q755" s="87" t="str">
        <f>IF(AND(B755='111'!$L$11,OR($N755=$Q$7,$O755=$Q$7)),"x","")</f>
        <v/>
      </c>
      <c r="R755" s="87" t="str">
        <f>IF(AND($N755=$Q$7,$B755&lt;'111'!$L$11),"x","")</f>
        <v/>
      </c>
      <c r="S755" s="87" t="str">
        <f>IF(AND($O755=$Q$7,$B755&lt;'111'!$L$11),"x","")</f>
        <v/>
      </c>
      <c r="T755" s="87" t="str">
        <f>IF(ISERROR(FIND('112'!$M$9,G755,1)),"",IF((AND(FIND('112'!$M$9,G755,1)&gt;=1,B755='112'!$K$9,OR($N755='112'!$I$6,$O755='112'!$I$6))),"x",""))</f>
        <v/>
      </c>
      <c r="U755" s="87" t="str">
        <f>IF(ISERROR(FIND('112'!$M$9,G755,1)),"",IF((AND(FIND('112'!$M$9,G755,1)&gt;=1,B755&lt;'112'!$K$9,$N755='112'!$I$6)),"x",""))</f>
        <v/>
      </c>
      <c r="V755" s="87" t="str">
        <f>IF(ISERROR(FIND('112'!$M$9,G755,1)),"",IF((AND(FIND('112'!$M$9,G755,1)&gt;=1,B755&lt;'112'!$K$9,$O755='112'!$I$6)),"x",""))</f>
        <v/>
      </c>
      <c r="W755" s="87" t="str">
        <f>IF(AND($B755&gt;='1331'!$I$9,$B755&lt;='1331'!$J$9,OR($N755=$W$7,$O755=$W$7)),"x","")</f>
        <v/>
      </c>
      <c r="X755" s="87" t="str">
        <f>IF(AND($N755=$W$7,$B755&lt;'1331'!$I$9),"x","")</f>
        <v/>
      </c>
      <c r="Y755" s="87" t="str">
        <f>IF(AND($O755=$W$7,$B755&lt;'1331'!$I$9),"x","")</f>
        <v/>
      </c>
      <c r="Z755" s="87" t="str">
        <f>IF(AND('341-CT'!$H$9=H755,OR(LEFT(N755,3)=$Z$7,LEFT(O755,3)=$Z$7)),"x","")</f>
        <v/>
      </c>
      <c r="AA755" s="87" t="str">
        <f>IF(OR(TH!N755=TH!$AA$7,O755=TH!$AA$7),"x","")</f>
        <v/>
      </c>
      <c r="AB755" s="87" t="str">
        <f>IF(AND(OR(N755="131",O755="131"),H755='131-CT'!$H$9),"x","")</f>
        <v/>
      </c>
      <c r="AC755" s="87"/>
      <c r="AD755" s="87" t="str">
        <f>IF(AND(MONTH(E755)='IN-NX'!$J$5,'IN-NX'!$D$7=D755),"x","")</f>
        <v/>
      </c>
      <c r="AE755" s="87" t="str">
        <f>IF(AND(OR(LEFT(TH!N755,2)="15",LEFT(TH!O755,2)="15"),'152-CT'!$J$8=TH!F755),"x","")</f>
        <v/>
      </c>
      <c r="AF755" s="87" t="str">
        <f>IF(AND(OR(LEFT(TH!N755,2)="15",LEFT(TH!O755,2)="15"),'THE KHO'!$E$7=TH!F755),"x","")</f>
        <v/>
      </c>
      <c r="AG755" s="87" t="str">
        <f>IF(AND(N755="1521",MONTH(C755)='BK NL'!$M$11),"x","")</f>
        <v/>
      </c>
    </row>
    <row r="756" spans="1:33" ht="15.75" customHeight="1">
      <c r="A756" s="399" t="str">
        <f>IF(B756&lt;&gt;"",IF(AND(B756&gt;=_TM1,B756&lt;=_TM2,OR(TH!N756="1111",TH!O756="1111")),TH!D756,""),"")</f>
        <v/>
      </c>
      <c r="B756" s="63" t="str">
        <f t="shared" si="17"/>
        <v/>
      </c>
      <c r="C756" s="64"/>
      <c r="D756" s="64"/>
      <c r="E756" s="363"/>
      <c r="F756" s="364"/>
      <c r="G756" s="362"/>
      <c r="H756" s="75"/>
      <c r="I756" s="518"/>
      <c r="J756" s="518"/>
      <c r="K756" s="509"/>
      <c r="L756" s="518"/>
      <c r="M756" s="65"/>
      <c r="N756" s="366"/>
      <c r="O756" s="366"/>
      <c r="P756" s="87" t="str">
        <f>IF(AND('331-CT'!$E$7=TH!H756,OR(N756="331",O756="331")),"x","")</f>
        <v/>
      </c>
      <c r="Q756" s="87" t="str">
        <f>IF(AND(B756='111'!$L$11,OR($N756=$Q$7,$O756=$Q$7)),"x","")</f>
        <v/>
      </c>
      <c r="R756" s="87" t="str">
        <f>IF(AND($N756=$Q$7,$B756&lt;'111'!$L$11),"x","")</f>
        <v/>
      </c>
      <c r="S756" s="87" t="str">
        <f>IF(AND($O756=$Q$7,$B756&lt;'111'!$L$11),"x","")</f>
        <v/>
      </c>
      <c r="T756" s="87" t="str">
        <f>IF(ISERROR(FIND('112'!$M$9,G756,1)),"",IF((AND(FIND('112'!$M$9,G756,1)&gt;=1,B756='112'!$K$9,OR($N756='112'!$I$6,$O756='112'!$I$6))),"x",""))</f>
        <v/>
      </c>
      <c r="U756" s="87" t="str">
        <f>IF(ISERROR(FIND('112'!$M$9,G756,1)),"",IF((AND(FIND('112'!$M$9,G756,1)&gt;=1,B756&lt;'112'!$K$9,$N756='112'!$I$6)),"x",""))</f>
        <v/>
      </c>
      <c r="V756" s="87" t="str">
        <f>IF(ISERROR(FIND('112'!$M$9,G756,1)),"",IF((AND(FIND('112'!$M$9,G756,1)&gt;=1,B756&lt;'112'!$K$9,$O756='112'!$I$6)),"x",""))</f>
        <v/>
      </c>
      <c r="W756" s="87" t="str">
        <f>IF(AND($B756&gt;='1331'!$I$9,$B756&lt;='1331'!$J$9,OR($N756=$W$7,$O756=$W$7)),"x","")</f>
        <v/>
      </c>
      <c r="X756" s="87" t="str">
        <f>IF(AND($N756=$W$7,$B756&lt;'1331'!$I$9),"x","")</f>
        <v/>
      </c>
      <c r="Y756" s="87" t="str">
        <f>IF(AND($O756=$W$7,$B756&lt;'1331'!$I$9),"x","")</f>
        <v/>
      </c>
      <c r="Z756" s="87" t="str">
        <f>IF(AND('341-CT'!$H$9=H756,OR(LEFT(N756,3)=$Z$7,LEFT(O756,3)=$Z$7)),"x","")</f>
        <v/>
      </c>
      <c r="AA756" s="87" t="str">
        <f>IF(OR(TH!N756=TH!$AA$7,O756=TH!$AA$7),"x","")</f>
        <v/>
      </c>
      <c r="AB756" s="87" t="str">
        <f>IF(AND(OR(N756="131",O756="131"),H756='131-CT'!$H$9),"x","")</f>
        <v/>
      </c>
      <c r="AC756" s="87"/>
      <c r="AD756" s="87" t="str">
        <f>IF(AND(MONTH(E756)='IN-NX'!$J$5,'IN-NX'!$D$7=D756),"x","")</f>
        <v/>
      </c>
      <c r="AE756" s="87" t="str">
        <f>IF(AND(OR(LEFT(TH!N756,2)="15",LEFT(TH!O756,2)="15"),'152-CT'!$J$8=TH!F756),"x","")</f>
        <v/>
      </c>
      <c r="AF756" s="87" t="str">
        <f>IF(AND(OR(LEFT(TH!N756,2)="15",LEFT(TH!O756,2)="15"),'THE KHO'!$E$7=TH!F756),"x","")</f>
        <v/>
      </c>
      <c r="AG756" s="87" t="str">
        <f>IF(AND(N756="1521",MONTH(C756)='BK NL'!$M$11),"x","")</f>
        <v/>
      </c>
    </row>
    <row r="757" spans="1:33" ht="15.75" customHeight="1">
      <c r="A757" s="399" t="str">
        <f>IF(B757&lt;&gt;"",IF(AND(B757&gt;=_TM1,B757&lt;=_TM2,OR(TH!N757="1111",TH!O757="1111")),TH!D757,""),"")</f>
        <v/>
      </c>
      <c r="B757" s="63" t="str">
        <f t="shared" si="17"/>
        <v/>
      </c>
      <c r="C757" s="64"/>
      <c r="D757" s="363"/>
      <c r="E757" s="363"/>
      <c r="F757" s="364"/>
      <c r="G757" s="391"/>
      <c r="H757" s="365"/>
      <c r="I757" s="518"/>
      <c r="J757" s="518"/>
      <c r="K757" s="509"/>
      <c r="L757" s="518"/>
      <c r="M757" s="65"/>
      <c r="N757" s="366"/>
      <c r="O757" s="366"/>
      <c r="P757" s="87" t="str">
        <f>IF(AND('331-CT'!$E$7=TH!H757,OR(N757="331",O757="331")),"x","")</f>
        <v/>
      </c>
      <c r="Q757" s="87" t="str">
        <f>IF(AND(B757='111'!$L$11,OR($N757=$Q$7,$O757=$Q$7)),"x","")</f>
        <v/>
      </c>
      <c r="R757" s="87" t="str">
        <f>IF(AND($N757=$Q$7,$B757&lt;'111'!$L$11),"x","")</f>
        <v/>
      </c>
      <c r="S757" s="87" t="str">
        <f>IF(AND($O757=$Q$7,$B757&lt;'111'!$L$11),"x","")</f>
        <v/>
      </c>
      <c r="T757" s="87" t="str">
        <f>IF(ISERROR(FIND('112'!$M$9,G757,1)),"",IF((AND(FIND('112'!$M$9,G757,1)&gt;=1,B757='112'!$K$9,OR($N757='112'!$I$6,$O757='112'!$I$6))),"x",""))</f>
        <v/>
      </c>
      <c r="U757" s="87" t="str">
        <f>IF(ISERROR(FIND('112'!$M$9,G757,1)),"",IF((AND(FIND('112'!$M$9,G757,1)&gt;=1,B757&lt;'112'!$K$9,$N757='112'!$I$6)),"x",""))</f>
        <v/>
      </c>
      <c r="V757" s="87" t="str">
        <f>IF(ISERROR(FIND('112'!$M$9,G757,1)),"",IF((AND(FIND('112'!$M$9,G757,1)&gt;=1,B757&lt;'112'!$K$9,$O757='112'!$I$6)),"x",""))</f>
        <v/>
      </c>
      <c r="W757" s="87" t="str">
        <f>IF(AND($B757&gt;='1331'!$I$9,$B757&lt;='1331'!$J$9,OR($N757=$W$7,$O757=$W$7)),"x","")</f>
        <v/>
      </c>
      <c r="X757" s="87" t="str">
        <f>IF(AND($N757=$W$7,$B757&lt;'1331'!$I$9),"x","")</f>
        <v/>
      </c>
      <c r="Y757" s="87" t="str">
        <f>IF(AND($O757=$W$7,$B757&lt;'1331'!$I$9),"x","")</f>
        <v/>
      </c>
      <c r="Z757" s="87" t="str">
        <f>IF(AND('341-CT'!$H$9=H757,OR(LEFT(N757,3)=$Z$7,LEFT(O757,3)=$Z$7)),"x","")</f>
        <v/>
      </c>
      <c r="AA757" s="87" t="str">
        <f>IF(OR(TH!N757=TH!$AA$7,O757=TH!$AA$7),"x","")</f>
        <v/>
      </c>
      <c r="AB757" s="87" t="str">
        <f>IF(AND(OR(N757="131",O757="131"),H757='131-CT'!$H$9),"x","")</f>
        <v/>
      </c>
      <c r="AC757" s="87"/>
      <c r="AD757" s="87" t="str">
        <f>IF(AND(MONTH(E757)='IN-NX'!$J$5,'IN-NX'!$D$7=D757),"x","")</f>
        <v/>
      </c>
      <c r="AE757" s="87" t="str">
        <f>IF(AND(OR(LEFT(TH!N757,2)="15",LEFT(TH!O757,2)="15"),'152-CT'!$J$8=TH!F757),"x","")</f>
        <v/>
      </c>
      <c r="AF757" s="87" t="str">
        <f>IF(AND(OR(LEFT(TH!N757,2)="15",LEFT(TH!O757,2)="15"),'THE KHO'!$E$7=TH!F757),"x","")</f>
        <v/>
      </c>
      <c r="AG757" s="87" t="str">
        <f>IF(AND(N757="1521",MONTH(C757)='BK NL'!$M$11),"x","")</f>
        <v/>
      </c>
    </row>
    <row r="758" spans="1:33" ht="15.75" customHeight="1">
      <c r="A758" s="399" t="str">
        <f>IF(B758&lt;&gt;"",IF(AND(B758&gt;=_TM1,B758&lt;=_TM2,OR(TH!N758="1111",TH!O758="1111")),TH!D758,""),"")</f>
        <v/>
      </c>
      <c r="B758" s="63" t="str">
        <f t="shared" si="17"/>
        <v/>
      </c>
      <c r="C758" s="64"/>
      <c r="D758" s="363"/>
      <c r="E758" s="363"/>
      <c r="F758" s="364"/>
      <c r="G758" s="391"/>
      <c r="H758" s="365"/>
      <c r="I758" s="518"/>
      <c r="J758" s="518"/>
      <c r="K758" s="509"/>
      <c r="L758" s="518"/>
      <c r="M758" s="65"/>
      <c r="N758" s="366"/>
      <c r="O758" s="366"/>
      <c r="P758" s="87" t="str">
        <f>IF(AND('331-CT'!$E$7=TH!H758,OR(N758="331",O758="331")),"x","")</f>
        <v/>
      </c>
      <c r="Q758" s="87" t="str">
        <f>IF(AND(B758='111'!$L$11,OR($N758=$Q$7,$O758=$Q$7)),"x","")</f>
        <v/>
      </c>
      <c r="R758" s="87" t="str">
        <f>IF(AND($N758=$Q$7,$B758&lt;'111'!$L$11),"x","")</f>
        <v/>
      </c>
      <c r="S758" s="87" t="str">
        <f>IF(AND($O758=$Q$7,$B758&lt;'111'!$L$11),"x","")</f>
        <v/>
      </c>
      <c r="T758" s="87" t="str">
        <f>IF(ISERROR(FIND('112'!$M$9,G758,1)),"",IF((AND(FIND('112'!$M$9,G758,1)&gt;=1,B758='112'!$K$9,OR($N758='112'!$I$6,$O758='112'!$I$6))),"x",""))</f>
        <v/>
      </c>
      <c r="U758" s="87" t="str">
        <f>IF(ISERROR(FIND('112'!$M$9,G758,1)),"",IF((AND(FIND('112'!$M$9,G758,1)&gt;=1,B758&lt;'112'!$K$9,$N758='112'!$I$6)),"x",""))</f>
        <v/>
      </c>
      <c r="V758" s="87" t="str">
        <f>IF(ISERROR(FIND('112'!$M$9,G758,1)),"",IF((AND(FIND('112'!$M$9,G758,1)&gt;=1,B758&lt;'112'!$K$9,$O758='112'!$I$6)),"x",""))</f>
        <v/>
      </c>
      <c r="W758" s="87" t="str">
        <f>IF(AND($B758&gt;='1331'!$I$9,$B758&lt;='1331'!$J$9,OR($N758=$W$7,$O758=$W$7)),"x","")</f>
        <v/>
      </c>
      <c r="X758" s="87" t="str">
        <f>IF(AND($N758=$W$7,$B758&lt;'1331'!$I$9),"x","")</f>
        <v/>
      </c>
      <c r="Y758" s="87" t="str">
        <f>IF(AND($O758=$W$7,$B758&lt;'1331'!$I$9),"x","")</f>
        <v/>
      </c>
      <c r="Z758" s="87" t="str">
        <f>IF(AND('341-CT'!$H$9=H758,OR(LEFT(N758,3)=$Z$7,LEFT(O758,3)=$Z$7)),"x","")</f>
        <v/>
      </c>
      <c r="AA758" s="87" t="str">
        <f>IF(OR(TH!N758=TH!$AA$7,O758=TH!$AA$7),"x","")</f>
        <v/>
      </c>
      <c r="AB758" s="87" t="str">
        <f>IF(AND(OR(N758="131",O758="131"),H758='131-CT'!$H$9),"x","")</f>
        <v/>
      </c>
      <c r="AC758" s="87"/>
      <c r="AD758" s="87" t="str">
        <f>IF(AND(MONTH(E758)='IN-NX'!$J$5,'IN-NX'!$D$7=D758),"x","")</f>
        <v/>
      </c>
      <c r="AE758" s="87" t="str">
        <f>IF(AND(OR(LEFT(TH!N758,2)="15",LEFT(TH!O758,2)="15"),'152-CT'!$J$8=TH!F758),"x","")</f>
        <v/>
      </c>
      <c r="AF758" s="87" t="str">
        <f>IF(AND(OR(LEFT(TH!N758,2)="15",LEFT(TH!O758,2)="15"),'THE KHO'!$E$7=TH!F758),"x","")</f>
        <v/>
      </c>
      <c r="AG758" s="87" t="str">
        <f>IF(AND(N758="1521",MONTH(C758)='BK NL'!$M$11),"x","")</f>
        <v/>
      </c>
    </row>
    <row r="759" spans="1:33" ht="15.75" customHeight="1">
      <c r="A759" s="399" t="str">
        <f>IF(B759&lt;&gt;"",IF(AND(B759&gt;=_TM1,B759&lt;=_TM2,OR(TH!N759="1111",TH!O759="1111")),TH!D759,""),"")</f>
        <v/>
      </c>
      <c r="B759" s="63" t="str">
        <f t="shared" si="17"/>
        <v/>
      </c>
      <c r="C759" s="64"/>
      <c r="D759" s="363"/>
      <c r="E759" s="363"/>
      <c r="F759" s="364"/>
      <c r="G759" s="391"/>
      <c r="H759" s="365"/>
      <c r="I759" s="518"/>
      <c r="J759" s="518"/>
      <c r="K759" s="509"/>
      <c r="L759" s="518"/>
      <c r="M759" s="65"/>
      <c r="N759" s="366"/>
      <c r="O759" s="366"/>
      <c r="P759" s="87" t="str">
        <f>IF(AND('331-CT'!$E$7=TH!H759,OR(N759="331",O759="331")),"x","")</f>
        <v/>
      </c>
      <c r="Q759" s="87" t="str">
        <f>IF(AND(B759='111'!$L$11,OR($N759=$Q$7,$O759=$Q$7)),"x","")</f>
        <v/>
      </c>
      <c r="R759" s="87" t="str">
        <f>IF(AND($N759=$Q$7,$B759&lt;'111'!$L$11),"x","")</f>
        <v/>
      </c>
      <c r="S759" s="87" t="str">
        <f>IF(AND($O759=$Q$7,$B759&lt;'111'!$L$11),"x","")</f>
        <v/>
      </c>
      <c r="T759" s="87" t="str">
        <f>IF(ISERROR(FIND('112'!$M$9,G759,1)),"",IF((AND(FIND('112'!$M$9,G759,1)&gt;=1,B759='112'!$K$9,OR($N759='112'!$I$6,$O759='112'!$I$6))),"x",""))</f>
        <v/>
      </c>
      <c r="U759" s="87" t="str">
        <f>IF(ISERROR(FIND('112'!$M$9,G759,1)),"",IF((AND(FIND('112'!$M$9,G759,1)&gt;=1,B759&lt;'112'!$K$9,$N759='112'!$I$6)),"x",""))</f>
        <v/>
      </c>
      <c r="V759" s="87" t="str">
        <f>IF(ISERROR(FIND('112'!$M$9,G759,1)),"",IF((AND(FIND('112'!$M$9,G759,1)&gt;=1,B759&lt;'112'!$K$9,$O759='112'!$I$6)),"x",""))</f>
        <v/>
      </c>
      <c r="W759" s="87" t="str">
        <f>IF(AND($B759&gt;='1331'!$I$9,$B759&lt;='1331'!$J$9,OR($N759=$W$7,$O759=$W$7)),"x","")</f>
        <v/>
      </c>
      <c r="X759" s="87" t="str">
        <f>IF(AND($N759=$W$7,$B759&lt;'1331'!$I$9),"x","")</f>
        <v/>
      </c>
      <c r="Y759" s="87" t="str">
        <f>IF(AND($O759=$W$7,$B759&lt;'1331'!$I$9),"x","")</f>
        <v/>
      </c>
      <c r="Z759" s="87" t="str">
        <f>IF(AND('341-CT'!$H$9=H759,OR(LEFT(N759,3)=$Z$7,LEFT(O759,3)=$Z$7)),"x","")</f>
        <v/>
      </c>
      <c r="AA759" s="87" t="str">
        <f>IF(OR(TH!N759=TH!$AA$7,O759=TH!$AA$7),"x","")</f>
        <v/>
      </c>
      <c r="AB759" s="87" t="str">
        <f>IF(AND(OR(N759="131",O759="131"),H759='131-CT'!$H$9),"x","")</f>
        <v/>
      </c>
      <c r="AC759" s="87"/>
      <c r="AD759" s="87" t="str">
        <f>IF(AND(MONTH(E759)='IN-NX'!$J$5,'IN-NX'!$D$7=D759),"x","")</f>
        <v/>
      </c>
      <c r="AE759" s="87" t="str">
        <f>IF(AND(OR(LEFT(TH!N759,2)="15",LEFT(TH!O759,2)="15"),'152-CT'!$J$8=TH!F759),"x","")</f>
        <v/>
      </c>
      <c r="AF759" s="87" t="str">
        <f>IF(AND(OR(LEFT(TH!N759,2)="15",LEFT(TH!O759,2)="15"),'THE KHO'!$E$7=TH!F759),"x","")</f>
        <v/>
      </c>
      <c r="AG759" s="87" t="str">
        <f>IF(AND(N759="1521",MONTH(C759)='BK NL'!$M$11),"x","")</f>
        <v/>
      </c>
    </row>
    <row r="760" spans="1:33" ht="15.75" customHeight="1">
      <c r="A760" s="399" t="str">
        <f>IF(B760&lt;&gt;"",IF(AND(B760&gt;=_TM1,B760&lt;=_TM2,OR(TH!N760="1111",TH!O760="1111")),TH!D760,""),"")</f>
        <v/>
      </c>
      <c r="B760" s="63" t="str">
        <f t="shared" si="17"/>
        <v/>
      </c>
      <c r="C760" s="64"/>
      <c r="D760" s="363"/>
      <c r="E760" s="363"/>
      <c r="F760" s="364"/>
      <c r="G760" s="391"/>
      <c r="H760" s="365"/>
      <c r="I760" s="518"/>
      <c r="J760" s="518"/>
      <c r="K760" s="509"/>
      <c r="L760" s="518"/>
      <c r="M760" s="65"/>
      <c r="N760" s="366"/>
      <c r="O760" s="366"/>
      <c r="P760" s="87" t="str">
        <f>IF(AND('331-CT'!$E$7=TH!H760,OR(N760="331",O760="331")),"x","")</f>
        <v/>
      </c>
      <c r="Q760" s="87" t="str">
        <f>IF(AND(B760='111'!$L$11,OR($N760=$Q$7,$O760=$Q$7)),"x","")</f>
        <v/>
      </c>
      <c r="R760" s="87" t="str">
        <f>IF(AND($N760=$Q$7,$B760&lt;'111'!$L$11),"x","")</f>
        <v/>
      </c>
      <c r="S760" s="87" t="str">
        <f>IF(AND($O760=$Q$7,$B760&lt;'111'!$L$11),"x","")</f>
        <v/>
      </c>
      <c r="T760" s="87" t="str">
        <f>IF(ISERROR(FIND('112'!$M$9,G760,1)),"",IF((AND(FIND('112'!$M$9,G760,1)&gt;=1,B760='112'!$K$9,OR($N760='112'!$I$6,$O760='112'!$I$6))),"x",""))</f>
        <v/>
      </c>
      <c r="U760" s="87" t="str">
        <f>IF(ISERROR(FIND('112'!$M$9,G760,1)),"",IF((AND(FIND('112'!$M$9,G760,1)&gt;=1,B760&lt;'112'!$K$9,$N760='112'!$I$6)),"x",""))</f>
        <v/>
      </c>
      <c r="V760" s="87" t="str">
        <f>IF(ISERROR(FIND('112'!$M$9,G760,1)),"",IF((AND(FIND('112'!$M$9,G760,1)&gt;=1,B760&lt;'112'!$K$9,$O760='112'!$I$6)),"x",""))</f>
        <v/>
      </c>
      <c r="W760" s="87" t="str">
        <f>IF(AND($B760&gt;='1331'!$I$9,$B760&lt;='1331'!$J$9,OR($N760=$W$7,$O760=$W$7)),"x","")</f>
        <v/>
      </c>
      <c r="X760" s="87" t="str">
        <f>IF(AND($N760=$W$7,$B760&lt;'1331'!$I$9),"x","")</f>
        <v/>
      </c>
      <c r="Y760" s="87" t="str">
        <f>IF(AND($O760=$W$7,$B760&lt;'1331'!$I$9),"x","")</f>
        <v/>
      </c>
      <c r="Z760" s="87" t="str">
        <f>IF(AND('341-CT'!$H$9=H760,OR(LEFT(N760,3)=$Z$7,LEFT(O760,3)=$Z$7)),"x","")</f>
        <v/>
      </c>
      <c r="AA760" s="87" t="str">
        <f>IF(OR(TH!N760=TH!$AA$7,O760=TH!$AA$7),"x","")</f>
        <v/>
      </c>
      <c r="AB760" s="87" t="str">
        <f>IF(AND(OR(N760="131",O760="131"),H760='131-CT'!$H$9),"x","")</f>
        <v/>
      </c>
      <c r="AC760" s="87"/>
      <c r="AD760" s="87" t="str">
        <f>IF(AND(MONTH(E760)='IN-NX'!$J$5,'IN-NX'!$D$7=D760),"x","")</f>
        <v/>
      </c>
      <c r="AE760" s="87" t="str">
        <f>IF(AND(OR(LEFT(TH!N760,2)="15",LEFT(TH!O760,2)="15"),'152-CT'!$J$8=TH!F760),"x","")</f>
        <v/>
      </c>
      <c r="AF760" s="87" t="str">
        <f>IF(AND(OR(LEFT(TH!N760,2)="15",LEFT(TH!O760,2)="15"),'THE KHO'!$E$7=TH!F760),"x","")</f>
        <v/>
      </c>
      <c r="AG760" s="87" t="str">
        <f>IF(AND(N760="1521",MONTH(C760)='BK NL'!$M$11),"x","")</f>
        <v/>
      </c>
    </row>
    <row r="761" spans="1:33" ht="15.75" customHeight="1">
      <c r="A761" s="399" t="str">
        <f>IF(B761&lt;&gt;"",IF(AND(B761&gt;=_TM1,B761&lt;=_TM2,OR(TH!N761="1111",TH!O761="1111")),TH!D761,""),"")</f>
        <v/>
      </c>
      <c r="B761" s="63" t="str">
        <f t="shared" si="17"/>
        <v/>
      </c>
      <c r="C761" s="64"/>
      <c r="D761" s="363"/>
      <c r="E761" s="363"/>
      <c r="F761" s="364"/>
      <c r="G761" s="391"/>
      <c r="H761" s="365"/>
      <c r="I761" s="518"/>
      <c r="J761" s="518"/>
      <c r="K761" s="509"/>
      <c r="L761" s="518"/>
      <c r="M761" s="65"/>
      <c r="N761" s="366"/>
      <c r="O761" s="366"/>
      <c r="P761" s="87" t="str">
        <f>IF(AND('331-CT'!$E$7=TH!H761,OR(N761="331",O761="331")),"x","")</f>
        <v/>
      </c>
      <c r="Q761" s="87" t="str">
        <f>IF(AND(B761='111'!$L$11,OR($N761=$Q$7,$O761=$Q$7)),"x","")</f>
        <v/>
      </c>
      <c r="R761" s="87" t="str">
        <f>IF(AND($N761=$Q$7,$B761&lt;'111'!$L$11),"x","")</f>
        <v/>
      </c>
      <c r="S761" s="87" t="str">
        <f>IF(AND($O761=$Q$7,$B761&lt;'111'!$L$11),"x","")</f>
        <v/>
      </c>
      <c r="T761" s="87" t="str">
        <f>IF(ISERROR(FIND('112'!$M$9,G761,1)),"",IF((AND(FIND('112'!$M$9,G761,1)&gt;=1,B761='112'!$K$9,OR($N761='112'!$I$6,$O761='112'!$I$6))),"x",""))</f>
        <v/>
      </c>
      <c r="U761" s="87" t="str">
        <f>IF(ISERROR(FIND('112'!$M$9,G761,1)),"",IF((AND(FIND('112'!$M$9,G761,1)&gt;=1,B761&lt;'112'!$K$9,$N761='112'!$I$6)),"x",""))</f>
        <v/>
      </c>
      <c r="V761" s="87" t="str">
        <f>IF(ISERROR(FIND('112'!$M$9,G761,1)),"",IF((AND(FIND('112'!$M$9,G761,1)&gt;=1,B761&lt;'112'!$K$9,$O761='112'!$I$6)),"x",""))</f>
        <v/>
      </c>
      <c r="W761" s="87" t="str">
        <f>IF(AND($B761&gt;='1331'!$I$9,$B761&lt;='1331'!$J$9,OR($N761=$W$7,$O761=$W$7)),"x","")</f>
        <v/>
      </c>
      <c r="X761" s="87" t="str">
        <f>IF(AND($N761=$W$7,$B761&lt;'1331'!$I$9),"x","")</f>
        <v/>
      </c>
      <c r="Y761" s="87" t="str">
        <f>IF(AND($O761=$W$7,$B761&lt;'1331'!$I$9),"x","")</f>
        <v/>
      </c>
      <c r="Z761" s="87" t="str">
        <f>IF(AND('341-CT'!$H$9=H761,OR(LEFT(N761,3)=$Z$7,LEFT(O761,3)=$Z$7)),"x","")</f>
        <v/>
      </c>
      <c r="AA761" s="87" t="str">
        <f>IF(OR(TH!N761=TH!$AA$7,O761=TH!$AA$7),"x","")</f>
        <v/>
      </c>
      <c r="AB761" s="87" t="str">
        <f>IF(AND(OR(N761="131",O761="131"),H761='131-CT'!$H$9),"x","")</f>
        <v/>
      </c>
      <c r="AC761" s="87"/>
      <c r="AD761" s="87" t="str">
        <f>IF(AND(MONTH(E761)='IN-NX'!$J$5,'IN-NX'!$D$7=D761),"x","")</f>
        <v/>
      </c>
      <c r="AE761" s="87" t="str">
        <f>IF(AND(OR(LEFT(TH!N761,2)="15",LEFT(TH!O761,2)="15"),'152-CT'!$J$8=TH!F761),"x","")</f>
        <v/>
      </c>
      <c r="AF761" s="87" t="str">
        <f>IF(AND(OR(LEFT(TH!N761,2)="15",LEFT(TH!O761,2)="15"),'THE KHO'!$E$7=TH!F761),"x","")</f>
        <v/>
      </c>
      <c r="AG761" s="87" t="str">
        <f>IF(AND(N761="1521",MONTH(C761)='BK NL'!$M$11),"x","")</f>
        <v/>
      </c>
    </row>
    <row r="762" spans="1:33" ht="15.75" customHeight="1">
      <c r="A762" s="399" t="str">
        <f>IF(B762&lt;&gt;"",IF(AND(B762&gt;=_TM1,B762&lt;=_TM2,OR(TH!N762="1111",TH!O762="1111")),TH!D762,""),"")</f>
        <v/>
      </c>
      <c r="B762" s="63" t="str">
        <f t="shared" si="17"/>
        <v/>
      </c>
      <c r="C762" s="64"/>
      <c r="D762" s="363"/>
      <c r="E762" s="363"/>
      <c r="F762" s="364"/>
      <c r="G762" s="391"/>
      <c r="H762" s="365"/>
      <c r="I762" s="518"/>
      <c r="J762" s="518"/>
      <c r="K762" s="509"/>
      <c r="L762" s="518"/>
      <c r="M762" s="65"/>
      <c r="N762" s="366"/>
      <c r="O762" s="366"/>
      <c r="P762" s="87" t="str">
        <f>IF(AND('331-CT'!$E$7=TH!H762,OR(N762="331",O762="331")),"x","")</f>
        <v/>
      </c>
      <c r="Q762" s="87" t="str">
        <f>IF(AND(B762='111'!$L$11,OR($N762=$Q$7,$O762=$Q$7)),"x","")</f>
        <v/>
      </c>
      <c r="R762" s="87" t="str">
        <f>IF(AND($N762=$Q$7,$B762&lt;'111'!$L$11),"x","")</f>
        <v/>
      </c>
      <c r="S762" s="87" t="str">
        <f>IF(AND($O762=$Q$7,$B762&lt;'111'!$L$11),"x","")</f>
        <v/>
      </c>
      <c r="T762" s="87" t="str">
        <f>IF(ISERROR(FIND('112'!$M$9,G762,1)),"",IF((AND(FIND('112'!$M$9,G762,1)&gt;=1,B762='112'!$K$9,OR($N762='112'!$I$6,$O762='112'!$I$6))),"x",""))</f>
        <v/>
      </c>
      <c r="U762" s="87" t="str">
        <f>IF(ISERROR(FIND('112'!$M$9,G762,1)),"",IF((AND(FIND('112'!$M$9,G762,1)&gt;=1,B762&lt;'112'!$K$9,$N762='112'!$I$6)),"x",""))</f>
        <v/>
      </c>
      <c r="V762" s="87" t="str">
        <f>IF(ISERROR(FIND('112'!$M$9,G762,1)),"",IF((AND(FIND('112'!$M$9,G762,1)&gt;=1,B762&lt;'112'!$K$9,$O762='112'!$I$6)),"x",""))</f>
        <v/>
      </c>
      <c r="W762" s="87" t="str">
        <f>IF(AND($B762&gt;='1331'!$I$9,$B762&lt;='1331'!$J$9,OR($N762=$W$7,$O762=$W$7)),"x","")</f>
        <v/>
      </c>
      <c r="X762" s="87" t="str">
        <f>IF(AND($N762=$W$7,$B762&lt;'1331'!$I$9),"x","")</f>
        <v/>
      </c>
      <c r="Y762" s="87" t="str">
        <f>IF(AND($O762=$W$7,$B762&lt;'1331'!$I$9),"x","")</f>
        <v/>
      </c>
      <c r="Z762" s="87" t="str">
        <f>IF(AND('341-CT'!$H$9=H762,OR(LEFT(N762,3)=$Z$7,LEFT(O762,3)=$Z$7)),"x","")</f>
        <v/>
      </c>
      <c r="AA762" s="87" t="str">
        <f>IF(OR(TH!N762=TH!$AA$7,O762=TH!$AA$7),"x","")</f>
        <v/>
      </c>
      <c r="AB762" s="87" t="str">
        <f>IF(AND(OR(N762="131",O762="131"),H762='131-CT'!$H$9),"x","")</f>
        <v/>
      </c>
      <c r="AC762" s="87"/>
      <c r="AD762" s="87" t="str">
        <f>IF(AND(MONTH(E762)='IN-NX'!$J$5,'IN-NX'!$D$7=D762),"x","")</f>
        <v/>
      </c>
      <c r="AE762" s="87" t="str">
        <f>IF(AND(OR(LEFT(TH!N762,2)="15",LEFT(TH!O762,2)="15"),'152-CT'!$J$8=TH!F762),"x","")</f>
        <v/>
      </c>
      <c r="AF762" s="87" t="str">
        <f>IF(AND(OR(LEFT(TH!N762,2)="15",LEFT(TH!O762,2)="15"),'THE KHO'!$E$7=TH!F762),"x","")</f>
        <v/>
      </c>
      <c r="AG762" s="87" t="str">
        <f>IF(AND(N762="1521",MONTH(C762)='BK NL'!$M$11),"x","")</f>
        <v/>
      </c>
    </row>
    <row r="763" spans="1:33" ht="15.75" customHeight="1">
      <c r="A763" s="399" t="str">
        <f>IF(B763&lt;&gt;"",IF(AND(B763&gt;=_TM1,B763&lt;=_TM2,OR(TH!N763="1111",TH!O763="1111")),TH!D763,""),"")</f>
        <v/>
      </c>
      <c r="B763" s="63" t="str">
        <f t="shared" si="17"/>
        <v/>
      </c>
      <c r="C763" s="64"/>
      <c r="D763" s="363"/>
      <c r="E763" s="363"/>
      <c r="F763" s="364"/>
      <c r="G763" s="391"/>
      <c r="H763" s="365"/>
      <c r="I763" s="518"/>
      <c r="J763" s="518"/>
      <c r="K763" s="509"/>
      <c r="L763" s="518"/>
      <c r="M763" s="65"/>
      <c r="N763" s="366"/>
      <c r="O763" s="366"/>
      <c r="P763" s="87" t="str">
        <f>IF(AND('331-CT'!$E$7=TH!H763,OR(N763="331",O763="331")),"x","")</f>
        <v/>
      </c>
      <c r="Q763" s="87" t="str">
        <f>IF(AND(B763='111'!$L$11,OR($N763=$Q$7,$O763=$Q$7)),"x","")</f>
        <v/>
      </c>
      <c r="R763" s="87" t="str">
        <f>IF(AND($N763=$Q$7,$B763&lt;'111'!$L$11),"x","")</f>
        <v/>
      </c>
      <c r="S763" s="87" t="str">
        <f>IF(AND($O763=$Q$7,$B763&lt;'111'!$L$11),"x","")</f>
        <v/>
      </c>
      <c r="T763" s="87" t="str">
        <f>IF(ISERROR(FIND('112'!$M$9,G763,1)),"",IF((AND(FIND('112'!$M$9,G763,1)&gt;=1,B763='112'!$K$9,OR($N763='112'!$I$6,$O763='112'!$I$6))),"x",""))</f>
        <v/>
      </c>
      <c r="U763" s="87" t="str">
        <f>IF(ISERROR(FIND('112'!$M$9,G763,1)),"",IF((AND(FIND('112'!$M$9,G763,1)&gt;=1,B763&lt;'112'!$K$9,$N763='112'!$I$6)),"x",""))</f>
        <v/>
      </c>
      <c r="V763" s="87" t="str">
        <f>IF(ISERROR(FIND('112'!$M$9,G763,1)),"",IF((AND(FIND('112'!$M$9,G763,1)&gt;=1,B763&lt;'112'!$K$9,$O763='112'!$I$6)),"x",""))</f>
        <v/>
      </c>
      <c r="W763" s="87" t="str">
        <f>IF(AND($B763&gt;='1331'!$I$9,$B763&lt;='1331'!$J$9,OR($N763=$W$7,$O763=$W$7)),"x","")</f>
        <v/>
      </c>
      <c r="X763" s="87" t="str">
        <f>IF(AND($N763=$W$7,$B763&lt;'1331'!$I$9),"x","")</f>
        <v/>
      </c>
      <c r="Y763" s="87" t="str">
        <f>IF(AND($O763=$W$7,$B763&lt;'1331'!$I$9),"x","")</f>
        <v/>
      </c>
      <c r="Z763" s="87" t="str">
        <f>IF(AND('341-CT'!$H$9=H763,OR(LEFT(N763,3)=$Z$7,LEFT(O763,3)=$Z$7)),"x","")</f>
        <v/>
      </c>
      <c r="AA763" s="87" t="str">
        <f>IF(OR(TH!N763=TH!$AA$7,O763=TH!$AA$7),"x","")</f>
        <v/>
      </c>
      <c r="AB763" s="87" t="str">
        <f>IF(AND(OR(N763="131",O763="131"),H763='131-CT'!$H$9),"x","")</f>
        <v/>
      </c>
      <c r="AC763" s="87"/>
      <c r="AD763" s="87" t="str">
        <f>IF(AND(MONTH(E763)='IN-NX'!$J$5,'IN-NX'!$D$7=D763),"x","")</f>
        <v/>
      </c>
      <c r="AE763" s="87" t="str">
        <f>IF(AND(OR(LEFT(TH!N763,2)="15",LEFT(TH!O763,2)="15"),'152-CT'!$J$8=TH!F763),"x","")</f>
        <v/>
      </c>
      <c r="AF763" s="87" t="str">
        <f>IF(AND(OR(LEFT(TH!N763,2)="15",LEFT(TH!O763,2)="15"),'THE KHO'!$E$7=TH!F763),"x","")</f>
        <v/>
      </c>
      <c r="AG763" s="87" t="str">
        <f>IF(AND(N763="1521",MONTH(C763)='BK NL'!$M$11),"x","")</f>
        <v/>
      </c>
    </row>
    <row r="764" spans="1:33" ht="15.75" customHeight="1">
      <c r="A764" s="399" t="str">
        <f>IF(B764&lt;&gt;"",IF(AND(B764&gt;=_TM1,B764&lt;=_TM2,OR(TH!N764="1111",TH!O764="1111")),TH!D764,""),"")</f>
        <v/>
      </c>
      <c r="B764" s="63" t="str">
        <f>IF(C764&lt;&gt;"",MONTH(C764),"")</f>
        <v/>
      </c>
      <c r="C764" s="64"/>
      <c r="D764" s="64"/>
      <c r="E764" s="64"/>
      <c r="F764" s="67"/>
      <c r="G764" s="376"/>
      <c r="H764" s="75"/>
      <c r="I764" s="518"/>
      <c r="J764" s="518"/>
      <c r="K764" s="509"/>
      <c r="L764" s="518"/>
      <c r="M764" s="65"/>
      <c r="N764" s="366"/>
      <c r="O764" s="66"/>
      <c r="P764" s="87" t="str">
        <f>IF(AND('331-CT'!$E$7=TH!H764,OR(N764="331",O764="331")),"x","")</f>
        <v/>
      </c>
      <c r="Q764" s="87" t="str">
        <f>IF(AND(B764='111'!$L$11,OR($N764=$Q$7,$O764=$Q$7)),"x","")</f>
        <v/>
      </c>
      <c r="R764" s="87" t="str">
        <f>IF(AND($N764=$Q$7,$B764&lt;'111'!$L$11),"x","")</f>
        <v/>
      </c>
      <c r="S764" s="87" t="str">
        <f>IF(AND($O764=$Q$7,$B764&lt;'111'!$L$11),"x","")</f>
        <v/>
      </c>
      <c r="T764" s="87" t="str">
        <f>IF(ISERROR(FIND('112'!$M$9,G764,1)),"",IF((AND(FIND('112'!$M$9,G764,1)&gt;=1,B764='112'!$K$9,OR($N764='112'!$I$6,$O764='112'!$I$6))),"x",""))</f>
        <v/>
      </c>
      <c r="U764" s="87" t="str">
        <f>IF(ISERROR(FIND('112'!$M$9,G764,1)),"",IF((AND(FIND('112'!$M$9,G764,1)&gt;=1,B764&lt;'112'!$K$9,$N764='112'!$I$6)),"x",""))</f>
        <v/>
      </c>
      <c r="V764" s="87" t="str">
        <f>IF(ISERROR(FIND('112'!$M$9,G764,1)),"",IF((AND(FIND('112'!$M$9,G764,1)&gt;=1,B764&lt;'112'!$K$9,$O764='112'!$I$6)),"x",""))</f>
        <v/>
      </c>
      <c r="W764" s="87" t="str">
        <f>IF(AND($B764&gt;='1331'!$I$9,$B764&lt;='1331'!$J$9,OR($N764=$W$7,$O764=$W$7)),"x","")</f>
        <v/>
      </c>
      <c r="X764" s="87" t="str">
        <f>IF(AND($N764=$W$7,$B764&lt;'1331'!$I$9),"x","")</f>
        <v/>
      </c>
      <c r="Y764" s="87" t="str">
        <f>IF(AND($O764=$W$7,$B764&lt;'1331'!$I$9),"x","")</f>
        <v/>
      </c>
      <c r="Z764" s="87" t="str">
        <f>IF(AND('341-CT'!$H$9=H764,OR(LEFT(N764,3)=$Z$7,LEFT(O764,3)=$Z$7)),"x","")</f>
        <v/>
      </c>
      <c r="AA764" s="87" t="str">
        <f>IF(OR(TH!N764=TH!$AA$7,O764=TH!$AA$7),"x","")</f>
        <v/>
      </c>
      <c r="AB764" s="87" t="str">
        <f>IF(AND(OR(N764="131",O764="131"),H764='131-CT'!$H$9),"x","")</f>
        <v/>
      </c>
      <c r="AC764" s="87"/>
      <c r="AD764" s="87" t="str">
        <f>IF(AND(MONTH(E764)='IN-NX'!$J$5,'IN-NX'!$D$7=D764),"x","")</f>
        <v/>
      </c>
      <c r="AE764" s="87" t="str">
        <f>IF(AND(OR(LEFT(TH!N764,2)="15",LEFT(TH!O764,2)="15"),'152-CT'!$J$8=TH!F764),"x","")</f>
        <v/>
      </c>
      <c r="AF764" s="87" t="str">
        <f>IF(AND(OR(LEFT(TH!N764,2)="15",LEFT(TH!O764,2)="15"),'THE KHO'!$E$7=TH!F764),"x","")</f>
        <v/>
      </c>
      <c r="AG764" s="87" t="str">
        <f>IF(AND(N764="1521",MONTH(C764)='BK NL'!$M$11),"x","")</f>
        <v/>
      </c>
    </row>
    <row r="765" spans="1:33" ht="15.75" customHeight="1">
      <c r="A765" s="399" t="str">
        <f>IF(B765&lt;&gt;"",IF(AND(B765&gt;=_TM1,B765&lt;=_TM2,OR(TH!N765="1111",TH!O765="1111")),TH!D765,""),"")</f>
        <v/>
      </c>
      <c r="B765" s="63" t="str">
        <f>IF(C765&lt;&gt;"",MONTH(C765),"")</f>
        <v/>
      </c>
      <c r="C765" s="64"/>
      <c r="D765" s="64"/>
      <c r="E765" s="64"/>
      <c r="F765" s="67"/>
      <c r="G765" s="376"/>
      <c r="H765" s="75"/>
      <c r="I765" s="518"/>
      <c r="J765" s="518"/>
      <c r="K765" s="509"/>
      <c r="L765" s="518"/>
      <c r="M765" s="65"/>
      <c r="N765" s="366"/>
      <c r="O765" s="66"/>
      <c r="P765" s="87" t="str">
        <f>IF(AND('331-CT'!$E$7=TH!H765,OR(N765="331",O765="331")),"x","")</f>
        <v/>
      </c>
      <c r="Q765" s="87" t="str">
        <f>IF(AND(B765='111'!$L$11,OR($N765=$Q$7,$O765=$Q$7)),"x","")</f>
        <v/>
      </c>
      <c r="R765" s="87" t="str">
        <f>IF(AND($N765=$Q$7,$B765&lt;'111'!$L$11),"x","")</f>
        <v/>
      </c>
      <c r="S765" s="87" t="str">
        <f>IF(AND($O765=$Q$7,$B765&lt;'111'!$L$11),"x","")</f>
        <v/>
      </c>
      <c r="T765" s="87" t="str">
        <f>IF(ISERROR(FIND('112'!$M$9,G765,1)),"",IF((AND(FIND('112'!$M$9,G765,1)&gt;=1,B765='112'!$K$9,OR($N765='112'!$I$6,$O765='112'!$I$6))),"x",""))</f>
        <v/>
      </c>
      <c r="U765" s="87" t="str">
        <f>IF(ISERROR(FIND('112'!$M$9,G765,1)),"",IF((AND(FIND('112'!$M$9,G765,1)&gt;=1,B765&lt;'112'!$K$9,$N765='112'!$I$6)),"x",""))</f>
        <v/>
      </c>
      <c r="V765" s="87" t="str">
        <f>IF(ISERROR(FIND('112'!$M$9,G765,1)),"",IF((AND(FIND('112'!$M$9,G765,1)&gt;=1,B765&lt;'112'!$K$9,$O765='112'!$I$6)),"x",""))</f>
        <v/>
      </c>
      <c r="W765" s="87" t="str">
        <f>IF(AND($B765&gt;='1331'!$I$9,$B765&lt;='1331'!$J$9,OR($N765=$W$7,$O765=$W$7)),"x","")</f>
        <v/>
      </c>
      <c r="X765" s="87" t="str">
        <f>IF(AND($N765=$W$7,$B765&lt;'1331'!$I$9),"x","")</f>
        <v/>
      </c>
      <c r="Y765" s="87" t="str">
        <f>IF(AND($O765=$W$7,$B765&lt;'1331'!$I$9),"x","")</f>
        <v/>
      </c>
      <c r="Z765" s="87" t="str">
        <f>IF(AND('341-CT'!$H$9=H765,OR(LEFT(N765,3)=$Z$7,LEFT(O765,3)=$Z$7)),"x","")</f>
        <v/>
      </c>
      <c r="AA765" s="87" t="str">
        <f>IF(OR(TH!N765=TH!$AA$7,O765=TH!$AA$7),"x","")</f>
        <v/>
      </c>
      <c r="AB765" s="87" t="str">
        <f>IF(AND(OR(N765="131",O765="131"),H765='131-CT'!$H$9),"x","")</f>
        <v/>
      </c>
      <c r="AC765" s="87"/>
      <c r="AD765" s="87" t="str">
        <f>IF(AND(MONTH(E765)='IN-NX'!$J$5,'IN-NX'!$D$7=D765),"x","")</f>
        <v/>
      </c>
      <c r="AE765" s="87" t="str">
        <f>IF(AND(OR(LEFT(TH!N765,2)="15",LEFT(TH!O765,2)="15"),'152-CT'!$J$8=TH!F765),"x","")</f>
        <v/>
      </c>
      <c r="AF765" s="87" t="str">
        <f>IF(AND(OR(LEFT(TH!N765,2)="15",LEFT(TH!O765,2)="15"),'THE KHO'!$E$7=TH!F765),"x","")</f>
        <v/>
      </c>
      <c r="AG765" s="87" t="str">
        <f>IF(AND(N765="1521",MONTH(C765)='BK NL'!$M$11),"x","")</f>
        <v/>
      </c>
    </row>
    <row r="766" spans="1:33" ht="15.75" customHeight="1">
      <c r="A766" s="399" t="str">
        <f>IF(B766&lt;&gt;"",IF(AND(B766&gt;=_TM1,B766&lt;=_TM2,OR(TH!N766="1111",TH!O766="1111")),TH!D766,""),"")</f>
        <v/>
      </c>
      <c r="B766" s="63" t="str">
        <f t="shared" si="17"/>
        <v/>
      </c>
      <c r="C766" s="64"/>
      <c r="D766" s="363"/>
      <c r="E766" s="363"/>
      <c r="F766" s="67"/>
      <c r="G766" s="362"/>
      <c r="H766" s="75"/>
      <c r="I766" s="518"/>
      <c r="J766" s="518"/>
      <c r="K766" s="509"/>
      <c r="L766" s="518"/>
      <c r="M766" s="65"/>
      <c r="N766" s="66"/>
      <c r="O766" s="66"/>
      <c r="P766" s="87" t="str">
        <f>IF(AND('331-CT'!$E$7=TH!H766,OR(N766="331",O766="331")),"x","")</f>
        <v/>
      </c>
      <c r="Q766" s="87" t="str">
        <f>IF(AND(B766='111'!$L$11,OR($N766=$Q$7,$O766=$Q$7)),"x","")</f>
        <v/>
      </c>
      <c r="R766" s="87" t="str">
        <f>IF(AND($N766=$Q$7,$B766&lt;'111'!$L$11),"x","")</f>
        <v/>
      </c>
      <c r="S766" s="87" t="str">
        <f>IF(AND($O766=$Q$7,$B766&lt;'111'!$L$11),"x","")</f>
        <v/>
      </c>
      <c r="T766" s="87" t="str">
        <f>IF(ISERROR(FIND('112'!$M$9,G766,1)),"",IF((AND(FIND('112'!$M$9,G766,1)&gt;=1,B766='112'!$K$9,OR($N766='112'!$I$6,$O766='112'!$I$6))),"x",""))</f>
        <v/>
      </c>
      <c r="U766" s="87" t="str">
        <f>IF(ISERROR(FIND('112'!$M$9,G766,1)),"",IF((AND(FIND('112'!$M$9,G766,1)&gt;=1,B766&lt;'112'!$K$9,$N766='112'!$I$6)),"x",""))</f>
        <v/>
      </c>
      <c r="V766" s="87" t="str">
        <f>IF(ISERROR(FIND('112'!$M$9,G766,1)),"",IF((AND(FIND('112'!$M$9,G766,1)&gt;=1,B766&lt;'112'!$K$9,$O766='112'!$I$6)),"x",""))</f>
        <v/>
      </c>
      <c r="W766" s="87" t="str">
        <f>IF(AND($B766&gt;='1331'!$I$9,$B766&lt;='1331'!$J$9,OR($N766=$W$7,$O766=$W$7)),"x","")</f>
        <v/>
      </c>
      <c r="X766" s="87" t="str">
        <f>IF(AND($N766=$W$7,$B766&lt;'1331'!$I$9),"x","")</f>
        <v/>
      </c>
      <c r="Y766" s="87" t="str">
        <f>IF(AND($O766=$W$7,$B766&lt;'1331'!$I$9),"x","")</f>
        <v/>
      </c>
      <c r="Z766" s="87" t="str">
        <f>IF(AND('341-CT'!$H$9=H766,OR(LEFT(N766,3)=$Z$7,LEFT(O766,3)=$Z$7)),"x","")</f>
        <v/>
      </c>
      <c r="AA766" s="87" t="str">
        <f>IF(OR(TH!N766=TH!$AA$7,O766=TH!$AA$7),"x","")</f>
        <v/>
      </c>
      <c r="AB766" s="87" t="str">
        <f>IF(AND(OR(N766="131",O766="131"),H766='131-CT'!$H$9),"x","")</f>
        <v/>
      </c>
      <c r="AC766" s="87"/>
      <c r="AD766" s="87" t="str">
        <f>IF(AND(MONTH(E766)='IN-NX'!$J$5,'IN-NX'!$D$7=D766),"x","")</f>
        <v/>
      </c>
      <c r="AE766" s="87" t="str">
        <f>IF(AND(OR(LEFT(TH!N766,2)="15",LEFT(TH!O766,2)="15"),'152-CT'!$J$8=TH!F766),"x","")</f>
        <v/>
      </c>
      <c r="AF766" s="87" t="str">
        <f>IF(AND(OR(LEFT(TH!N766,2)="15",LEFT(TH!O766,2)="15"),'THE KHO'!$E$7=TH!F766),"x","")</f>
        <v/>
      </c>
      <c r="AG766" s="87" t="str">
        <f>IF(AND(N766="1521",MONTH(C766)='BK NL'!$M$11),"x","")</f>
        <v/>
      </c>
    </row>
    <row r="767" spans="1:33" ht="15.75" customHeight="1">
      <c r="A767" s="399" t="str">
        <f>IF(B767&lt;&gt;"",IF(AND(B767&gt;=_TM1,B767&lt;=_TM2,OR(TH!N767="1111",TH!O767="1111")),TH!D767,""),"")</f>
        <v/>
      </c>
      <c r="B767" s="63" t="str">
        <f t="shared" si="17"/>
        <v/>
      </c>
      <c r="C767" s="64"/>
      <c r="D767" s="64"/>
      <c r="E767" s="64"/>
      <c r="F767" s="67"/>
      <c r="G767" s="376"/>
      <c r="H767" s="75"/>
      <c r="I767" s="518"/>
      <c r="J767" s="518"/>
      <c r="K767" s="509"/>
      <c r="L767" s="518"/>
      <c r="M767" s="65"/>
      <c r="N767" s="66"/>
      <c r="O767" s="66"/>
      <c r="P767" s="87" t="str">
        <f>IF(AND('331-CT'!$E$7=TH!H767,OR(N767="331",O767="331")),"x","")</f>
        <v/>
      </c>
      <c r="Q767" s="87" t="str">
        <f>IF(AND(B767='111'!$L$11,OR($N767=$Q$7,$O767=$Q$7)),"x","")</f>
        <v/>
      </c>
      <c r="R767" s="87" t="str">
        <f>IF(AND($N767=$Q$7,$B767&lt;'111'!$L$11),"x","")</f>
        <v/>
      </c>
      <c r="S767" s="87" t="str">
        <f>IF(AND($O767=$Q$7,$B767&lt;'111'!$L$11),"x","")</f>
        <v/>
      </c>
      <c r="T767" s="87" t="str">
        <f>IF(ISERROR(FIND('112'!$M$9,G767,1)),"",IF((AND(FIND('112'!$M$9,G767,1)&gt;=1,B767='112'!$K$9,OR($N767='112'!$I$6,$O767='112'!$I$6))),"x",""))</f>
        <v/>
      </c>
      <c r="U767" s="87" t="str">
        <f>IF(ISERROR(FIND('112'!$M$9,G767,1)),"",IF((AND(FIND('112'!$M$9,G767,1)&gt;=1,B767&lt;'112'!$K$9,$N767='112'!$I$6)),"x",""))</f>
        <v/>
      </c>
      <c r="V767" s="87" t="str">
        <f>IF(ISERROR(FIND('112'!$M$9,G767,1)),"",IF((AND(FIND('112'!$M$9,G767,1)&gt;=1,B767&lt;'112'!$K$9,$O767='112'!$I$6)),"x",""))</f>
        <v/>
      </c>
      <c r="W767" s="87" t="str">
        <f>IF(AND($B767&gt;='1331'!$I$9,$B767&lt;='1331'!$J$9,OR($N767=$W$7,$O767=$W$7)),"x","")</f>
        <v/>
      </c>
      <c r="X767" s="87" t="str">
        <f>IF(AND($N767=$W$7,$B767&lt;'1331'!$I$9),"x","")</f>
        <v/>
      </c>
      <c r="Y767" s="87" t="str">
        <f>IF(AND($O767=$W$7,$B767&lt;'1331'!$I$9),"x","")</f>
        <v/>
      </c>
      <c r="Z767" s="87" t="str">
        <f>IF(AND('341-CT'!$H$9=H767,OR(LEFT(N767,3)=$Z$7,LEFT(O767,3)=$Z$7)),"x","")</f>
        <v/>
      </c>
      <c r="AA767" s="87" t="str">
        <f>IF(OR(TH!N767=TH!$AA$7,O767=TH!$AA$7),"x","")</f>
        <v/>
      </c>
      <c r="AB767" s="87" t="str">
        <f>IF(AND(OR(N767="131",O767="131"),H767='131-CT'!$H$9),"x","")</f>
        <v/>
      </c>
      <c r="AC767" s="87"/>
      <c r="AD767" s="87" t="str">
        <f>IF(AND(MONTH(E767)='IN-NX'!$J$5,'IN-NX'!$D$7=D767),"x","")</f>
        <v/>
      </c>
      <c r="AE767" s="87" t="str">
        <f>IF(AND(OR(LEFT(TH!N767,2)="15",LEFT(TH!O767,2)="15"),'152-CT'!$J$8=TH!F767),"x","")</f>
        <v/>
      </c>
      <c r="AF767" s="87" t="str">
        <f>IF(AND(OR(LEFT(TH!N767,2)="15",LEFT(TH!O767,2)="15"),'THE KHO'!$E$7=TH!F767),"x","")</f>
        <v/>
      </c>
      <c r="AG767" s="87" t="str">
        <f>IF(AND(N767="1521",MONTH(C767)='BK NL'!$M$11),"x","")</f>
        <v/>
      </c>
    </row>
    <row r="768" spans="1:33" ht="15.75" customHeight="1">
      <c r="A768" s="399" t="str">
        <f>IF(B768&lt;&gt;"",IF(AND(B768&gt;=_TM1,B768&lt;=_TM2,OR(TH!N768="1111",TH!O768="1111")),TH!D768,""),"")</f>
        <v/>
      </c>
      <c r="B768" s="63" t="str">
        <f t="shared" si="17"/>
        <v/>
      </c>
      <c r="C768" s="64"/>
      <c r="D768" s="64"/>
      <c r="E768" s="64"/>
      <c r="F768" s="67"/>
      <c r="G768" s="376"/>
      <c r="H768" s="75"/>
      <c r="I768" s="518"/>
      <c r="J768" s="518"/>
      <c r="K768" s="509"/>
      <c r="L768" s="518"/>
      <c r="M768" s="65"/>
      <c r="N768" s="66"/>
      <c r="O768" s="66"/>
      <c r="P768" s="87" t="str">
        <f>IF(AND('331-CT'!$E$7=TH!H768,OR(N768="331",O768="331")),"x","")</f>
        <v/>
      </c>
      <c r="Q768" s="87" t="str">
        <f>IF(AND(B768='111'!$L$11,OR($N768=$Q$7,$O768=$Q$7)),"x","")</f>
        <v/>
      </c>
      <c r="R768" s="87" t="str">
        <f>IF(AND($N768=$Q$7,$B768&lt;'111'!$L$11),"x","")</f>
        <v/>
      </c>
      <c r="S768" s="87" t="str">
        <f>IF(AND($O768=$Q$7,$B768&lt;'111'!$L$11),"x","")</f>
        <v/>
      </c>
      <c r="T768" s="87" t="str">
        <f>IF(ISERROR(FIND('112'!$M$9,G768,1)),"",IF((AND(FIND('112'!$M$9,G768,1)&gt;=1,B768='112'!$K$9,OR($N768='112'!$I$6,$O768='112'!$I$6))),"x",""))</f>
        <v/>
      </c>
      <c r="U768" s="87" t="str">
        <f>IF(ISERROR(FIND('112'!$M$9,G768,1)),"",IF((AND(FIND('112'!$M$9,G768,1)&gt;=1,B768&lt;'112'!$K$9,$N768='112'!$I$6)),"x",""))</f>
        <v/>
      </c>
      <c r="V768" s="87" t="str">
        <f>IF(ISERROR(FIND('112'!$M$9,G768,1)),"",IF((AND(FIND('112'!$M$9,G768,1)&gt;=1,B768&lt;'112'!$K$9,$O768='112'!$I$6)),"x",""))</f>
        <v/>
      </c>
      <c r="W768" s="87" t="str">
        <f>IF(AND($B768&gt;='1331'!$I$9,$B768&lt;='1331'!$J$9,OR($N768=$W$7,$O768=$W$7)),"x","")</f>
        <v/>
      </c>
      <c r="X768" s="87" t="str">
        <f>IF(AND($N768=$W$7,$B768&lt;'1331'!$I$9),"x","")</f>
        <v/>
      </c>
      <c r="Y768" s="87" t="str">
        <f>IF(AND($O768=$W$7,$B768&lt;'1331'!$I$9),"x","")</f>
        <v/>
      </c>
      <c r="Z768" s="87" t="str">
        <f>IF(AND('341-CT'!$H$9=H768,OR(LEFT(N768,3)=$Z$7,LEFT(O768,3)=$Z$7)),"x","")</f>
        <v/>
      </c>
      <c r="AA768" s="87" t="str">
        <f>IF(OR(TH!N768=TH!$AA$7,O768=TH!$AA$7),"x","")</f>
        <v/>
      </c>
      <c r="AB768" s="87" t="str">
        <f>IF(AND(OR(N768="131",O768="131"),H768='131-CT'!$H$9),"x","")</f>
        <v/>
      </c>
      <c r="AC768" s="87"/>
      <c r="AD768" s="87" t="str">
        <f>IF(AND(MONTH(E768)='IN-NX'!$J$5,'IN-NX'!$D$7=D768),"x","")</f>
        <v/>
      </c>
      <c r="AE768" s="87" t="str">
        <f>IF(AND(OR(LEFT(TH!N768,2)="15",LEFT(TH!O768,2)="15"),'152-CT'!$J$8=TH!F768),"x","")</f>
        <v/>
      </c>
      <c r="AF768" s="87" t="str">
        <f>IF(AND(OR(LEFT(TH!N768,2)="15",LEFT(TH!O768,2)="15"),'THE KHO'!$E$7=TH!F768),"x","")</f>
        <v/>
      </c>
      <c r="AG768" s="87" t="str">
        <f>IF(AND(N768="1521",MONTH(C768)='BK NL'!$M$11),"x","")</f>
        <v/>
      </c>
    </row>
    <row r="769" spans="1:33" ht="15.75" customHeight="1">
      <c r="A769" s="399" t="str">
        <f>IF(B769&lt;&gt;"",IF(AND(B769&gt;=_TM1,B769&lt;=_TM2,OR(TH!N769="1111",TH!O769="1111")),TH!D769,""),"")</f>
        <v/>
      </c>
      <c r="B769" s="63" t="str">
        <f t="shared" ref="B769:B779" si="18">IF(C769&lt;&gt;"",MONTH(C769),"")</f>
        <v/>
      </c>
      <c r="C769" s="64"/>
      <c r="D769" s="64"/>
      <c r="E769" s="64"/>
      <c r="F769" s="67"/>
      <c r="G769" s="362"/>
      <c r="H769" s="75"/>
      <c r="I769" s="518"/>
      <c r="J769" s="518"/>
      <c r="K769" s="509"/>
      <c r="L769" s="518"/>
      <c r="M769" s="65"/>
      <c r="N769" s="66"/>
      <c r="O769" s="66"/>
      <c r="P769" s="87" t="str">
        <f>IF(AND('331-CT'!$E$7=TH!H769,OR(N769="331",O769="331")),"x","")</f>
        <v/>
      </c>
      <c r="Q769" s="87" t="str">
        <f>IF(AND(B769='111'!$L$11,OR($N769=$Q$7,$O769=$Q$7)),"x","")</f>
        <v/>
      </c>
      <c r="R769" s="87" t="str">
        <f>IF(AND($N769=$Q$7,$B769&lt;'111'!$L$11),"x","")</f>
        <v/>
      </c>
      <c r="S769" s="87" t="str">
        <f>IF(AND($O769=$Q$7,$B769&lt;'111'!$L$11),"x","")</f>
        <v/>
      </c>
      <c r="T769" s="87" t="str">
        <f>IF(ISERROR(FIND('112'!$M$9,G769,1)),"",IF((AND(FIND('112'!$M$9,G769,1)&gt;=1,B769='112'!$K$9,OR($N769='112'!$I$6,$O769='112'!$I$6))),"x",""))</f>
        <v/>
      </c>
      <c r="U769" s="87" t="str">
        <f>IF(ISERROR(FIND('112'!$M$9,G769,1)),"",IF((AND(FIND('112'!$M$9,G769,1)&gt;=1,B769&lt;'112'!$K$9,$N769='112'!$I$6)),"x",""))</f>
        <v/>
      </c>
      <c r="V769" s="87" t="str">
        <f>IF(ISERROR(FIND('112'!$M$9,G769,1)),"",IF((AND(FIND('112'!$M$9,G769,1)&gt;=1,B769&lt;'112'!$K$9,$O769='112'!$I$6)),"x",""))</f>
        <v/>
      </c>
      <c r="W769" s="87" t="str">
        <f>IF(AND($B769&gt;='1331'!$I$9,$B769&lt;='1331'!$J$9,OR($N769=$W$7,$O769=$W$7)),"x","")</f>
        <v/>
      </c>
      <c r="X769" s="87" t="str">
        <f>IF(AND($N769=$W$7,$B769&lt;'1331'!$I$9),"x","")</f>
        <v/>
      </c>
      <c r="Y769" s="87" t="str">
        <f>IF(AND($O769=$W$7,$B769&lt;'1331'!$I$9),"x","")</f>
        <v/>
      </c>
      <c r="Z769" s="87" t="str">
        <f>IF(AND('341-CT'!$H$9=H769,OR(LEFT(N769,3)=$Z$7,LEFT(O769,3)=$Z$7)),"x","")</f>
        <v/>
      </c>
      <c r="AA769" s="87" t="str">
        <f>IF(OR(TH!N769=TH!$AA$7,O769=TH!$AA$7),"x","")</f>
        <v/>
      </c>
      <c r="AB769" s="87" t="str">
        <f>IF(AND(OR(N769="131",O769="131"),H769='131-CT'!$H$9),"x","")</f>
        <v/>
      </c>
      <c r="AC769" s="87"/>
      <c r="AD769" s="87" t="str">
        <f>IF(AND(MONTH(E769)='IN-NX'!$J$5,'IN-NX'!$D$7=D769),"x","")</f>
        <v/>
      </c>
      <c r="AE769" s="87" t="str">
        <f>IF(AND(OR(LEFT(TH!N769,2)="15",LEFT(TH!O769,2)="15"),'152-CT'!$J$8=TH!F769),"x","")</f>
        <v/>
      </c>
      <c r="AF769" s="87" t="str">
        <f>IF(AND(OR(LEFT(TH!N769,2)="15",LEFT(TH!O769,2)="15"),'THE KHO'!$E$7=TH!F769),"x","")</f>
        <v/>
      </c>
      <c r="AG769" s="87" t="str">
        <f>IF(AND(N769="1521",MONTH(C769)='BK NL'!$M$11),"x","")</f>
        <v/>
      </c>
    </row>
    <row r="770" spans="1:33" ht="15.75" customHeight="1">
      <c r="A770" s="399" t="str">
        <f>IF(B770&lt;&gt;"",IF(AND(B770&gt;=_TM1,B770&lt;=_TM2,OR(TH!N770="1111",TH!O770="1111")),TH!D770,""),"")</f>
        <v/>
      </c>
      <c r="B770" s="63" t="str">
        <f t="shared" si="18"/>
        <v/>
      </c>
      <c r="C770" s="64"/>
      <c r="D770" s="64"/>
      <c r="E770" s="64"/>
      <c r="F770" s="67"/>
      <c r="G770" s="362"/>
      <c r="H770" s="75"/>
      <c r="I770" s="518"/>
      <c r="J770" s="518"/>
      <c r="K770" s="509"/>
      <c r="L770" s="518"/>
      <c r="M770" s="65"/>
      <c r="N770" s="66"/>
      <c r="O770" s="66"/>
      <c r="P770" s="87" t="str">
        <f>IF(AND('331-CT'!$E$7=TH!H770,OR(N770="331",O770="331")),"x","")</f>
        <v/>
      </c>
      <c r="Q770" s="87" t="str">
        <f>IF(AND(B770='111'!$L$11,OR($N770=$Q$7,$O770=$Q$7)),"x","")</f>
        <v/>
      </c>
      <c r="R770" s="87" t="str">
        <f>IF(AND($N770=$Q$7,$B770&lt;'111'!$L$11),"x","")</f>
        <v/>
      </c>
      <c r="S770" s="87" t="str">
        <f>IF(AND($O770=$Q$7,$B770&lt;'111'!$L$11),"x","")</f>
        <v/>
      </c>
      <c r="T770" s="87" t="str">
        <f>IF(ISERROR(FIND('112'!$M$9,G770,1)),"",IF((AND(FIND('112'!$M$9,G770,1)&gt;=1,B770='112'!$K$9,OR($N770='112'!$I$6,$O770='112'!$I$6))),"x",""))</f>
        <v/>
      </c>
      <c r="U770" s="87" t="str">
        <f>IF(ISERROR(FIND('112'!$M$9,G770,1)),"",IF((AND(FIND('112'!$M$9,G770,1)&gt;=1,B770&lt;'112'!$K$9,$N770='112'!$I$6)),"x",""))</f>
        <v/>
      </c>
      <c r="V770" s="87" t="str">
        <f>IF(ISERROR(FIND('112'!$M$9,G770,1)),"",IF((AND(FIND('112'!$M$9,G770,1)&gt;=1,B770&lt;'112'!$K$9,$O770='112'!$I$6)),"x",""))</f>
        <v/>
      </c>
      <c r="W770" s="87" t="str">
        <f>IF(AND($B770&gt;='1331'!$I$9,$B770&lt;='1331'!$J$9,OR($N770=$W$7,$O770=$W$7)),"x","")</f>
        <v/>
      </c>
      <c r="X770" s="87" t="str">
        <f>IF(AND($N770=$W$7,$B770&lt;'1331'!$I$9),"x","")</f>
        <v/>
      </c>
      <c r="Y770" s="87" t="str">
        <f>IF(AND($O770=$W$7,$B770&lt;'1331'!$I$9),"x","")</f>
        <v/>
      </c>
      <c r="Z770" s="87" t="str">
        <f>IF(AND('341-CT'!$H$9=H770,OR(LEFT(N770,3)=$Z$7,LEFT(O770,3)=$Z$7)),"x","")</f>
        <v/>
      </c>
      <c r="AA770" s="87" t="str">
        <f>IF(OR(TH!N770=TH!$AA$7,O770=TH!$AA$7),"x","")</f>
        <v/>
      </c>
      <c r="AB770" s="87" t="str">
        <f>IF(AND(OR(N770="131",O770="131"),H770='131-CT'!$H$9),"x","")</f>
        <v/>
      </c>
      <c r="AC770" s="87"/>
      <c r="AD770" s="87" t="str">
        <f>IF(AND(MONTH(E770)='IN-NX'!$J$5,'IN-NX'!$D$7=D770),"x","")</f>
        <v/>
      </c>
      <c r="AE770" s="87" t="str">
        <f>IF(AND(OR(LEFT(TH!N770,2)="15",LEFT(TH!O770,2)="15"),'152-CT'!$J$8=TH!F770),"x","")</f>
        <v/>
      </c>
      <c r="AF770" s="87" t="str">
        <f>IF(AND(OR(LEFT(TH!N770,2)="15",LEFT(TH!O770,2)="15"),'THE KHO'!$E$7=TH!F770),"x","")</f>
        <v/>
      </c>
      <c r="AG770" s="87" t="str">
        <f>IF(AND(N770="1521",MONTH(C770)='BK NL'!$M$11),"x","")</f>
        <v/>
      </c>
    </row>
    <row r="771" spans="1:33" ht="15.75" customHeight="1">
      <c r="A771" s="399" t="str">
        <f>IF(B771&lt;&gt;"",IF(AND(B771&gt;=_TM1,B771&lt;=_TM2,OR(TH!N771="1111",TH!O771="1111")),TH!D771,""),"")</f>
        <v/>
      </c>
      <c r="B771" s="63" t="str">
        <f t="shared" si="18"/>
        <v/>
      </c>
      <c r="C771" s="64"/>
      <c r="D771" s="64"/>
      <c r="E771" s="64"/>
      <c r="F771" s="67"/>
      <c r="G771" s="362"/>
      <c r="H771" s="75"/>
      <c r="I771" s="518"/>
      <c r="J771" s="518"/>
      <c r="K771" s="509"/>
      <c r="L771" s="518"/>
      <c r="M771" s="65"/>
      <c r="N771" s="66"/>
      <c r="O771" s="66"/>
      <c r="P771" s="87" t="str">
        <f>IF(AND('331-CT'!$E$7=TH!H771,OR(N771="331",O771="331")),"x","")</f>
        <v/>
      </c>
      <c r="Q771" s="87" t="str">
        <f>IF(AND(B771='111'!$L$11,OR($N771=$Q$7,$O771=$Q$7)),"x","")</f>
        <v/>
      </c>
      <c r="R771" s="87" t="str">
        <f>IF(AND($N771=$Q$7,$B771&lt;'111'!$L$11),"x","")</f>
        <v/>
      </c>
      <c r="S771" s="87" t="str">
        <f>IF(AND($O771=$Q$7,$B771&lt;'111'!$L$11),"x","")</f>
        <v/>
      </c>
      <c r="T771" s="87" t="str">
        <f>IF(ISERROR(FIND('112'!$M$9,G771,1)),"",IF((AND(FIND('112'!$M$9,G771,1)&gt;=1,B771='112'!$K$9,OR($N771='112'!$I$6,$O771='112'!$I$6))),"x",""))</f>
        <v/>
      </c>
      <c r="U771" s="87" t="str">
        <f>IF(ISERROR(FIND('112'!$M$9,G771,1)),"",IF((AND(FIND('112'!$M$9,G771,1)&gt;=1,B771&lt;'112'!$K$9,$N771='112'!$I$6)),"x",""))</f>
        <v/>
      </c>
      <c r="V771" s="87" t="str">
        <f>IF(ISERROR(FIND('112'!$M$9,G771,1)),"",IF((AND(FIND('112'!$M$9,G771,1)&gt;=1,B771&lt;'112'!$K$9,$O771='112'!$I$6)),"x",""))</f>
        <v/>
      </c>
      <c r="W771" s="87" t="str">
        <f>IF(AND($B771&gt;='1331'!$I$9,$B771&lt;='1331'!$J$9,OR($N771=$W$7,$O771=$W$7)),"x","")</f>
        <v/>
      </c>
      <c r="X771" s="87" t="str">
        <f>IF(AND($N771=$W$7,$B771&lt;'1331'!$I$9),"x","")</f>
        <v/>
      </c>
      <c r="Y771" s="87" t="str">
        <f>IF(AND($O771=$W$7,$B771&lt;'1331'!$I$9),"x","")</f>
        <v/>
      </c>
      <c r="Z771" s="87" t="str">
        <f>IF(AND('341-CT'!$H$9=H771,OR(LEFT(N771,3)=$Z$7,LEFT(O771,3)=$Z$7)),"x","")</f>
        <v/>
      </c>
      <c r="AA771" s="87" t="str">
        <f>IF(OR(TH!N771=TH!$AA$7,O771=TH!$AA$7),"x","")</f>
        <v/>
      </c>
      <c r="AB771" s="87" t="str">
        <f>IF(AND(OR(N771="131",O771="131"),H771='131-CT'!$H$9),"x","")</f>
        <v/>
      </c>
      <c r="AC771" s="87"/>
      <c r="AD771" s="87" t="str">
        <f>IF(AND(MONTH(E771)='IN-NX'!$J$5,'IN-NX'!$D$7=D771),"x","")</f>
        <v/>
      </c>
      <c r="AE771" s="87" t="str">
        <f>IF(AND(OR(LEFT(TH!N771,2)="15",LEFT(TH!O771,2)="15"),'152-CT'!$J$8=TH!F771),"x","")</f>
        <v/>
      </c>
      <c r="AF771" s="87" t="str">
        <f>IF(AND(OR(LEFT(TH!N771,2)="15",LEFT(TH!O771,2)="15"),'THE KHO'!$E$7=TH!F771),"x","")</f>
        <v/>
      </c>
      <c r="AG771" s="87" t="str">
        <f>IF(AND(N771="1521",MONTH(C771)='BK NL'!$M$11),"x","")</f>
        <v/>
      </c>
    </row>
    <row r="772" spans="1:33" ht="15.75" customHeight="1">
      <c r="A772" s="399" t="str">
        <f>IF(B772&lt;&gt;"",IF(AND(B772&gt;=_TM1,B772&lt;=_TM2,OR(TH!N772="1111",TH!O772="1111")),TH!D772,""),"")</f>
        <v/>
      </c>
      <c r="B772" s="63" t="str">
        <f t="shared" si="18"/>
        <v/>
      </c>
      <c r="C772" s="64"/>
      <c r="D772" s="64"/>
      <c r="E772" s="64"/>
      <c r="F772" s="67"/>
      <c r="G772" s="362"/>
      <c r="H772" s="75"/>
      <c r="I772" s="518"/>
      <c r="J772" s="518"/>
      <c r="K772" s="509"/>
      <c r="L772" s="518"/>
      <c r="M772" s="65"/>
      <c r="N772" s="66"/>
      <c r="O772" s="66"/>
      <c r="P772" s="87" t="str">
        <f>IF(AND('331-CT'!$E$7=TH!H772,OR(N772="331",O772="331")),"x","")</f>
        <v/>
      </c>
      <c r="Q772" s="87" t="str">
        <f>IF(AND(B772='111'!$L$11,OR($N772=$Q$7,$O772=$Q$7)),"x","")</f>
        <v/>
      </c>
      <c r="R772" s="87" t="str">
        <f>IF(AND($N772=$Q$7,$B772&lt;'111'!$L$11),"x","")</f>
        <v/>
      </c>
      <c r="S772" s="87" t="str">
        <f>IF(AND($O772=$Q$7,$B772&lt;'111'!$L$11),"x","")</f>
        <v/>
      </c>
      <c r="T772" s="87" t="str">
        <f>IF(ISERROR(FIND('112'!$M$9,G772,1)),"",IF((AND(FIND('112'!$M$9,G772,1)&gt;=1,B772='112'!$K$9,OR($N772='112'!$I$6,$O772='112'!$I$6))),"x",""))</f>
        <v/>
      </c>
      <c r="U772" s="87" t="str">
        <f>IF(ISERROR(FIND('112'!$M$9,G772,1)),"",IF((AND(FIND('112'!$M$9,G772,1)&gt;=1,B772&lt;'112'!$K$9,$N772='112'!$I$6)),"x",""))</f>
        <v/>
      </c>
      <c r="V772" s="87" t="str">
        <f>IF(ISERROR(FIND('112'!$M$9,G772,1)),"",IF((AND(FIND('112'!$M$9,G772,1)&gt;=1,B772&lt;'112'!$K$9,$O772='112'!$I$6)),"x",""))</f>
        <v/>
      </c>
      <c r="W772" s="87" t="str">
        <f>IF(AND($B772&gt;='1331'!$I$9,$B772&lt;='1331'!$J$9,OR($N772=$W$7,$O772=$W$7)),"x","")</f>
        <v/>
      </c>
      <c r="X772" s="87" t="str">
        <f>IF(AND($N772=$W$7,$B772&lt;'1331'!$I$9),"x","")</f>
        <v/>
      </c>
      <c r="Y772" s="87" t="str">
        <f>IF(AND($O772=$W$7,$B772&lt;'1331'!$I$9),"x","")</f>
        <v/>
      </c>
      <c r="Z772" s="87" t="str">
        <f>IF(AND('341-CT'!$H$9=H772,OR(LEFT(N772,3)=$Z$7,LEFT(O772,3)=$Z$7)),"x","")</f>
        <v/>
      </c>
      <c r="AA772" s="87" t="str">
        <f>IF(OR(TH!N772=TH!$AA$7,O772=TH!$AA$7),"x","")</f>
        <v/>
      </c>
      <c r="AB772" s="87" t="str">
        <f>IF(AND(OR(N772="131",O772="131"),H772='131-CT'!$H$9),"x","")</f>
        <v/>
      </c>
      <c r="AC772" s="87"/>
      <c r="AD772" s="87" t="str">
        <f>IF(AND(MONTH(E772)='IN-NX'!$J$5,'IN-NX'!$D$7=D772),"x","")</f>
        <v/>
      </c>
      <c r="AE772" s="87" t="str">
        <f>IF(AND(OR(LEFT(TH!N772,2)="15",LEFT(TH!O772,2)="15"),'152-CT'!$J$8=TH!F772),"x","")</f>
        <v/>
      </c>
      <c r="AF772" s="87" t="str">
        <f>IF(AND(OR(LEFT(TH!N772,2)="15",LEFT(TH!O772,2)="15"),'THE KHO'!$E$7=TH!F772),"x","")</f>
        <v/>
      </c>
      <c r="AG772" s="87" t="str">
        <f>IF(AND(N772="1521",MONTH(C772)='BK NL'!$M$11),"x","")</f>
        <v/>
      </c>
    </row>
    <row r="773" spans="1:33" ht="15.75" customHeight="1">
      <c r="A773" s="399" t="str">
        <f>IF(B773&lt;&gt;"",IF(AND(B773&gt;=_TM1,B773&lt;=_TM2,OR(TH!N773="1111",TH!O773="1111")),TH!D773,""),"")</f>
        <v/>
      </c>
      <c r="B773" s="63" t="str">
        <f t="shared" si="18"/>
        <v/>
      </c>
      <c r="C773" s="64"/>
      <c r="D773" s="64"/>
      <c r="E773" s="64"/>
      <c r="F773" s="67"/>
      <c r="G773" s="362"/>
      <c r="H773" s="75"/>
      <c r="I773" s="518"/>
      <c r="J773" s="518"/>
      <c r="K773" s="509"/>
      <c r="L773" s="518"/>
      <c r="M773" s="65"/>
      <c r="N773" s="66"/>
      <c r="O773" s="66"/>
      <c r="P773" s="87" t="str">
        <f>IF(AND('331-CT'!$E$7=TH!H773,OR(N773="331",O773="331")),"x","")</f>
        <v/>
      </c>
      <c r="Q773" s="87" t="str">
        <f>IF(AND(B773='111'!$L$11,OR($N773=$Q$7,$O773=$Q$7)),"x","")</f>
        <v/>
      </c>
      <c r="R773" s="87" t="str">
        <f>IF(AND($N773=$Q$7,$B773&lt;'111'!$L$11),"x","")</f>
        <v/>
      </c>
      <c r="S773" s="87" t="str">
        <f>IF(AND($O773=$Q$7,$B773&lt;'111'!$L$11),"x","")</f>
        <v/>
      </c>
      <c r="T773" s="87" t="str">
        <f>IF(ISERROR(FIND('112'!$M$9,G773,1)),"",IF((AND(FIND('112'!$M$9,G773,1)&gt;=1,B773='112'!$K$9,OR($N773='112'!$I$6,$O773='112'!$I$6))),"x",""))</f>
        <v/>
      </c>
      <c r="U773" s="87" t="str">
        <f>IF(ISERROR(FIND('112'!$M$9,G773,1)),"",IF((AND(FIND('112'!$M$9,G773,1)&gt;=1,B773&lt;'112'!$K$9,$N773='112'!$I$6)),"x",""))</f>
        <v/>
      </c>
      <c r="V773" s="87" t="str">
        <f>IF(ISERROR(FIND('112'!$M$9,G773,1)),"",IF((AND(FIND('112'!$M$9,G773,1)&gt;=1,B773&lt;'112'!$K$9,$O773='112'!$I$6)),"x",""))</f>
        <v/>
      </c>
      <c r="W773" s="87" t="str">
        <f>IF(AND($B773&gt;='1331'!$I$9,$B773&lt;='1331'!$J$9,OR($N773=$W$7,$O773=$W$7)),"x","")</f>
        <v/>
      </c>
      <c r="X773" s="87" t="str">
        <f>IF(AND($N773=$W$7,$B773&lt;'1331'!$I$9),"x","")</f>
        <v/>
      </c>
      <c r="Y773" s="87" t="str">
        <f>IF(AND($O773=$W$7,$B773&lt;'1331'!$I$9),"x","")</f>
        <v/>
      </c>
      <c r="Z773" s="87" t="str">
        <f>IF(AND('341-CT'!$H$9=H773,OR(LEFT(N773,3)=$Z$7,LEFT(O773,3)=$Z$7)),"x","")</f>
        <v/>
      </c>
      <c r="AA773" s="87" t="str">
        <f>IF(OR(TH!N773=TH!$AA$7,O773=TH!$AA$7),"x","")</f>
        <v/>
      </c>
      <c r="AB773" s="87" t="str">
        <f>IF(AND(OR(N773="131",O773="131"),H773='131-CT'!$H$9),"x","")</f>
        <v/>
      </c>
      <c r="AC773" s="87"/>
      <c r="AD773" s="87" t="str">
        <f>IF(AND(MONTH(E773)='IN-NX'!$J$5,'IN-NX'!$D$7=D773),"x","")</f>
        <v/>
      </c>
      <c r="AE773" s="87" t="str">
        <f>IF(AND(OR(LEFT(TH!N773,2)="15",LEFT(TH!O773,2)="15"),'152-CT'!$J$8=TH!F773),"x","")</f>
        <v/>
      </c>
      <c r="AF773" s="87" t="str">
        <f>IF(AND(OR(LEFT(TH!N773,2)="15",LEFT(TH!O773,2)="15"),'THE KHO'!$E$7=TH!F773),"x","")</f>
        <v/>
      </c>
      <c r="AG773" s="87" t="str">
        <f>IF(AND(N773="1521",MONTH(C773)='BK NL'!$M$11),"x","")</f>
        <v/>
      </c>
    </row>
    <row r="774" spans="1:33" ht="15.75" customHeight="1">
      <c r="A774" s="399" t="str">
        <f>IF(B774&lt;&gt;"",IF(AND(B774&gt;=_TM1,B774&lt;=_TM2,OR(TH!N774="1111",TH!O774="1111")),TH!D774,""),"")</f>
        <v/>
      </c>
      <c r="B774" s="63" t="str">
        <f t="shared" si="18"/>
        <v/>
      </c>
      <c r="C774" s="64"/>
      <c r="D774" s="64"/>
      <c r="E774" s="64"/>
      <c r="F774" s="67"/>
      <c r="G774" s="362"/>
      <c r="H774" s="75"/>
      <c r="I774" s="518"/>
      <c r="J774" s="518"/>
      <c r="K774" s="509"/>
      <c r="L774" s="518"/>
      <c r="M774" s="65"/>
      <c r="N774" s="66"/>
      <c r="O774" s="66"/>
      <c r="P774" s="87" t="str">
        <f>IF(AND('331-CT'!$E$7=TH!H774,OR(N774="331",O774="331")),"x","")</f>
        <v/>
      </c>
      <c r="Q774" s="87" t="str">
        <f>IF(AND(B774='111'!$L$11,OR($N774=$Q$7,$O774=$Q$7)),"x","")</f>
        <v/>
      </c>
      <c r="R774" s="87" t="str">
        <f>IF(AND($N774=$Q$7,$B774&lt;'111'!$L$11),"x","")</f>
        <v/>
      </c>
      <c r="S774" s="87" t="str">
        <f>IF(AND($O774=$Q$7,$B774&lt;'111'!$L$11),"x","")</f>
        <v/>
      </c>
      <c r="T774" s="87" t="str">
        <f>IF(ISERROR(FIND('112'!$M$9,G774,1)),"",IF((AND(FIND('112'!$M$9,G774,1)&gt;=1,B774='112'!$K$9,OR($N774='112'!$I$6,$O774='112'!$I$6))),"x",""))</f>
        <v/>
      </c>
      <c r="U774" s="87" t="str">
        <f>IF(ISERROR(FIND('112'!$M$9,G774,1)),"",IF((AND(FIND('112'!$M$9,G774,1)&gt;=1,B774&lt;'112'!$K$9,$N774='112'!$I$6)),"x",""))</f>
        <v/>
      </c>
      <c r="V774" s="87" t="str">
        <f>IF(ISERROR(FIND('112'!$M$9,G774,1)),"",IF((AND(FIND('112'!$M$9,G774,1)&gt;=1,B774&lt;'112'!$K$9,$O774='112'!$I$6)),"x",""))</f>
        <v/>
      </c>
      <c r="W774" s="87" t="str">
        <f>IF(AND($B774&gt;='1331'!$I$9,$B774&lt;='1331'!$J$9,OR($N774=$W$7,$O774=$W$7)),"x","")</f>
        <v/>
      </c>
      <c r="X774" s="87" t="str">
        <f>IF(AND($N774=$W$7,$B774&lt;'1331'!$I$9),"x","")</f>
        <v/>
      </c>
      <c r="Y774" s="87" t="str">
        <f>IF(AND($O774=$W$7,$B774&lt;'1331'!$I$9),"x","")</f>
        <v/>
      </c>
      <c r="Z774" s="87" t="str">
        <f>IF(AND('341-CT'!$H$9=H774,OR(LEFT(N774,3)=$Z$7,LEFT(O774,3)=$Z$7)),"x","")</f>
        <v/>
      </c>
      <c r="AA774" s="87" t="str">
        <f>IF(OR(TH!N774=TH!$AA$7,O774=TH!$AA$7),"x","")</f>
        <v/>
      </c>
      <c r="AB774" s="87" t="str">
        <f>IF(AND(OR(N774="131",O774="131"),H774='131-CT'!$H$9),"x","")</f>
        <v/>
      </c>
      <c r="AC774" s="87"/>
      <c r="AD774" s="87" t="str">
        <f>IF(AND(MONTH(E774)='IN-NX'!$J$5,'IN-NX'!$D$7=D774),"x","")</f>
        <v/>
      </c>
      <c r="AE774" s="87" t="str">
        <f>IF(AND(OR(LEFT(TH!N774,2)="15",LEFT(TH!O774,2)="15"),'152-CT'!$J$8=TH!F774),"x","")</f>
        <v/>
      </c>
      <c r="AF774" s="87" t="str">
        <f>IF(AND(OR(LEFT(TH!N774,2)="15",LEFT(TH!O774,2)="15"),'THE KHO'!$E$7=TH!F774),"x","")</f>
        <v/>
      </c>
      <c r="AG774" s="87" t="str">
        <f>IF(AND(N774="1521",MONTH(C774)='BK NL'!$M$11),"x","")</f>
        <v/>
      </c>
    </row>
    <row r="775" spans="1:33" ht="15.75" customHeight="1">
      <c r="A775" s="399" t="str">
        <f>IF(B775&lt;&gt;"",IF(AND(B775&gt;=_TM1,B775&lt;=_TM2,OR(TH!N775="1111",TH!O775="1111")),TH!D775,""),"")</f>
        <v/>
      </c>
      <c r="B775" s="63" t="str">
        <f t="shared" si="18"/>
        <v/>
      </c>
      <c r="C775" s="64"/>
      <c r="D775" s="64"/>
      <c r="E775" s="64"/>
      <c r="F775" s="67"/>
      <c r="G775" s="362"/>
      <c r="H775" s="75"/>
      <c r="I775" s="518"/>
      <c r="J775" s="518"/>
      <c r="K775" s="509"/>
      <c r="L775" s="518"/>
      <c r="M775" s="65"/>
      <c r="N775" s="66"/>
      <c r="O775" s="66"/>
      <c r="P775" s="87" t="str">
        <f>IF(AND('331-CT'!$E$7=TH!H775,OR(N775="331",O775="331")),"x","")</f>
        <v/>
      </c>
      <c r="Q775" s="87" t="str">
        <f>IF(AND(B775='111'!$L$11,OR($N775=$Q$7,$O775=$Q$7)),"x","")</f>
        <v/>
      </c>
      <c r="R775" s="87" t="str">
        <f>IF(AND($N775=$Q$7,$B775&lt;'111'!$L$11),"x","")</f>
        <v/>
      </c>
      <c r="S775" s="87" t="str">
        <f>IF(AND($O775=$Q$7,$B775&lt;'111'!$L$11),"x","")</f>
        <v/>
      </c>
      <c r="T775" s="87" t="str">
        <f>IF(ISERROR(FIND('112'!$M$9,G775,1)),"",IF((AND(FIND('112'!$M$9,G775,1)&gt;=1,B775='112'!$K$9,OR($N775='112'!$I$6,$O775='112'!$I$6))),"x",""))</f>
        <v/>
      </c>
      <c r="U775" s="87" t="str">
        <f>IF(ISERROR(FIND('112'!$M$9,G775,1)),"",IF((AND(FIND('112'!$M$9,G775,1)&gt;=1,B775&lt;'112'!$K$9,$N775='112'!$I$6)),"x",""))</f>
        <v/>
      </c>
      <c r="V775" s="87" t="str">
        <f>IF(ISERROR(FIND('112'!$M$9,G775,1)),"",IF((AND(FIND('112'!$M$9,G775,1)&gt;=1,B775&lt;'112'!$K$9,$O775='112'!$I$6)),"x",""))</f>
        <v/>
      </c>
      <c r="W775" s="87" t="str">
        <f>IF(AND($B775&gt;='1331'!$I$9,$B775&lt;='1331'!$J$9,OR($N775=$W$7,$O775=$W$7)),"x","")</f>
        <v/>
      </c>
      <c r="X775" s="87" t="str">
        <f>IF(AND($N775=$W$7,$B775&lt;'1331'!$I$9),"x","")</f>
        <v/>
      </c>
      <c r="Y775" s="87" t="str">
        <f>IF(AND($O775=$W$7,$B775&lt;'1331'!$I$9),"x","")</f>
        <v/>
      </c>
      <c r="Z775" s="87" t="str">
        <f>IF(AND('341-CT'!$H$9=H775,OR(LEFT(N775,3)=$Z$7,LEFT(O775,3)=$Z$7)),"x","")</f>
        <v/>
      </c>
      <c r="AA775" s="87" t="str">
        <f>IF(OR(TH!N775=TH!$AA$7,O775=TH!$AA$7),"x","")</f>
        <v/>
      </c>
      <c r="AB775" s="87" t="str">
        <f>IF(AND(OR(N775="131",O775="131"),H775='131-CT'!$H$9),"x","")</f>
        <v/>
      </c>
      <c r="AC775" s="87"/>
      <c r="AD775" s="87" t="str">
        <f>IF(AND(MONTH(E775)='IN-NX'!$J$5,'IN-NX'!$D$7=D775),"x","")</f>
        <v/>
      </c>
      <c r="AE775" s="87" t="str">
        <f>IF(AND(OR(LEFT(TH!N775,2)="15",LEFT(TH!O775,2)="15"),'152-CT'!$J$8=TH!F775),"x","")</f>
        <v/>
      </c>
      <c r="AF775" s="87" t="str">
        <f>IF(AND(OR(LEFT(TH!N775,2)="15",LEFT(TH!O775,2)="15"),'THE KHO'!$E$7=TH!F775),"x","")</f>
        <v/>
      </c>
      <c r="AG775" s="87" t="str">
        <f>IF(AND(N775="1521",MONTH(C775)='BK NL'!$M$11),"x","")</f>
        <v/>
      </c>
    </row>
    <row r="776" spans="1:33" ht="15.75" customHeight="1">
      <c r="A776" s="399" t="str">
        <f>IF(B776&lt;&gt;"",IF(AND(B776&gt;=_TM1,B776&lt;=_TM2,OR(TH!N776="1111",TH!O776="1111")),TH!D776,""),"")</f>
        <v/>
      </c>
      <c r="B776" s="63" t="str">
        <f t="shared" si="18"/>
        <v/>
      </c>
      <c r="C776" s="64"/>
      <c r="D776" s="64"/>
      <c r="E776" s="64"/>
      <c r="F776" s="67"/>
      <c r="G776" s="362"/>
      <c r="H776" s="75"/>
      <c r="I776" s="518"/>
      <c r="J776" s="518"/>
      <c r="K776" s="509"/>
      <c r="L776" s="518"/>
      <c r="M776" s="65"/>
      <c r="N776" s="66"/>
      <c r="O776" s="66"/>
      <c r="P776" s="87" t="str">
        <f>IF(AND('331-CT'!$E$7=TH!H776,OR(N776="331",O776="331")),"x","")</f>
        <v/>
      </c>
      <c r="Q776" s="87" t="str">
        <f>IF(AND(B776='111'!$L$11,OR($N776=$Q$7,$O776=$Q$7)),"x","")</f>
        <v/>
      </c>
      <c r="R776" s="87" t="str">
        <f>IF(AND($N776=$Q$7,$B776&lt;'111'!$L$11),"x","")</f>
        <v/>
      </c>
      <c r="S776" s="87" t="str">
        <f>IF(AND($O776=$Q$7,$B776&lt;'111'!$L$11),"x","")</f>
        <v/>
      </c>
      <c r="T776" s="87" t="str">
        <f>IF(ISERROR(FIND('112'!$M$9,G776,1)),"",IF((AND(FIND('112'!$M$9,G776,1)&gt;=1,B776='112'!$K$9,OR($N776='112'!$I$6,$O776='112'!$I$6))),"x",""))</f>
        <v/>
      </c>
      <c r="U776" s="87" t="str">
        <f>IF(ISERROR(FIND('112'!$M$9,G776,1)),"",IF((AND(FIND('112'!$M$9,G776,1)&gt;=1,B776&lt;'112'!$K$9,$N776='112'!$I$6)),"x",""))</f>
        <v/>
      </c>
      <c r="V776" s="87" t="str">
        <f>IF(ISERROR(FIND('112'!$M$9,G776,1)),"",IF((AND(FIND('112'!$M$9,G776,1)&gt;=1,B776&lt;'112'!$K$9,$O776='112'!$I$6)),"x",""))</f>
        <v/>
      </c>
      <c r="W776" s="87" t="str">
        <f>IF(AND($B776&gt;='1331'!$I$9,$B776&lt;='1331'!$J$9,OR($N776=$W$7,$O776=$W$7)),"x","")</f>
        <v/>
      </c>
      <c r="X776" s="87" t="str">
        <f>IF(AND($N776=$W$7,$B776&lt;'1331'!$I$9),"x","")</f>
        <v/>
      </c>
      <c r="Y776" s="87" t="str">
        <f>IF(AND($O776=$W$7,$B776&lt;'1331'!$I$9),"x","")</f>
        <v/>
      </c>
      <c r="Z776" s="87" t="str">
        <f>IF(AND('341-CT'!$H$9=H776,OR(LEFT(N776,3)=$Z$7,LEFT(O776,3)=$Z$7)),"x","")</f>
        <v/>
      </c>
      <c r="AA776" s="87" t="str">
        <f>IF(OR(TH!N776=TH!$AA$7,O776=TH!$AA$7),"x","")</f>
        <v/>
      </c>
      <c r="AB776" s="87" t="str">
        <f>IF(AND(OR(N776="131",O776="131"),H776='131-CT'!$H$9),"x","")</f>
        <v/>
      </c>
      <c r="AC776" s="87"/>
      <c r="AD776" s="87" t="str">
        <f>IF(AND(MONTH(E776)='IN-NX'!$J$5,'IN-NX'!$D$7=D776),"x","")</f>
        <v/>
      </c>
      <c r="AE776" s="87" t="str">
        <f>IF(AND(OR(LEFT(TH!N776,2)="15",LEFT(TH!O776,2)="15"),'152-CT'!$J$8=TH!F776),"x","")</f>
        <v/>
      </c>
      <c r="AF776" s="87" t="str">
        <f>IF(AND(OR(LEFT(TH!N776,2)="15",LEFT(TH!O776,2)="15"),'THE KHO'!$E$7=TH!F776),"x","")</f>
        <v/>
      </c>
      <c r="AG776" s="87" t="str">
        <f>IF(AND(N776="1521",MONTH(C776)='BK NL'!$M$11),"x","")</f>
        <v/>
      </c>
    </row>
    <row r="777" spans="1:33" ht="15.75" customHeight="1">
      <c r="A777" s="399" t="str">
        <f>IF(B777&lt;&gt;"",IF(AND(B777&gt;=_TM1,B777&lt;=_TM2,OR(TH!N777="1111",TH!O777="1111")),TH!D777,""),"")</f>
        <v/>
      </c>
      <c r="B777" s="63" t="str">
        <f t="shared" si="18"/>
        <v/>
      </c>
      <c r="C777" s="64"/>
      <c r="D777" s="64"/>
      <c r="E777" s="64"/>
      <c r="F777" s="67"/>
      <c r="G777" s="362"/>
      <c r="H777" s="75"/>
      <c r="I777" s="518"/>
      <c r="J777" s="518"/>
      <c r="K777" s="509"/>
      <c r="L777" s="518"/>
      <c r="M777" s="65"/>
      <c r="N777" s="66"/>
      <c r="O777" s="66"/>
      <c r="P777" s="87" t="str">
        <f>IF(AND('331-CT'!$E$7=TH!H777,OR(N777="331",O777="331")),"x","")</f>
        <v/>
      </c>
      <c r="Q777" s="87" t="str">
        <f>IF(AND(B777='111'!$L$11,OR($N777=$Q$7,$O777=$Q$7)),"x","")</f>
        <v/>
      </c>
      <c r="R777" s="87" t="str">
        <f>IF(AND($N777=$Q$7,$B777&lt;'111'!$L$11),"x","")</f>
        <v/>
      </c>
      <c r="S777" s="87" t="str">
        <f>IF(AND($O777=$Q$7,$B777&lt;'111'!$L$11),"x","")</f>
        <v/>
      </c>
      <c r="T777" s="87" t="str">
        <f>IF(ISERROR(FIND('112'!$M$9,G777,1)),"",IF((AND(FIND('112'!$M$9,G777,1)&gt;=1,B777='112'!$K$9,OR($N777='112'!$I$6,$O777='112'!$I$6))),"x",""))</f>
        <v/>
      </c>
      <c r="U777" s="87" t="str">
        <f>IF(ISERROR(FIND('112'!$M$9,G777,1)),"",IF((AND(FIND('112'!$M$9,G777,1)&gt;=1,B777&lt;'112'!$K$9,$N777='112'!$I$6)),"x",""))</f>
        <v/>
      </c>
      <c r="V777" s="87" t="str">
        <f>IF(ISERROR(FIND('112'!$M$9,G777,1)),"",IF((AND(FIND('112'!$M$9,G777,1)&gt;=1,B777&lt;'112'!$K$9,$O777='112'!$I$6)),"x",""))</f>
        <v/>
      </c>
      <c r="W777" s="87" t="str">
        <f>IF(AND($B777&gt;='1331'!$I$9,$B777&lt;='1331'!$J$9,OR($N777=$W$7,$O777=$W$7)),"x","")</f>
        <v/>
      </c>
      <c r="X777" s="87" t="str">
        <f>IF(AND($N777=$W$7,$B777&lt;'1331'!$I$9),"x","")</f>
        <v/>
      </c>
      <c r="Y777" s="87" t="str">
        <f>IF(AND($O777=$W$7,$B777&lt;'1331'!$I$9),"x","")</f>
        <v/>
      </c>
      <c r="Z777" s="87" t="str">
        <f>IF(AND('341-CT'!$H$9=H777,OR(LEFT(N777,3)=$Z$7,LEFT(O777,3)=$Z$7)),"x","")</f>
        <v/>
      </c>
      <c r="AA777" s="87" t="str">
        <f>IF(OR(TH!N777=TH!$AA$7,O777=TH!$AA$7),"x","")</f>
        <v/>
      </c>
      <c r="AB777" s="87" t="str">
        <f>IF(AND(OR(N777="131",O777="131"),H777='131-CT'!$H$9),"x","")</f>
        <v/>
      </c>
      <c r="AC777" s="87"/>
      <c r="AD777" s="87" t="str">
        <f>IF(AND(MONTH(E777)='IN-NX'!$J$5,'IN-NX'!$D$7=D777),"x","")</f>
        <v/>
      </c>
      <c r="AE777" s="87" t="str">
        <f>IF(AND(OR(LEFT(TH!N777,2)="15",LEFT(TH!O777,2)="15"),'152-CT'!$J$8=TH!F777),"x","")</f>
        <v/>
      </c>
      <c r="AF777" s="87" t="str">
        <f>IF(AND(OR(LEFT(TH!N777,2)="15",LEFT(TH!O777,2)="15"),'THE KHO'!$E$7=TH!F777),"x","")</f>
        <v/>
      </c>
      <c r="AG777" s="87" t="str">
        <f>IF(AND(N777="1521",MONTH(C777)='BK NL'!$M$11),"x","")</f>
        <v/>
      </c>
    </row>
    <row r="778" spans="1:33" ht="15.75" customHeight="1">
      <c r="A778" s="399" t="str">
        <f>IF(B778&lt;&gt;"",IF(AND(B778&gt;=_TM1,B778&lt;=_TM2,OR(TH!N778="1111",TH!O778="1111")),TH!D778,""),"")</f>
        <v/>
      </c>
      <c r="B778" s="63" t="str">
        <f t="shared" si="18"/>
        <v/>
      </c>
      <c r="C778" s="64"/>
      <c r="D778" s="64"/>
      <c r="E778" s="64"/>
      <c r="F778" s="67"/>
      <c r="G778" s="362"/>
      <c r="H778" s="75"/>
      <c r="I778" s="518"/>
      <c r="J778" s="518"/>
      <c r="K778" s="509"/>
      <c r="L778" s="518"/>
      <c r="M778" s="65"/>
      <c r="N778" s="66"/>
      <c r="O778" s="66"/>
      <c r="P778" s="87" t="str">
        <f>IF(AND('331-CT'!$E$7=TH!H778,OR(N778="331",O778="331")),"x","")</f>
        <v/>
      </c>
      <c r="Q778" s="87" t="str">
        <f>IF(AND(B778='111'!$L$11,OR($N778=$Q$7,$O778=$Q$7)),"x","")</f>
        <v/>
      </c>
      <c r="R778" s="87" t="str">
        <f>IF(AND($N778=$Q$7,$B778&lt;'111'!$L$11),"x","")</f>
        <v/>
      </c>
      <c r="S778" s="87" t="str">
        <f>IF(AND($O778=$Q$7,$B778&lt;'111'!$L$11),"x","")</f>
        <v/>
      </c>
      <c r="T778" s="87" t="str">
        <f>IF(ISERROR(FIND('112'!$M$9,G778,1)),"",IF((AND(FIND('112'!$M$9,G778,1)&gt;=1,B778='112'!$K$9,OR($N778='112'!$I$6,$O778='112'!$I$6))),"x",""))</f>
        <v/>
      </c>
      <c r="U778" s="87" t="str">
        <f>IF(ISERROR(FIND('112'!$M$9,G778,1)),"",IF((AND(FIND('112'!$M$9,G778,1)&gt;=1,B778&lt;'112'!$K$9,$N778='112'!$I$6)),"x",""))</f>
        <v/>
      </c>
      <c r="V778" s="87" t="str">
        <f>IF(ISERROR(FIND('112'!$M$9,G778,1)),"",IF((AND(FIND('112'!$M$9,G778,1)&gt;=1,B778&lt;'112'!$K$9,$O778='112'!$I$6)),"x",""))</f>
        <v/>
      </c>
      <c r="W778" s="87" t="str">
        <f>IF(AND($B778&gt;='1331'!$I$9,$B778&lt;='1331'!$J$9,OR($N778=$W$7,$O778=$W$7)),"x","")</f>
        <v/>
      </c>
      <c r="X778" s="87" t="str">
        <f>IF(AND($N778=$W$7,$B778&lt;'1331'!$I$9),"x","")</f>
        <v/>
      </c>
      <c r="Y778" s="87" t="str">
        <f>IF(AND($O778=$W$7,$B778&lt;'1331'!$I$9),"x","")</f>
        <v/>
      </c>
      <c r="Z778" s="87" t="str">
        <f>IF(AND('341-CT'!$H$9=H778,OR(LEFT(N778,3)=$Z$7,LEFT(O778,3)=$Z$7)),"x","")</f>
        <v/>
      </c>
      <c r="AA778" s="87" t="str">
        <f>IF(OR(TH!N778=TH!$AA$7,O778=TH!$AA$7),"x","")</f>
        <v/>
      </c>
      <c r="AB778" s="87" t="str">
        <f>IF(AND(OR(N778="131",O778="131"),H778='131-CT'!$H$9),"x","")</f>
        <v/>
      </c>
      <c r="AC778" s="87"/>
      <c r="AD778" s="87" t="str">
        <f>IF(AND(MONTH(E778)='IN-NX'!$J$5,'IN-NX'!$D$7=D778),"x","")</f>
        <v/>
      </c>
      <c r="AE778" s="87" t="str">
        <f>IF(AND(OR(LEFT(TH!N778,2)="15",LEFT(TH!O778,2)="15"),'152-CT'!$J$8=TH!F778),"x","")</f>
        <v/>
      </c>
      <c r="AF778" s="87" t="str">
        <f>IF(AND(OR(LEFT(TH!N778,2)="15",LEFT(TH!O778,2)="15"),'THE KHO'!$E$7=TH!F778),"x","")</f>
        <v/>
      </c>
      <c r="AG778" s="87" t="str">
        <f>IF(AND(N778="1521",MONTH(C778)='BK NL'!$M$11),"x","")</f>
        <v/>
      </c>
    </row>
    <row r="779" spans="1:33" ht="15.75" customHeight="1">
      <c r="A779" s="399" t="str">
        <f>IF(B779&lt;&gt;"",IF(AND(B779&gt;=_TM1,B779&lt;=_TM2,OR(TH!N779="1111",TH!O779="1111")),TH!D779,""),"")</f>
        <v/>
      </c>
      <c r="B779" s="63" t="str">
        <f t="shared" si="18"/>
        <v/>
      </c>
      <c r="C779" s="64"/>
      <c r="D779" s="64"/>
      <c r="E779" s="64"/>
      <c r="F779" s="67"/>
      <c r="G779" s="362"/>
      <c r="H779" s="75"/>
      <c r="I779" s="518"/>
      <c r="J779" s="518"/>
      <c r="K779" s="509"/>
      <c r="L779" s="518"/>
      <c r="M779" s="65"/>
      <c r="N779" s="66"/>
      <c r="O779" s="66"/>
      <c r="P779" s="87" t="str">
        <f>IF(AND('331-CT'!$E$7=TH!H779,OR(N779="331",O779="331")),"x","")</f>
        <v/>
      </c>
      <c r="Q779" s="87" t="str">
        <f>IF(AND(B779='111'!$L$11,OR($N779=$Q$7,$O779=$Q$7)),"x","")</f>
        <v/>
      </c>
      <c r="R779" s="87" t="str">
        <f>IF(AND($N779=$Q$7,$B779&lt;'111'!$L$11),"x","")</f>
        <v/>
      </c>
      <c r="S779" s="87" t="str">
        <f>IF(AND($O779=$Q$7,$B779&lt;'111'!$L$11),"x","")</f>
        <v/>
      </c>
      <c r="T779" s="87" t="str">
        <f>IF(ISERROR(FIND('112'!$M$9,G779,1)),"",IF((AND(FIND('112'!$M$9,G779,1)&gt;=1,B779='112'!$K$9,OR($N779='112'!$I$6,$O779='112'!$I$6))),"x",""))</f>
        <v/>
      </c>
      <c r="U779" s="87" t="str">
        <f>IF(ISERROR(FIND('112'!$M$9,G779,1)),"",IF((AND(FIND('112'!$M$9,G779,1)&gt;=1,B779&lt;'112'!$K$9,$N779='112'!$I$6)),"x",""))</f>
        <v/>
      </c>
      <c r="V779" s="87" t="str">
        <f>IF(ISERROR(FIND('112'!$M$9,G779,1)),"",IF((AND(FIND('112'!$M$9,G779,1)&gt;=1,B779&lt;'112'!$K$9,$O779='112'!$I$6)),"x",""))</f>
        <v/>
      </c>
      <c r="W779" s="87" t="str">
        <f>IF(AND($B779&gt;='1331'!$I$9,$B779&lt;='1331'!$J$9,OR($N779=$W$7,$O779=$W$7)),"x","")</f>
        <v/>
      </c>
      <c r="X779" s="87" t="str">
        <f>IF(AND($N779=$W$7,$B779&lt;'1331'!$I$9),"x","")</f>
        <v/>
      </c>
      <c r="Y779" s="87" t="str">
        <f>IF(AND($O779=$W$7,$B779&lt;'1331'!$I$9),"x","")</f>
        <v/>
      </c>
      <c r="Z779" s="87" t="str">
        <f>IF(AND('341-CT'!$H$9=H779,OR(LEFT(N779,3)=$Z$7,LEFT(O779,3)=$Z$7)),"x","")</f>
        <v/>
      </c>
      <c r="AA779" s="87" t="str">
        <f>IF(OR(TH!N779=TH!$AA$7,O779=TH!$AA$7),"x","")</f>
        <v/>
      </c>
      <c r="AB779" s="87" t="str">
        <f>IF(AND(OR(N779="131",O779="131"),H779='131-CT'!$H$9),"x","")</f>
        <v/>
      </c>
      <c r="AC779" s="87"/>
      <c r="AD779" s="87" t="str">
        <f>IF(AND(MONTH(E779)='IN-NX'!$J$5,'IN-NX'!$D$7=D779),"x","")</f>
        <v/>
      </c>
      <c r="AE779" s="87" t="str">
        <f>IF(AND(OR(LEFT(TH!N779,2)="15",LEFT(TH!O779,2)="15"),'152-CT'!$J$8=TH!F779),"x","")</f>
        <v/>
      </c>
      <c r="AF779" s="87" t="str">
        <f>IF(AND(OR(LEFT(TH!N779,2)="15",LEFT(TH!O779,2)="15"),'THE KHO'!$E$7=TH!F779),"x","")</f>
        <v/>
      </c>
      <c r="AG779" s="87" t="str">
        <f>IF(AND(N779="1521",MONTH(C779)='BK NL'!$M$11),"x","")</f>
        <v/>
      </c>
    </row>
    <row r="780" spans="1:33" ht="15.75" customHeight="1">
      <c r="A780" s="399" t="str">
        <f>IF(B780&lt;&gt;"",IF(AND(B780&gt;=_TM1,B780&lt;=_TM2,OR(TH!N780="1111",TH!O780="1111")),TH!D780,""),"")</f>
        <v/>
      </c>
      <c r="B780" s="63" t="str">
        <f>IF(C780&lt;&gt;"",MONTH(C780),"")</f>
        <v/>
      </c>
      <c r="C780" s="64"/>
      <c r="D780" s="64"/>
      <c r="E780" s="64"/>
      <c r="F780" s="67"/>
      <c r="G780" s="362"/>
      <c r="H780" s="75"/>
      <c r="I780" s="518"/>
      <c r="J780" s="518"/>
      <c r="K780" s="509"/>
      <c r="L780" s="518"/>
      <c r="M780" s="65"/>
      <c r="N780" s="66"/>
      <c r="O780" s="66"/>
      <c r="P780" s="87" t="str">
        <f>IF(AND('331-CT'!$E$7=TH!H780,OR(N780="331",O780="331")),"x","")</f>
        <v/>
      </c>
      <c r="Q780" s="87" t="str">
        <f>IF(AND(B780='111'!$L$11,OR($N780=$Q$7,$O780=$Q$7)),"x","")</f>
        <v/>
      </c>
      <c r="R780" s="87" t="str">
        <f>IF(AND($N780=$Q$7,$B780&lt;'111'!$L$11),"x","")</f>
        <v/>
      </c>
      <c r="S780" s="87" t="str">
        <f>IF(AND($O780=$Q$7,$B780&lt;'111'!$L$11),"x","")</f>
        <v/>
      </c>
      <c r="T780" s="87" t="str">
        <f>IF(ISERROR(FIND('112'!$M$9,G780,1)),"",IF((AND(FIND('112'!$M$9,G780,1)&gt;=1,B780='112'!$K$9,OR($N780='112'!$I$6,$O780='112'!$I$6))),"x",""))</f>
        <v/>
      </c>
      <c r="U780" s="87" t="str">
        <f>IF(ISERROR(FIND('112'!$M$9,G780,1)),"",IF((AND(FIND('112'!$M$9,G780,1)&gt;=1,B780&lt;'112'!$K$9,$N780='112'!$I$6)),"x",""))</f>
        <v/>
      </c>
      <c r="V780" s="87" t="str">
        <f>IF(ISERROR(FIND('112'!$M$9,G780,1)),"",IF((AND(FIND('112'!$M$9,G780,1)&gt;=1,B780&lt;'112'!$K$9,$O780='112'!$I$6)),"x",""))</f>
        <v/>
      </c>
      <c r="W780" s="87" t="str">
        <f>IF(AND($B780&gt;='1331'!$I$9,$B780&lt;='1331'!$J$9,OR($N780=$W$7,$O780=$W$7)),"x","")</f>
        <v/>
      </c>
      <c r="X780" s="87" t="str">
        <f>IF(AND($N780=$W$7,$B780&lt;'1331'!$I$9),"x","")</f>
        <v/>
      </c>
      <c r="Y780" s="87" t="str">
        <f>IF(AND($O780=$W$7,$B780&lt;'1331'!$I$9),"x","")</f>
        <v/>
      </c>
      <c r="Z780" s="87" t="str">
        <f>IF(AND('341-CT'!$H$9=H780,OR(LEFT(N780,3)=$Z$7,LEFT(O780,3)=$Z$7)),"x","")</f>
        <v/>
      </c>
      <c r="AA780" s="87" t="str">
        <f>IF(OR(TH!N780=TH!$AA$7,O780=TH!$AA$7),"x","")</f>
        <v/>
      </c>
      <c r="AB780" s="87" t="str">
        <f>IF(AND(OR(N780="131",O780="131"),H780='131-CT'!$H$9),"x","")</f>
        <v/>
      </c>
      <c r="AC780" s="87"/>
      <c r="AD780" s="87" t="str">
        <f>IF(AND(MONTH(E780)='IN-NX'!$J$5,'IN-NX'!$D$7=D780),"x","")</f>
        <v/>
      </c>
      <c r="AE780" s="87" t="str">
        <f>IF(AND(OR(LEFT(TH!N780,2)="15",LEFT(TH!O780,2)="15"),'152-CT'!$J$8=TH!F780),"x","")</f>
        <v/>
      </c>
      <c r="AF780" s="87" t="str">
        <f>IF(AND(OR(LEFT(TH!N780,2)="15",LEFT(TH!O780,2)="15"),'THE KHO'!$E$7=TH!F780),"x","")</f>
        <v/>
      </c>
      <c r="AG780" s="87" t="str">
        <f>IF(AND(N780="1521",MONTH(C780)='BK NL'!$M$11),"x","")</f>
        <v/>
      </c>
    </row>
    <row r="781" spans="1:33" ht="15.75" customHeight="1">
      <c r="A781" s="399" t="str">
        <f>IF(B781&lt;&gt;"",IF(AND(B781&gt;=_TM1,B781&lt;=_TM2,OR(TH!N781="1111",TH!O781="1111")),TH!D781,""),"")</f>
        <v/>
      </c>
      <c r="B781" s="63" t="str">
        <f>IF(C781&lt;&gt;"",MONTH(C781),"")</f>
        <v/>
      </c>
      <c r="C781" s="64"/>
      <c r="D781" s="64"/>
      <c r="E781" s="64"/>
      <c r="F781" s="67"/>
      <c r="G781" s="362"/>
      <c r="H781" s="75"/>
      <c r="I781" s="518"/>
      <c r="J781" s="518"/>
      <c r="K781" s="509"/>
      <c r="L781" s="518"/>
      <c r="M781" s="65"/>
      <c r="N781" s="66"/>
      <c r="O781" s="66"/>
      <c r="P781" s="87" t="str">
        <f>IF(AND('331-CT'!$E$7=TH!H781,OR(N781="331",O781="331")),"x","")</f>
        <v/>
      </c>
      <c r="Q781" s="87" t="str">
        <f>IF(AND(B781='111'!$L$11,OR($N781=$Q$7,$O781=$Q$7)),"x","")</f>
        <v/>
      </c>
      <c r="R781" s="87" t="str">
        <f>IF(AND($N781=$Q$7,$B781&lt;'111'!$L$11),"x","")</f>
        <v/>
      </c>
      <c r="S781" s="87" t="str">
        <f>IF(AND($O781=$Q$7,$B781&lt;'111'!$L$11),"x","")</f>
        <v/>
      </c>
      <c r="T781" s="87" t="str">
        <f>IF(ISERROR(FIND('112'!$M$9,G781,1)),"",IF((AND(FIND('112'!$M$9,G781,1)&gt;=1,B781='112'!$K$9,OR($N781='112'!$I$6,$O781='112'!$I$6))),"x",""))</f>
        <v/>
      </c>
      <c r="U781" s="87" t="str">
        <f>IF(ISERROR(FIND('112'!$M$9,G781,1)),"",IF((AND(FIND('112'!$M$9,G781,1)&gt;=1,B781&lt;'112'!$K$9,$N781='112'!$I$6)),"x",""))</f>
        <v/>
      </c>
      <c r="V781" s="87" t="str">
        <f>IF(ISERROR(FIND('112'!$M$9,G781,1)),"",IF((AND(FIND('112'!$M$9,G781,1)&gt;=1,B781&lt;'112'!$K$9,$O781='112'!$I$6)),"x",""))</f>
        <v/>
      </c>
      <c r="W781" s="87" t="str">
        <f>IF(AND($B781&gt;='1331'!$I$9,$B781&lt;='1331'!$J$9,OR($N781=$W$7,$O781=$W$7)),"x","")</f>
        <v/>
      </c>
      <c r="X781" s="87" t="str">
        <f>IF(AND($N781=$W$7,$B781&lt;'1331'!$I$9),"x","")</f>
        <v/>
      </c>
      <c r="Y781" s="87" t="str">
        <f>IF(AND($O781=$W$7,$B781&lt;'1331'!$I$9),"x","")</f>
        <v/>
      </c>
      <c r="Z781" s="87" t="str">
        <f>IF(AND('341-CT'!$H$9=H781,OR(LEFT(N781,3)=$Z$7,LEFT(O781,3)=$Z$7)),"x","")</f>
        <v/>
      </c>
      <c r="AA781" s="87" t="str">
        <f>IF(OR(TH!N781=TH!$AA$7,O781=TH!$AA$7),"x","")</f>
        <v/>
      </c>
      <c r="AB781" s="87" t="str">
        <f>IF(AND(OR(N781="131",O781="131"),H781='131-CT'!$H$9),"x","")</f>
        <v/>
      </c>
      <c r="AC781" s="87"/>
      <c r="AD781" s="87" t="str">
        <f>IF(AND(MONTH(E781)='IN-NX'!$J$5,'IN-NX'!$D$7=D781),"x","")</f>
        <v/>
      </c>
      <c r="AE781" s="87" t="str">
        <f>IF(AND(OR(LEFT(TH!N781,2)="15",LEFT(TH!O781,2)="15"),'152-CT'!$J$8=TH!F781),"x","")</f>
        <v/>
      </c>
      <c r="AF781" s="87" t="str">
        <f>IF(AND(OR(LEFT(TH!N781,2)="15",LEFT(TH!O781,2)="15"),'THE KHO'!$E$7=TH!F781),"x","")</f>
        <v/>
      </c>
      <c r="AG781" s="87" t="str">
        <f>IF(AND(N781="1521",MONTH(C781)='BK NL'!$M$11),"x","")</f>
        <v/>
      </c>
    </row>
    <row r="782" spans="1:33" ht="15.75" customHeight="1">
      <c r="A782" s="399" t="str">
        <f>IF(B782&lt;&gt;"",IF(AND(B782&gt;=_TM1,B782&lt;=_TM2,OR(TH!N782="1111",TH!O782="1111")),TH!D782,""),"")</f>
        <v/>
      </c>
      <c r="B782" s="63" t="str">
        <f>IF(C782&lt;&gt;"",MONTH(C782),"")</f>
        <v/>
      </c>
      <c r="C782" s="64"/>
      <c r="D782" s="64"/>
      <c r="E782" s="64"/>
      <c r="F782" s="67"/>
      <c r="G782" s="362"/>
      <c r="H782" s="75"/>
      <c r="I782" s="518"/>
      <c r="J782" s="518"/>
      <c r="K782" s="509"/>
      <c r="L782" s="518"/>
      <c r="M782" s="65"/>
      <c r="N782" s="66"/>
      <c r="O782" s="66"/>
      <c r="P782" s="87" t="str">
        <f>IF(AND('331-CT'!$E$7=TH!H782,OR(N782="331",O782="331")),"x","")</f>
        <v/>
      </c>
      <c r="Q782" s="87" t="str">
        <f>IF(AND(B782='111'!$L$11,OR($N782=$Q$7,$O782=$Q$7)),"x","")</f>
        <v/>
      </c>
      <c r="R782" s="87" t="str">
        <f>IF(AND($N782=$Q$7,$B782&lt;'111'!$L$11),"x","")</f>
        <v/>
      </c>
      <c r="S782" s="87" t="str">
        <f>IF(AND($O782=$Q$7,$B782&lt;'111'!$L$11),"x","")</f>
        <v/>
      </c>
      <c r="T782" s="87" t="str">
        <f>IF(ISERROR(FIND('112'!$M$9,G782,1)),"",IF((AND(FIND('112'!$M$9,G782,1)&gt;=1,B782='112'!$K$9,OR($N782='112'!$I$6,$O782='112'!$I$6))),"x",""))</f>
        <v/>
      </c>
      <c r="U782" s="87" t="str">
        <f>IF(ISERROR(FIND('112'!$M$9,G782,1)),"",IF((AND(FIND('112'!$M$9,G782,1)&gt;=1,B782&lt;'112'!$K$9,$N782='112'!$I$6)),"x",""))</f>
        <v/>
      </c>
      <c r="V782" s="87" t="str">
        <f>IF(ISERROR(FIND('112'!$M$9,G782,1)),"",IF((AND(FIND('112'!$M$9,G782,1)&gt;=1,B782&lt;'112'!$K$9,$O782='112'!$I$6)),"x",""))</f>
        <v/>
      </c>
      <c r="W782" s="87" t="str">
        <f>IF(AND($B782&gt;='1331'!$I$9,$B782&lt;='1331'!$J$9,OR($N782=$W$7,$O782=$W$7)),"x","")</f>
        <v/>
      </c>
      <c r="X782" s="87" t="str">
        <f>IF(AND($N782=$W$7,$B782&lt;'1331'!$I$9),"x","")</f>
        <v/>
      </c>
      <c r="Y782" s="87" t="str">
        <f>IF(AND($O782=$W$7,$B782&lt;'1331'!$I$9),"x","")</f>
        <v/>
      </c>
      <c r="Z782" s="87" t="str">
        <f>IF(AND('341-CT'!$H$9=H782,OR(LEFT(N782,3)=$Z$7,LEFT(O782,3)=$Z$7)),"x","")</f>
        <v/>
      </c>
      <c r="AA782" s="87" t="str">
        <f>IF(OR(TH!N782=TH!$AA$7,O782=TH!$AA$7),"x","")</f>
        <v/>
      </c>
      <c r="AB782" s="87" t="str">
        <f>IF(AND(OR(N782="131",O782="131"),H782='131-CT'!$H$9),"x","")</f>
        <v/>
      </c>
      <c r="AC782" s="87"/>
      <c r="AD782" s="87" t="str">
        <f>IF(AND(MONTH(E782)='IN-NX'!$J$5,'IN-NX'!$D$7=D782),"x","")</f>
        <v/>
      </c>
      <c r="AE782" s="87" t="str">
        <f>IF(AND(OR(LEFT(TH!N782,2)="15",LEFT(TH!O782,2)="15"),'152-CT'!$J$8=TH!F782),"x","")</f>
        <v/>
      </c>
      <c r="AF782" s="87" t="str">
        <f>IF(AND(OR(LEFT(TH!N782,2)="15",LEFT(TH!O782,2)="15"),'THE KHO'!$E$7=TH!F782),"x","")</f>
        <v/>
      </c>
      <c r="AG782" s="87" t="str">
        <f>IF(AND(N782="1521",MONTH(C782)='BK NL'!$M$11),"x","")</f>
        <v/>
      </c>
    </row>
  </sheetData>
  <autoFilter ref="A9:AD782"/>
  <sortState ref="A123:AG271">
    <sortCondition ref="C123:C271"/>
  </sortState>
  <mergeCells count="22">
    <mergeCell ref="AD7:AG8"/>
    <mergeCell ref="C4:O4"/>
    <mergeCell ref="C5:O5"/>
    <mergeCell ref="C7:C8"/>
    <mergeCell ref="D7:E7"/>
    <mergeCell ref="F7:F8"/>
    <mergeCell ref="M7:M8"/>
    <mergeCell ref="N7:O7"/>
    <mergeCell ref="G7:G8"/>
    <mergeCell ref="AB7:AB8"/>
    <mergeCell ref="T7:V8"/>
    <mergeCell ref="A7:A8"/>
    <mergeCell ref="B7:B8"/>
    <mergeCell ref="H7:H8"/>
    <mergeCell ref="K7:L7"/>
    <mergeCell ref="AC7:AC8"/>
    <mergeCell ref="AA7:AA8"/>
    <mergeCell ref="Z7:Z8"/>
    <mergeCell ref="W7:Y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3" customWidth="1"/>
    <col min="2" max="2" width="8.5703125" style="293" customWidth="1"/>
    <col min="3" max="3" width="7.42578125" style="293" customWidth="1"/>
    <col min="4" max="4" width="9" style="293" customWidth="1"/>
    <col min="5" max="5" width="40" style="293" customWidth="1"/>
    <col min="6" max="6" width="14.140625" style="293" customWidth="1"/>
    <col min="7" max="8" width="5.85546875" style="294" customWidth="1"/>
    <col min="9" max="9" width="4.85546875" style="293" customWidth="1"/>
    <col min="10" max="10" width="13" style="293" customWidth="1"/>
    <col min="11" max="11" width="12" style="293" customWidth="1"/>
    <col min="12" max="12" width="13.28515625" style="293" customWidth="1"/>
    <col min="13" max="13" width="13.5703125" style="293" customWidth="1"/>
    <col min="14" max="14" width="13.28515625" style="293" customWidth="1"/>
    <col min="15" max="15" width="13.5703125" style="293" customWidth="1"/>
    <col min="16" max="16" width="11.7109375" style="293" customWidth="1"/>
    <col min="17" max="17" width="6.140625" style="293" customWidth="1"/>
    <col min="18" max="18" width="8.140625" style="293" customWidth="1"/>
    <col min="19" max="19" width="7.28515625" style="293" customWidth="1"/>
    <col min="20" max="20" width="12.7109375" style="293" customWidth="1"/>
    <col min="21" max="21" width="7.140625" style="293" customWidth="1"/>
    <col min="22" max="22" width="13.85546875" style="293" customWidth="1"/>
    <col min="23" max="23" width="5.85546875" style="293" customWidth="1"/>
    <col min="24" max="24" width="7.140625" style="293" customWidth="1"/>
    <col min="25" max="25" width="6" style="293" customWidth="1"/>
    <col min="26" max="26" width="11.28515625" style="293" customWidth="1"/>
    <col min="27" max="28" width="11.5703125" style="293" customWidth="1"/>
    <col min="29" max="29" width="12" style="293" customWidth="1"/>
    <col min="30" max="30" width="6.5703125" style="293" customWidth="1"/>
    <col min="31" max="31" width="15.7109375" style="293" customWidth="1"/>
    <col min="32" max="32" width="6.5703125" style="293" customWidth="1"/>
    <col min="33" max="33" width="15.7109375" style="293" customWidth="1"/>
    <col min="34" max="34" width="6.28515625" style="293" customWidth="1"/>
    <col min="35" max="36" width="12.5703125" style="293" customWidth="1"/>
    <col min="37" max="37" width="6.28515625" style="293" customWidth="1"/>
    <col min="38" max="38" width="9.7109375" style="293" customWidth="1"/>
    <col min="39" max="39" width="10.42578125" style="293" customWidth="1"/>
    <col min="40" max="45" width="12.5703125" style="293" customWidth="1"/>
    <col min="46" max="46" width="10.140625" style="293" customWidth="1"/>
    <col min="47" max="47" width="11.85546875" style="293" customWidth="1"/>
    <col min="48" max="48" width="9.140625" style="293" customWidth="1"/>
    <col min="49" max="51" width="10.7109375" style="293" customWidth="1"/>
    <col min="52" max="52" width="14.28515625" style="293" customWidth="1"/>
    <col min="53" max="53" width="14.5703125" style="293" customWidth="1"/>
    <col min="54" max="16384" width="9.140625" style="293"/>
  </cols>
  <sheetData>
    <row r="1" spans="1:53" ht="12.75" customHeight="1">
      <c r="A1" s="289"/>
      <c r="B1" s="290" t="s">
        <v>122</v>
      </c>
      <c r="C1" s="291"/>
      <c r="D1" s="291"/>
      <c r="E1" s="292"/>
      <c r="I1" s="291"/>
      <c r="M1" s="1093" t="s">
        <v>204</v>
      </c>
      <c r="N1" s="1093"/>
      <c r="O1" s="1093"/>
      <c r="P1" s="1093"/>
      <c r="Q1" s="1093"/>
      <c r="R1" s="1093"/>
      <c r="S1" s="1093"/>
      <c r="X1" s="291"/>
      <c r="Y1" s="291"/>
      <c r="Z1" s="292"/>
      <c r="AA1" s="292"/>
      <c r="AB1" s="292"/>
      <c r="AC1" s="292"/>
      <c r="AD1" s="292"/>
      <c r="AE1" s="292"/>
      <c r="AF1" s="292"/>
      <c r="AG1" s="292"/>
      <c r="AH1" s="292"/>
      <c r="AI1" s="292"/>
      <c r="AJ1" s="292"/>
      <c r="AK1" s="292"/>
      <c r="AL1" s="292"/>
      <c r="AM1" s="292"/>
      <c r="AN1" s="292"/>
      <c r="AO1" s="292"/>
      <c r="AP1" s="292"/>
      <c r="AQ1" s="292"/>
      <c r="AR1" s="292"/>
      <c r="AS1" s="292"/>
      <c r="AT1" s="291"/>
      <c r="AU1" s="291"/>
      <c r="AV1" s="291"/>
      <c r="AW1" s="291"/>
      <c r="AX1" s="291"/>
      <c r="AY1" s="291"/>
      <c r="AZ1" s="291"/>
      <c r="BA1" s="291"/>
    </row>
    <row r="2" spans="1:53" ht="12.75" customHeight="1">
      <c r="A2" s="289"/>
      <c r="B2" s="290" t="s">
        <v>193</v>
      </c>
      <c r="C2" s="291"/>
      <c r="D2" s="291"/>
      <c r="E2" s="291"/>
      <c r="I2" s="295"/>
      <c r="M2" s="1094" t="s">
        <v>146</v>
      </c>
      <c r="N2" s="1094"/>
      <c r="O2" s="1094"/>
      <c r="P2" s="1094"/>
      <c r="Q2" s="1094"/>
      <c r="R2" s="1094"/>
      <c r="S2" s="1094"/>
      <c r="X2" s="295"/>
      <c r="Y2" s="295"/>
      <c r="Z2" s="296"/>
      <c r="AA2" s="296"/>
      <c r="AB2" s="296"/>
      <c r="AC2" s="296"/>
      <c r="AD2" s="296"/>
      <c r="AE2" s="296"/>
      <c r="AF2" s="296"/>
      <c r="AG2" s="296"/>
      <c r="AH2" s="296"/>
      <c r="AI2" s="296"/>
      <c r="AJ2" s="296"/>
      <c r="AK2" s="296"/>
      <c r="AL2" s="296"/>
      <c r="AM2" s="296"/>
      <c r="AN2" s="296"/>
      <c r="AO2" s="296"/>
      <c r="AP2" s="296"/>
      <c r="AQ2" s="296"/>
      <c r="AR2" s="296"/>
      <c r="AS2" s="296"/>
      <c r="AT2" s="295"/>
      <c r="AU2" s="295"/>
      <c r="AV2" s="295"/>
      <c r="AW2" s="295"/>
      <c r="AX2" s="295"/>
      <c r="AY2" s="295"/>
      <c r="AZ2" s="295"/>
      <c r="BA2" s="295"/>
    </row>
    <row r="3" spans="1:53" ht="10.5" customHeight="1">
      <c r="A3" s="291"/>
      <c r="B3" s="291"/>
      <c r="C3" s="291"/>
      <c r="D3" s="291"/>
      <c r="E3" s="291"/>
      <c r="F3" s="295"/>
      <c r="G3" s="297"/>
      <c r="H3" s="297"/>
      <c r="I3" s="295"/>
      <c r="M3" s="1094"/>
      <c r="N3" s="1094"/>
      <c r="O3" s="1094"/>
      <c r="P3" s="1094"/>
      <c r="Q3" s="1094"/>
      <c r="R3" s="1094"/>
      <c r="S3" s="1094"/>
      <c r="X3" s="295"/>
      <c r="Y3" s="295"/>
      <c r="Z3" s="296"/>
      <c r="AA3" s="296"/>
      <c r="AB3" s="296"/>
      <c r="AC3" s="296"/>
      <c r="AD3" s="296"/>
      <c r="AE3" s="296"/>
      <c r="AF3" s="296"/>
      <c r="AG3" s="296"/>
      <c r="AH3" s="296"/>
      <c r="AI3" s="296"/>
      <c r="AJ3" s="296"/>
      <c r="AK3" s="296"/>
      <c r="AL3" s="296"/>
      <c r="AM3" s="296"/>
      <c r="AN3" s="296"/>
      <c r="AO3" s="296"/>
      <c r="AP3" s="296"/>
      <c r="AQ3" s="296"/>
      <c r="AR3" s="296"/>
      <c r="AS3" s="296"/>
      <c r="AT3" s="295"/>
      <c r="AU3" s="295"/>
      <c r="AV3" s="295"/>
      <c r="AW3" s="295"/>
      <c r="AX3" s="295"/>
      <c r="AY3" s="295"/>
      <c r="AZ3" s="295"/>
      <c r="BA3" s="295"/>
    </row>
    <row r="4" spans="1:53" ht="19.5" customHeight="1">
      <c r="B4" s="1095" t="s">
        <v>112</v>
      </c>
      <c r="C4" s="1095"/>
      <c r="D4" s="1095"/>
      <c r="E4" s="1095"/>
      <c r="F4" s="1095"/>
      <c r="G4" s="1095"/>
      <c r="H4" s="1095"/>
      <c r="I4" s="1095"/>
      <c r="J4" s="1095"/>
      <c r="K4" s="1095"/>
      <c r="L4" s="1095"/>
      <c r="M4" s="1095"/>
      <c r="N4" s="1095"/>
      <c r="O4" s="1095"/>
      <c r="P4" s="1095"/>
      <c r="Q4" s="1095"/>
      <c r="R4" s="1095"/>
      <c r="S4" s="298"/>
      <c r="T4" s="298"/>
      <c r="U4" s="298"/>
      <c r="V4" s="298"/>
      <c r="W4" s="298"/>
      <c r="X4" s="299"/>
      <c r="Y4" s="299"/>
      <c r="Z4" s="298"/>
      <c r="AA4" s="298"/>
      <c r="AB4" s="298"/>
      <c r="AC4" s="298"/>
      <c r="AD4" s="298"/>
      <c r="AE4" s="298"/>
      <c r="AF4" s="298"/>
      <c r="AG4" s="298"/>
      <c r="AH4" s="298"/>
      <c r="AI4" s="298"/>
      <c r="AJ4" s="298"/>
      <c r="AK4" s="298"/>
      <c r="AL4" s="298"/>
      <c r="AM4" s="298"/>
      <c r="AN4" s="298"/>
      <c r="AO4" s="298"/>
      <c r="AP4" s="298"/>
      <c r="AQ4" s="298"/>
      <c r="AR4" s="298"/>
      <c r="AS4" s="298"/>
      <c r="AT4" s="300"/>
      <c r="AU4" s="300"/>
      <c r="AV4" s="300"/>
      <c r="AW4" s="300"/>
      <c r="AX4" s="300"/>
      <c r="AY4" s="300"/>
      <c r="AZ4" s="300"/>
      <c r="BA4" s="300"/>
    </row>
    <row r="5" spans="1:53" ht="15">
      <c r="B5" s="1096" t="s">
        <v>205</v>
      </c>
      <c r="C5" s="1096"/>
      <c r="D5" s="1096"/>
      <c r="E5" s="1096"/>
      <c r="F5" s="1096"/>
      <c r="G5" s="1096"/>
      <c r="H5" s="1096"/>
      <c r="I5" s="1096"/>
      <c r="J5" s="1096"/>
      <c r="K5" s="1096"/>
      <c r="L5" s="1096"/>
      <c r="M5" s="1096"/>
      <c r="N5" s="1096"/>
      <c r="O5" s="1096"/>
      <c r="P5" s="1096"/>
      <c r="Q5" s="1096"/>
      <c r="R5" s="1096"/>
      <c r="S5" s="301"/>
      <c r="T5" s="301"/>
      <c r="U5" s="301"/>
      <c r="V5" s="301"/>
      <c r="W5" s="301"/>
      <c r="X5" s="302"/>
      <c r="Y5" s="302"/>
      <c r="Z5" s="301"/>
      <c r="AA5" s="301"/>
      <c r="AB5" s="301"/>
      <c r="AC5" s="301"/>
      <c r="AD5" s="301"/>
      <c r="AE5" s="301"/>
      <c r="AF5" s="301"/>
      <c r="AG5" s="301"/>
      <c r="AH5" s="301"/>
      <c r="AI5" s="301"/>
      <c r="AJ5" s="301"/>
      <c r="AK5" s="301"/>
      <c r="AL5" s="301"/>
      <c r="AM5" s="301"/>
      <c r="AN5" s="301"/>
      <c r="AO5" s="301"/>
      <c r="AP5" s="301"/>
      <c r="AQ5" s="301"/>
      <c r="AR5" s="301"/>
      <c r="AS5" s="301"/>
    </row>
    <row r="6" spans="1:53">
      <c r="P6" s="293" t="s">
        <v>150</v>
      </c>
    </row>
    <row r="7" spans="1:53" ht="13.5" customHeight="1">
      <c r="A7" s="1097" t="s">
        <v>37</v>
      </c>
      <c r="B7" s="1099" t="s">
        <v>22</v>
      </c>
      <c r="C7" s="1100" t="s">
        <v>1</v>
      </c>
      <c r="D7" s="1101"/>
      <c r="E7" s="1099" t="s">
        <v>0</v>
      </c>
      <c r="F7" s="1099" t="s">
        <v>113</v>
      </c>
      <c r="G7" s="1102" t="s">
        <v>114</v>
      </c>
      <c r="H7" s="1102"/>
      <c r="I7" s="1103" t="s">
        <v>37</v>
      </c>
      <c r="J7" s="1099" t="s">
        <v>206</v>
      </c>
      <c r="K7" s="1099"/>
      <c r="L7" s="1099" t="s">
        <v>207</v>
      </c>
      <c r="M7" s="1099"/>
      <c r="N7" s="1099" t="s">
        <v>284</v>
      </c>
      <c r="O7" s="1099"/>
      <c r="P7" s="1099" t="s">
        <v>208</v>
      </c>
      <c r="Q7" s="1099"/>
      <c r="R7" s="1099" t="s">
        <v>209</v>
      </c>
      <c r="S7" s="1099"/>
      <c r="T7" s="1099" t="s">
        <v>210</v>
      </c>
      <c r="U7" s="1099"/>
      <c r="V7" s="1099" t="s">
        <v>211</v>
      </c>
      <c r="W7" s="1099"/>
      <c r="X7" s="1099" t="s">
        <v>212</v>
      </c>
      <c r="Y7" s="1099"/>
      <c r="Z7" s="1099" t="s">
        <v>213</v>
      </c>
      <c r="AA7" s="1099"/>
      <c r="AB7" s="1099" t="s">
        <v>214</v>
      </c>
      <c r="AC7" s="1099"/>
      <c r="AD7" s="1099" t="s">
        <v>215</v>
      </c>
      <c r="AE7" s="1099"/>
      <c r="AF7" s="1099" t="s">
        <v>279</v>
      </c>
      <c r="AG7" s="1099"/>
      <c r="AH7" s="1099" t="s">
        <v>216</v>
      </c>
      <c r="AI7" s="1099"/>
      <c r="AJ7" s="1099" t="s">
        <v>217</v>
      </c>
      <c r="AK7" s="1099"/>
      <c r="AL7" s="1099" t="s">
        <v>218</v>
      </c>
      <c r="AM7" s="1099"/>
      <c r="AN7" s="1099" t="s">
        <v>219</v>
      </c>
      <c r="AO7" s="1099"/>
      <c r="AP7" s="1099" t="s">
        <v>220</v>
      </c>
      <c r="AQ7" s="1099"/>
      <c r="AR7" s="1099" t="s">
        <v>221</v>
      </c>
      <c r="AS7" s="1099"/>
      <c r="AT7" s="1099" t="s">
        <v>222</v>
      </c>
      <c r="AU7" s="1099"/>
      <c r="AV7" s="1099" t="s">
        <v>223</v>
      </c>
      <c r="AW7" s="1099"/>
      <c r="AX7" s="1099" t="s">
        <v>224</v>
      </c>
      <c r="AY7" s="1099"/>
      <c r="AZ7" s="1099" t="s">
        <v>225</v>
      </c>
      <c r="BA7" s="1099"/>
    </row>
    <row r="8" spans="1:53" ht="22.5" customHeight="1">
      <c r="A8" s="1098"/>
      <c r="B8" s="1099"/>
      <c r="C8" s="304" t="s">
        <v>17</v>
      </c>
      <c r="D8" s="303" t="s">
        <v>34</v>
      </c>
      <c r="E8" s="1099"/>
      <c r="F8" s="1099"/>
      <c r="G8" s="305" t="s">
        <v>24</v>
      </c>
      <c r="H8" s="305" t="s">
        <v>25</v>
      </c>
      <c r="I8" s="1103"/>
      <c r="J8" s="303" t="s">
        <v>24</v>
      </c>
      <c r="K8" s="303" t="s">
        <v>25</v>
      </c>
      <c r="L8" s="303" t="s">
        <v>24</v>
      </c>
      <c r="M8" s="303" t="s">
        <v>25</v>
      </c>
      <c r="N8" s="505" t="s">
        <v>24</v>
      </c>
      <c r="O8" s="505" t="s">
        <v>25</v>
      </c>
      <c r="P8" s="303" t="s">
        <v>24</v>
      </c>
      <c r="Q8" s="303" t="s">
        <v>25</v>
      </c>
      <c r="R8" s="303" t="s">
        <v>24</v>
      </c>
      <c r="S8" s="303" t="s">
        <v>25</v>
      </c>
      <c r="T8" s="303" t="s">
        <v>24</v>
      </c>
      <c r="U8" s="303" t="s">
        <v>25</v>
      </c>
      <c r="V8" s="303" t="s">
        <v>24</v>
      </c>
      <c r="W8" s="303" t="s">
        <v>25</v>
      </c>
      <c r="X8" s="303" t="s">
        <v>24</v>
      </c>
      <c r="Y8" s="303" t="s">
        <v>25</v>
      </c>
      <c r="Z8" s="303" t="s">
        <v>24</v>
      </c>
      <c r="AA8" s="303" t="s">
        <v>25</v>
      </c>
      <c r="AB8" s="303" t="s">
        <v>24</v>
      </c>
      <c r="AC8" s="303" t="s">
        <v>25</v>
      </c>
      <c r="AD8" s="303" t="s">
        <v>24</v>
      </c>
      <c r="AE8" s="303" t="s">
        <v>25</v>
      </c>
      <c r="AF8" s="501" t="s">
        <v>24</v>
      </c>
      <c r="AG8" s="501" t="s">
        <v>25</v>
      </c>
      <c r="AH8" s="303" t="s">
        <v>24</v>
      </c>
      <c r="AI8" s="303" t="s">
        <v>25</v>
      </c>
      <c r="AJ8" s="303" t="s">
        <v>24</v>
      </c>
      <c r="AK8" s="303" t="s">
        <v>25</v>
      </c>
      <c r="AL8" s="303" t="s">
        <v>24</v>
      </c>
      <c r="AM8" s="303" t="s">
        <v>25</v>
      </c>
      <c r="AN8" s="303" t="s">
        <v>24</v>
      </c>
      <c r="AO8" s="303" t="s">
        <v>25</v>
      </c>
      <c r="AP8" s="303" t="s">
        <v>24</v>
      </c>
      <c r="AQ8" s="303" t="s">
        <v>25</v>
      </c>
      <c r="AR8" s="303" t="s">
        <v>24</v>
      </c>
      <c r="AS8" s="303" t="s">
        <v>25</v>
      </c>
      <c r="AT8" s="303" t="s">
        <v>24</v>
      </c>
      <c r="AU8" s="303" t="s">
        <v>25</v>
      </c>
      <c r="AV8" s="303" t="s">
        <v>24</v>
      </c>
      <c r="AW8" s="303" t="s">
        <v>25</v>
      </c>
      <c r="AX8" s="303" t="s">
        <v>24</v>
      </c>
      <c r="AY8" s="303" t="s">
        <v>25</v>
      </c>
      <c r="AZ8" s="303" t="s">
        <v>24</v>
      </c>
      <c r="BA8" s="303"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5" customHeight="1">
      <c r="A10" s="63" t="str">
        <f t="array" ref="A10">IF(C10&lt;&gt;0,SUM(($C10:C$16&lt;&gt;0)*1),"")</f>
        <v/>
      </c>
      <c r="B10" s="308"/>
      <c r="C10" s="309"/>
      <c r="D10" s="308"/>
      <c r="E10" s="310" t="s">
        <v>226</v>
      </c>
      <c r="F10" s="311"/>
      <c r="G10" s="312"/>
      <c r="H10" s="312"/>
      <c r="I10" s="313"/>
      <c r="J10" s="314">
        <f>CDPS!C10</f>
        <v>3705039095</v>
      </c>
      <c r="K10" s="314">
        <f>CDPS!D10</f>
        <v>0</v>
      </c>
      <c r="L10" s="314">
        <f>CDPS!C12</f>
        <v>19829295</v>
      </c>
      <c r="M10" s="314">
        <f>CDPS!D12</f>
        <v>0</v>
      </c>
      <c r="N10" s="314">
        <f>CDPS!C13</f>
        <v>2236796790</v>
      </c>
      <c r="O10" s="314">
        <f>CDPS!D13</f>
        <v>0</v>
      </c>
      <c r="P10" s="314">
        <f>CDPS!C16</f>
        <v>162420936</v>
      </c>
      <c r="Q10" s="314">
        <f>CDPS!D16</f>
        <v>0</v>
      </c>
      <c r="R10" s="314">
        <f>CDPS!C18</f>
        <v>1500000000</v>
      </c>
      <c r="S10" s="314">
        <f>CDPS!D18</f>
        <v>0</v>
      </c>
      <c r="T10" s="314">
        <f>CDPS!C36</f>
        <v>0</v>
      </c>
      <c r="U10" s="314">
        <f>CDPS!D36</f>
        <v>0</v>
      </c>
      <c r="V10" s="314">
        <f>CDPS!C38</f>
        <v>0</v>
      </c>
      <c r="W10" s="314">
        <f>CDPS!D38</f>
        <v>476953252</v>
      </c>
      <c r="X10" s="314">
        <f>CDPS!C39</f>
        <v>0</v>
      </c>
      <c r="Y10" s="314">
        <f>CDPS!D39</f>
        <v>3313435</v>
      </c>
      <c r="Z10" s="314">
        <f>CDPS!C41</f>
        <v>0</v>
      </c>
      <c r="AA10" s="314">
        <f>CDPS!D41</f>
        <v>0</v>
      </c>
      <c r="AB10" s="314">
        <f>CDPS!C49</f>
        <v>0</v>
      </c>
      <c r="AC10" s="314">
        <f>CDPS!D49</f>
        <v>0</v>
      </c>
      <c r="AD10" s="314">
        <f>CDPS!C51</f>
        <v>0</v>
      </c>
      <c r="AE10" s="314">
        <f>CDPS!D51</f>
        <v>2169121879</v>
      </c>
      <c r="AF10" s="314">
        <f>CDPS!C52</f>
        <v>0</v>
      </c>
      <c r="AG10" s="314">
        <f>CDPS!D52</f>
        <v>21202920500</v>
      </c>
      <c r="AH10" s="314">
        <f>CDPS!C54</f>
        <v>0</v>
      </c>
      <c r="AI10" s="314">
        <f>CDPS!D54</f>
        <v>10000000000</v>
      </c>
      <c r="AJ10" s="314">
        <f>CDPS!C56</f>
        <v>0</v>
      </c>
      <c r="AK10" s="314">
        <f>CDPS!D56</f>
        <v>486535137</v>
      </c>
      <c r="AL10" s="314">
        <f>CDPS!C57</f>
        <v>0</v>
      </c>
      <c r="AM10" s="314">
        <f>CDPS!D57</f>
        <v>30160884.000000477</v>
      </c>
      <c r="AN10" s="314">
        <f>CDPS!C63</f>
        <v>0</v>
      </c>
      <c r="AO10" s="314">
        <f>CDPS!D63</f>
        <v>0</v>
      </c>
      <c r="AP10" s="314">
        <v>0</v>
      </c>
      <c r="AQ10" s="314">
        <v>0</v>
      </c>
      <c r="AR10" s="314">
        <v>0</v>
      </c>
      <c r="AS10" s="314">
        <v>0</v>
      </c>
      <c r="AT10" s="314">
        <v>0</v>
      </c>
      <c r="AU10" s="314">
        <v>0</v>
      </c>
      <c r="AV10" s="314">
        <v>0</v>
      </c>
      <c r="AW10" s="314">
        <v>0</v>
      </c>
      <c r="AX10" s="314">
        <v>0</v>
      </c>
      <c r="AY10" s="314">
        <v>0</v>
      </c>
      <c r="AZ10" s="314">
        <v>0</v>
      </c>
      <c r="BA10" s="314">
        <v>0</v>
      </c>
    </row>
    <row r="11" spans="1:53" s="315" customFormat="1" ht="15" customHeight="1">
      <c r="A11" s="63">
        <f t="array" aca="1" ref="A11" ca="1">IF(C11&lt;&gt;0,SUM(($C$11:C11&lt;&gt;0)*1),"")</f>
        <v>1</v>
      </c>
      <c r="B11" s="316" t="str">
        <f ca="1">IF(ROWS($1:1)&gt;COUNT(Dong6),"",OFFSET(TH!C$1,SMALL(Dong6,ROWS($1:1)),))</f>
        <v/>
      </c>
      <c r="C11" s="316" t="str">
        <f ca="1">IF(ROWS($1:1)&gt;COUNT(Dong6),"",OFFSET(TH!D$1,SMALL(Dong6,ROWS($1:1)),))</f>
        <v/>
      </c>
      <c r="D11" s="316" t="str">
        <f ca="1">IF(ROWS($1:1)&gt;COUNT(Dong6),"",OFFSET(TH!E$1,SMALL(Dong6,ROWS($1:1)),))</f>
        <v/>
      </c>
      <c r="E11" s="371" t="str">
        <f ca="1">IF(ROWS($1:1)&gt;COUNT(Dong6),"",OFFSET(TH!F$1,SMALL(Dong6,ROWS($1:1)),))</f>
        <v/>
      </c>
      <c r="F11" s="372" t="str">
        <f ca="1">IF(ROWS($1:1)&gt;COUNT(Dong6),"",OFFSET(TH!M$1,SMALL(Dong6,ROWS($1:1)),))</f>
        <v/>
      </c>
      <c r="G11" s="373" t="str">
        <f ca="1">IF(ROWS($1:1)&gt;COUNT(Dong6),"",OFFSET(TH!N$1,SMALL(Dong6,ROWS($1:1)),))</f>
        <v/>
      </c>
      <c r="H11" s="373" t="str">
        <f ca="1">IF(ROWS($1:1)&gt;COUNT(Dong6),"",OFFSET(TH!O$1,SMALL(Dong6,ROWS($1:1)),))</f>
        <v/>
      </c>
      <c r="I11" s="63">
        <f t="shared" ref="I11:I34" ca="1" si="0">A11</f>
        <v>1</v>
      </c>
      <c r="J11" s="318">
        <f t="shared" ref="J11:J73" ca="1" si="1">IF($G11="1111",$F11,0)</f>
        <v>0</v>
      </c>
      <c r="K11" s="318">
        <f t="shared" ref="K11:K73" ca="1" si="2">IF($H11="1111",$F11,0)</f>
        <v>0</v>
      </c>
      <c r="L11" s="318">
        <f t="shared" ref="L11:L73" ca="1" si="3">IF($G11="1121",$F11,0)</f>
        <v>0</v>
      </c>
      <c r="M11" s="318">
        <f t="shared" ref="M11:M73" ca="1" si="4">IF($H11="1121",$F11,0)</f>
        <v>0</v>
      </c>
      <c r="N11" s="318">
        <f ca="1">IF($G11="1122",$F11,0)</f>
        <v>0</v>
      </c>
      <c r="O11" s="318">
        <f ca="1">IF($H11="1122",$F11,0)</f>
        <v>0</v>
      </c>
      <c r="P11" s="318">
        <f t="shared" ref="P11:P73" ca="1" si="5">IF($G11="1331",$F11,0)</f>
        <v>0</v>
      </c>
      <c r="Q11" s="318">
        <f t="shared" ref="Q11:Q73" ca="1" si="6">IF($H11="1331",$F11,0)</f>
        <v>0</v>
      </c>
      <c r="R11" s="318">
        <f t="shared" ref="R11:R73" ca="1" si="7">IF($G11="1388",$F11,0)</f>
        <v>0</v>
      </c>
      <c r="S11" s="318">
        <f t="shared" ref="S11:S73" ca="1" si="8">IF($H11="1388",$F11,0)</f>
        <v>0</v>
      </c>
      <c r="T11" s="318">
        <f ca="1">IF($G11="2412",$F11,0)</f>
        <v>0</v>
      </c>
      <c r="U11" s="318">
        <f ca="1">IF($H11="2412",$F11,0)</f>
        <v>0</v>
      </c>
      <c r="V11" s="318">
        <f t="shared" ref="V11:V73" ca="1" si="9">IF($G11="331",$F11,0)</f>
        <v>0</v>
      </c>
      <c r="W11" s="318">
        <f t="shared" ref="W11:W73" ca="1" si="10">IF($H11="331",$F11,0)</f>
        <v>0</v>
      </c>
      <c r="X11" s="318">
        <f t="shared" ref="X11:X73" ca="1" si="11">IF($G11="3334",$F11,0)</f>
        <v>0</v>
      </c>
      <c r="Y11" s="318">
        <f t="shared" ref="Y11:Y73" ca="1" si="12">IF($H11="3334",$F11,0)</f>
        <v>0</v>
      </c>
      <c r="Z11" s="318">
        <f t="shared" ref="Z11:Z73" ca="1" si="13">IF($G11="33382",$F11,0)</f>
        <v>0</v>
      </c>
      <c r="AA11" s="318">
        <f t="shared" ref="AA11:AA73" ca="1" si="14">IF($H11="33382",$F11,0)</f>
        <v>0</v>
      </c>
      <c r="AB11" s="318">
        <f t="shared" ref="AB11:AB73" ca="1" si="15">IF($G11="3388",$F11,0)</f>
        <v>0</v>
      </c>
      <c r="AC11" s="318">
        <f t="shared" ref="AC11:AC73" ca="1" si="16">IF($H11="3388",$F11,0)</f>
        <v>0</v>
      </c>
      <c r="AD11" s="318">
        <f t="shared" ref="AD11:AD73" ca="1" si="17">IF($G11="3411",$F11,0)</f>
        <v>0</v>
      </c>
      <c r="AE11" s="318">
        <f t="shared" ref="AE11:AE73" ca="1" si="18">IF($H11="3411",$F11,0)</f>
        <v>0</v>
      </c>
      <c r="AF11" s="318">
        <f ca="1">IF($G11="3412",$F11,0)</f>
        <v>0</v>
      </c>
      <c r="AG11" s="318">
        <f ca="1">IF($H11="3412",$F11,0)</f>
        <v>0</v>
      </c>
      <c r="AH11" s="318">
        <f t="shared" ref="AH11:AH73" ca="1" si="19">IF($G11="4111",$F11,0)</f>
        <v>0</v>
      </c>
      <c r="AI11" s="318">
        <f t="shared" ref="AI11:AI73" ca="1" si="20">IF($H11="4111",$F11,0)</f>
        <v>0</v>
      </c>
      <c r="AJ11" s="318">
        <f t="shared" ref="AJ11:AJ73" ca="1" si="21">IF($G11="4211",$F11,0)</f>
        <v>0</v>
      </c>
      <c r="AK11" s="318">
        <f t="shared" ref="AK11:AK73" ca="1" si="22">IF($H11="4211",$F11,0)</f>
        <v>0</v>
      </c>
      <c r="AL11" s="318">
        <f t="shared" ref="AL11:AL73" ca="1" si="23">IF($G11="4212",$F11,0)</f>
        <v>0</v>
      </c>
      <c r="AM11" s="318">
        <f t="shared" ref="AM11:AM73" ca="1" si="24">IF($H11="4212",$F11,0)</f>
        <v>0</v>
      </c>
      <c r="AN11" s="318">
        <f t="shared" ref="AN11:AN73" ca="1" si="25">IF($G11="515",$F11,0)</f>
        <v>0</v>
      </c>
      <c r="AO11" s="318">
        <f t="shared" ref="AO11:AO73" ca="1" si="26">IF($H11="515",$F11,0)</f>
        <v>0</v>
      </c>
      <c r="AP11" s="318">
        <f t="shared" ref="AP11:AP73" ca="1" si="27">IF($G11="635",$F11,0)</f>
        <v>0</v>
      </c>
      <c r="AQ11" s="318">
        <f t="shared" ref="AQ11:AQ73" ca="1" si="28">IF($H11="635",$F11,0)</f>
        <v>0</v>
      </c>
      <c r="AR11" s="318">
        <f t="shared" ref="AR11:AR73" ca="1" si="29">IF($G11="642",$F11,0)</f>
        <v>0</v>
      </c>
      <c r="AS11" s="318">
        <f t="shared" ref="AS11:AS73" ca="1" si="30">IF($H11="642",$F11,0)</f>
        <v>0</v>
      </c>
      <c r="AT11" s="318">
        <f t="shared" ref="AT11:AT73" ca="1" si="31">IF($G11="711",$F11,0)</f>
        <v>0</v>
      </c>
      <c r="AU11" s="318">
        <f t="shared" ref="AU11:AU73" ca="1" si="32">IF($H11="711",$F11,0)</f>
        <v>0</v>
      </c>
      <c r="AV11" s="318">
        <f t="shared" ref="AV11:AV73" ca="1" si="33">IF($G11="811",$F11,0)</f>
        <v>0</v>
      </c>
      <c r="AW11" s="318">
        <f t="shared" ref="AW11:AW73" ca="1" si="34">IF($H11="811",$F11,0)</f>
        <v>0</v>
      </c>
      <c r="AX11" s="318">
        <f t="shared" ref="AX11:AX73" ca="1" si="35">IF($G11="821",$F11,0)</f>
        <v>0</v>
      </c>
      <c r="AY11" s="318">
        <f t="shared" ref="AY11:AY73" ca="1" si="36">IF($H11="821",$F11,0)</f>
        <v>0</v>
      </c>
      <c r="AZ11" s="318">
        <f t="shared" ref="AZ11:AZ73" ca="1" si="37">IF($G11="911",$F11,0)</f>
        <v>0</v>
      </c>
      <c r="BA11" s="318">
        <f t="shared" ref="BA11:BA73" ca="1" si="38">IF($H11="911",$F11,0)</f>
        <v>0</v>
      </c>
    </row>
    <row r="12" spans="1:53" s="315" customFormat="1" ht="15" customHeight="1">
      <c r="A12" s="63" t="str">
        <f t="array" ref="A12">IF(C12&lt;&gt;0,SUM(($C$11:C12&lt;&gt;0)*1),"")</f>
        <v/>
      </c>
      <c r="B12" s="316"/>
      <c r="C12" s="316"/>
      <c r="D12" s="316"/>
      <c r="E12" s="371"/>
      <c r="F12" s="372"/>
      <c r="G12" s="373"/>
      <c r="H12" s="373"/>
      <c r="I12" s="63" t="str">
        <f t="shared" si="0"/>
        <v/>
      </c>
      <c r="J12" s="318">
        <f t="shared" si="1"/>
        <v>0</v>
      </c>
      <c r="K12" s="318">
        <f t="shared" si="2"/>
        <v>0</v>
      </c>
      <c r="L12" s="318">
        <f t="shared" si="3"/>
        <v>0</v>
      </c>
      <c r="M12" s="318">
        <f t="shared" si="4"/>
        <v>0</v>
      </c>
      <c r="N12" s="318">
        <f t="shared" ref="N12:N73" si="39">IF($G12="1122",$F12,0)</f>
        <v>0</v>
      </c>
      <c r="O12" s="318">
        <f t="shared" ref="O12:O73" si="40">IF($H12="1122",$F12,0)</f>
        <v>0</v>
      </c>
      <c r="P12" s="318">
        <f t="shared" si="5"/>
        <v>0</v>
      </c>
      <c r="Q12" s="318">
        <f t="shared" si="6"/>
        <v>0</v>
      </c>
      <c r="R12" s="318">
        <f t="shared" si="7"/>
        <v>0</v>
      </c>
      <c r="S12" s="318">
        <f t="shared" si="8"/>
        <v>0</v>
      </c>
      <c r="T12" s="318">
        <f t="shared" ref="T12:T73" si="41">IF($G12="2412",$F12,0)</f>
        <v>0</v>
      </c>
      <c r="U12" s="318">
        <f t="shared" ref="U12:U73"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3" si="43">IF($G12="3412",$F12,0)</f>
        <v>0</v>
      </c>
      <c r="AG12" s="318">
        <f t="shared" ref="AG12:AG73"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5" customHeight="1">
      <c r="A13" s="63" t="str">
        <f t="array" ref="A13">IF(C13&lt;&gt;0,SUM(($C$11:C13&lt;&gt;0)*1),"")</f>
        <v/>
      </c>
      <c r="B13" s="316"/>
      <c r="C13" s="316"/>
      <c r="D13" s="316"/>
      <c r="E13" s="371"/>
      <c r="F13" s="372"/>
      <c r="G13" s="373"/>
      <c r="H13" s="373"/>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5" customHeight="1">
      <c r="A14" s="63" t="str">
        <f t="array" ref="A14">IF(C14&lt;&gt;0,SUM(($C$11:C14&lt;&gt;0)*1),"")</f>
        <v/>
      </c>
      <c r="B14" s="316"/>
      <c r="C14" s="316"/>
      <c r="D14" s="316"/>
      <c r="E14" s="371"/>
      <c r="F14" s="372"/>
      <c r="G14" s="373"/>
      <c r="H14" s="373"/>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5" customHeight="1">
      <c r="A15" s="63" t="str">
        <f t="array" ref="A15">IF(C15&lt;&gt;0,SUM(($C$11:C15&lt;&gt;0)*1),"")</f>
        <v/>
      </c>
      <c r="B15" s="316"/>
      <c r="C15" s="316"/>
      <c r="D15" s="316"/>
      <c r="E15" s="371"/>
      <c r="F15" s="372"/>
      <c r="G15" s="373"/>
      <c r="H15" s="373"/>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5" customHeight="1">
      <c r="A16" s="63" t="str">
        <f t="array" ref="A16">IF(C16&lt;&gt;0,SUM(($C$11:C16&lt;&gt;0)*1),"")</f>
        <v/>
      </c>
      <c r="B16" s="316"/>
      <c r="C16" s="316"/>
      <c r="D16" s="316"/>
      <c r="E16" s="371"/>
      <c r="F16" s="372"/>
      <c r="G16" s="373"/>
      <c r="H16" s="373"/>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5" customHeight="1">
      <c r="A17" s="63" t="str">
        <f t="array" ref="A17">IF(C17&lt;&gt;0,SUM(($C$11:C17&lt;&gt;0)*1),"")</f>
        <v/>
      </c>
      <c r="B17" s="316"/>
      <c r="C17" s="316"/>
      <c r="D17" s="316"/>
      <c r="E17" s="371"/>
      <c r="F17" s="372"/>
      <c r="G17" s="373"/>
      <c r="H17" s="373"/>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5" customHeight="1">
      <c r="A18" s="63" t="str">
        <f t="array" ref="A18">IF(C18&lt;&gt;0,SUM(($C$11:C18&lt;&gt;0)*1),"")</f>
        <v/>
      </c>
      <c r="B18" s="316"/>
      <c r="C18" s="316"/>
      <c r="D18" s="316"/>
      <c r="E18" s="371"/>
      <c r="F18" s="372"/>
      <c r="G18" s="373"/>
      <c r="H18" s="373"/>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5" customHeight="1">
      <c r="A19" s="63" t="str">
        <f t="array" ref="A19">IF(C19&lt;&gt;0,SUM(($C$11:C19&lt;&gt;0)*1),"")</f>
        <v/>
      </c>
      <c r="B19" s="316"/>
      <c r="C19" s="316"/>
      <c r="D19" s="316"/>
      <c r="E19" s="371"/>
      <c r="F19" s="372"/>
      <c r="G19" s="373"/>
      <c r="H19" s="373"/>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5" customHeight="1">
      <c r="A20" s="63" t="str">
        <f t="array" ref="A20">IF(C20&lt;&gt;0,SUM(($C$11:C20&lt;&gt;0)*1),"")</f>
        <v/>
      </c>
      <c r="B20" s="316"/>
      <c r="C20" s="316"/>
      <c r="D20" s="316"/>
      <c r="E20" s="371"/>
      <c r="F20" s="372"/>
      <c r="G20" s="373"/>
      <c r="H20" s="373"/>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5" customHeight="1">
      <c r="A21" s="63" t="str">
        <f t="array" ref="A21">IF(C21&lt;&gt;0,SUM(($C$11:C21&lt;&gt;0)*1),"")</f>
        <v/>
      </c>
      <c r="B21" s="316"/>
      <c r="C21" s="316"/>
      <c r="D21" s="316"/>
      <c r="E21" s="371"/>
      <c r="F21" s="372"/>
      <c r="G21" s="373"/>
      <c r="H21" s="373"/>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5" customHeight="1">
      <c r="A22" s="63" t="str">
        <f t="array" ref="A22">IF(C22&lt;&gt;0,SUM(($C$11:C22&lt;&gt;0)*1),"")</f>
        <v/>
      </c>
      <c r="B22" s="316"/>
      <c r="C22" s="316"/>
      <c r="D22" s="316"/>
      <c r="E22" s="371"/>
      <c r="F22" s="372"/>
      <c r="G22" s="373"/>
      <c r="H22" s="373"/>
      <c r="I22" s="63" t="str">
        <f t="shared" si="0"/>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5" customHeight="1">
      <c r="A23" s="63" t="str">
        <f t="array" ref="A23">IF(C23&lt;&gt;0,SUM(($C$11:C23&lt;&gt;0)*1),"")</f>
        <v/>
      </c>
      <c r="B23" s="316"/>
      <c r="C23" s="316"/>
      <c r="D23" s="316"/>
      <c r="E23" s="371"/>
      <c r="F23" s="372"/>
      <c r="G23" s="373"/>
      <c r="H23" s="373"/>
      <c r="I23" s="63" t="str">
        <f t="shared" si="0"/>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5" customHeight="1">
      <c r="A24" s="63" t="str">
        <f t="array" ref="A24">IF(C24&lt;&gt;0,SUM(($C$11:C24&lt;&gt;0)*1),"")</f>
        <v/>
      </c>
      <c r="B24" s="316"/>
      <c r="C24" s="316"/>
      <c r="D24" s="316"/>
      <c r="E24" s="371"/>
      <c r="F24" s="372"/>
      <c r="G24" s="373"/>
      <c r="H24" s="373"/>
      <c r="I24" s="63" t="str">
        <f t="shared" si="0"/>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5" customHeight="1">
      <c r="A25" s="63" t="str">
        <f t="array" ref="A25">IF(C25&lt;&gt;0,SUM(($C$11:C25&lt;&gt;0)*1),"")</f>
        <v/>
      </c>
      <c r="B25" s="316"/>
      <c r="C25" s="316"/>
      <c r="D25" s="316"/>
      <c r="E25" s="371"/>
      <c r="F25" s="372"/>
      <c r="G25" s="373"/>
      <c r="H25" s="373"/>
      <c r="I25" s="63" t="str">
        <f t="shared" si="0"/>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5" customHeight="1">
      <c r="A26" s="63" t="str">
        <f t="array" ref="A26">IF(C26&lt;&gt;0,SUM(($C$11:C26&lt;&gt;0)*1),"")</f>
        <v/>
      </c>
      <c r="B26" s="316"/>
      <c r="C26" s="316"/>
      <c r="D26" s="316"/>
      <c r="E26" s="371"/>
      <c r="F26" s="372"/>
      <c r="G26" s="373"/>
      <c r="H26" s="373"/>
      <c r="I26" s="63" t="str">
        <f t="shared" si="0"/>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5" customHeight="1">
      <c r="A27" s="63" t="str">
        <f t="array" ref="A27">IF(C27&lt;&gt;0,SUM(($C$11:C27&lt;&gt;0)*1),"")</f>
        <v/>
      </c>
      <c r="B27" s="316"/>
      <c r="C27" s="316"/>
      <c r="D27" s="316"/>
      <c r="E27" s="371"/>
      <c r="F27" s="372"/>
      <c r="G27" s="373"/>
      <c r="H27" s="373"/>
      <c r="I27" s="63" t="str">
        <f t="shared" si="0"/>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5" customHeight="1">
      <c r="A28" s="63" t="str">
        <f t="array" ref="A28">IF(C28&lt;&gt;0,SUM(($C$11:C28&lt;&gt;0)*1),"")</f>
        <v/>
      </c>
      <c r="B28" s="316"/>
      <c r="C28" s="316"/>
      <c r="D28" s="316"/>
      <c r="E28" s="371"/>
      <c r="F28" s="372"/>
      <c r="G28" s="373"/>
      <c r="H28" s="373"/>
      <c r="I28" s="63" t="str">
        <f t="shared" si="0"/>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5" customHeight="1">
      <c r="A29" s="63" t="str">
        <f t="array" ref="A29">IF(C29&lt;&gt;0,SUM(($C$11:C29&lt;&gt;0)*1),"")</f>
        <v/>
      </c>
      <c r="B29" s="316"/>
      <c r="C29" s="316"/>
      <c r="D29" s="316"/>
      <c r="E29" s="371"/>
      <c r="F29" s="372"/>
      <c r="G29" s="373"/>
      <c r="H29" s="373"/>
      <c r="I29" s="63" t="str">
        <f t="shared" si="0"/>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5" customHeight="1">
      <c r="A30" s="63" t="str">
        <f t="array" ref="A30">IF(C30&lt;&gt;0,SUM(($C$11:C30&lt;&gt;0)*1),"")</f>
        <v/>
      </c>
      <c r="B30" s="316"/>
      <c r="C30" s="316"/>
      <c r="D30" s="316"/>
      <c r="E30" s="371"/>
      <c r="F30" s="372"/>
      <c r="G30" s="373"/>
      <c r="H30" s="373"/>
      <c r="I30" s="63" t="str">
        <f t="shared" si="0"/>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5" customHeight="1">
      <c r="A31" s="63" t="str">
        <f t="array" ref="A31">IF(C31&lt;&gt;0,SUM(($C$11:C31&lt;&gt;0)*1),"")</f>
        <v/>
      </c>
      <c r="B31" s="316"/>
      <c r="C31" s="316"/>
      <c r="D31" s="316"/>
      <c r="E31" s="371"/>
      <c r="F31" s="372"/>
      <c r="G31" s="373"/>
      <c r="H31" s="373"/>
      <c r="I31" s="63" t="str">
        <f t="shared" si="0"/>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5" customHeight="1">
      <c r="A32" s="63" t="str">
        <f t="array" ref="A32">IF(C32&lt;&gt;0,SUM(($C$11:C32&lt;&gt;0)*1),"")</f>
        <v/>
      </c>
      <c r="B32" s="316"/>
      <c r="C32" s="316"/>
      <c r="D32" s="316"/>
      <c r="E32" s="371"/>
      <c r="F32" s="372"/>
      <c r="G32" s="373"/>
      <c r="H32" s="373"/>
      <c r="I32" s="63" t="str">
        <f t="shared" si="0"/>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5" customHeight="1">
      <c r="A33" s="63" t="str">
        <f t="array" ref="A33">IF(C33&lt;&gt;0,SUM(($C$11:C33&lt;&gt;0)*1),"")</f>
        <v/>
      </c>
      <c r="B33" s="316"/>
      <c r="C33" s="316"/>
      <c r="D33" s="316"/>
      <c r="E33" s="371"/>
      <c r="F33" s="372"/>
      <c r="G33" s="373"/>
      <c r="H33" s="373"/>
      <c r="I33" s="63" t="str">
        <f t="shared" si="0"/>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5" customHeight="1">
      <c r="A34" s="63" t="str">
        <f t="array" ref="A34">IF(C34&lt;&gt;0,SUM(($C$11:C34&lt;&gt;0)*1),"")</f>
        <v/>
      </c>
      <c r="B34" s="316"/>
      <c r="C34" s="316"/>
      <c r="D34" s="316"/>
      <c r="E34" s="371"/>
      <c r="F34" s="372"/>
      <c r="G34" s="373"/>
      <c r="H34" s="373"/>
      <c r="I34" s="63" t="str">
        <f t="shared" si="0"/>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5" customHeight="1">
      <c r="A35" s="63" t="str">
        <f t="array" ref="A35">IF(C35&lt;&gt;0,SUM(($C$11:C35&lt;&gt;0)*1),"")</f>
        <v/>
      </c>
      <c r="B35" s="316"/>
      <c r="C35" s="316"/>
      <c r="D35" s="316"/>
      <c r="E35" s="371"/>
      <c r="F35" s="372"/>
      <c r="G35" s="373"/>
      <c r="H35" s="373"/>
      <c r="I35" s="63" t="str">
        <f>A35</f>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5" customHeight="1">
      <c r="A36" s="63" t="str">
        <f t="array" ref="A36">IF(C36&lt;&gt;0,SUM(($C$11:C36&lt;&gt;0)*1),"")</f>
        <v/>
      </c>
      <c r="B36" s="316"/>
      <c r="C36" s="316"/>
      <c r="D36" s="316"/>
      <c r="E36" s="371"/>
      <c r="F36" s="372"/>
      <c r="G36" s="373"/>
      <c r="H36" s="373"/>
      <c r="I36" s="63" t="str">
        <f>A36</f>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5" customHeight="1">
      <c r="A37" s="63" t="str">
        <f t="array" ref="A37">IF(C37&lt;&gt;0,SUM(($C$11:C37&lt;&gt;0)*1),"")</f>
        <v/>
      </c>
      <c r="B37" s="316"/>
      <c r="C37" s="316"/>
      <c r="D37" s="316"/>
      <c r="E37" s="371"/>
      <c r="F37" s="372"/>
      <c r="G37" s="373"/>
      <c r="H37" s="373"/>
      <c r="I37" s="63" t="str">
        <f>A37</f>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5" customHeight="1">
      <c r="A38" s="63" t="str">
        <f t="array" ref="A38">IF(C38&lt;&gt;0,SUM(($C$11:C38&lt;&gt;0)*1),"")</f>
        <v/>
      </c>
      <c r="B38" s="316"/>
      <c r="C38" s="316"/>
      <c r="D38" s="316"/>
      <c r="E38" s="371"/>
      <c r="F38" s="372"/>
      <c r="G38" s="373"/>
      <c r="H38" s="373"/>
      <c r="I38" s="63" t="str">
        <f>A38</f>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5" customHeight="1">
      <c r="A39" s="63" t="str">
        <f t="array" ref="A39">IF(C39&lt;&gt;0,SUM(($C$11:C39&lt;&gt;0)*1),"")</f>
        <v/>
      </c>
      <c r="B39" s="316"/>
      <c r="C39" s="316"/>
      <c r="D39" s="316"/>
      <c r="E39" s="371"/>
      <c r="F39" s="372"/>
      <c r="G39" s="373"/>
      <c r="H39" s="373"/>
      <c r="I39" s="63" t="str">
        <f t="shared" ref="I39:I65" si="45">A39</f>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5" customHeight="1">
      <c r="A40" s="63" t="str">
        <f t="array" ref="A40">IF(C40&lt;&gt;0,SUM(($C$11:C40&lt;&gt;0)*1),"")</f>
        <v/>
      </c>
      <c r="B40" s="316"/>
      <c r="C40" s="316"/>
      <c r="D40" s="316"/>
      <c r="E40" s="371"/>
      <c r="F40" s="372"/>
      <c r="G40" s="373"/>
      <c r="H40" s="373"/>
      <c r="I40" s="63" t="str">
        <f t="shared" si="45"/>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5" customHeight="1">
      <c r="A41" s="63" t="str">
        <f t="array" ref="A41">IF(C41&lt;&gt;0,SUM(($C$11:C41&lt;&gt;0)*1),"")</f>
        <v/>
      </c>
      <c r="B41" s="316"/>
      <c r="C41" s="316"/>
      <c r="D41" s="316"/>
      <c r="E41" s="371"/>
      <c r="F41" s="372"/>
      <c r="G41" s="373"/>
      <c r="H41" s="373"/>
      <c r="I41" s="63" t="str">
        <f t="shared" si="45"/>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5" customHeight="1">
      <c r="A42" s="63" t="str">
        <f t="array" ref="A42">IF(C42&lt;&gt;0,SUM(($C$11:C42&lt;&gt;0)*1),"")</f>
        <v/>
      </c>
      <c r="B42" s="316"/>
      <c r="C42" s="316"/>
      <c r="D42" s="316"/>
      <c r="E42" s="371"/>
      <c r="F42" s="372"/>
      <c r="G42" s="373"/>
      <c r="H42" s="373"/>
      <c r="I42" s="63" t="str">
        <f t="shared" si="45"/>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5" customHeight="1">
      <c r="A43" s="63" t="str">
        <f t="array" ref="A43">IF(C43&lt;&gt;0,SUM(($C$11:C43&lt;&gt;0)*1),"")</f>
        <v/>
      </c>
      <c r="B43" s="316"/>
      <c r="C43" s="316"/>
      <c r="D43" s="316"/>
      <c r="E43" s="371"/>
      <c r="F43" s="372"/>
      <c r="G43" s="373"/>
      <c r="H43" s="373"/>
      <c r="I43" s="63" t="str">
        <f t="shared" si="45"/>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5" customHeight="1">
      <c r="A44" s="63" t="str">
        <f t="array" ref="A44">IF(C44&lt;&gt;0,SUM(($C$11:C44&lt;&gt;0)*1),"")</f>
        <v/>
      </c>
      <c r="B44" s="316"/>
      <c r="C44" s="316"/>
      <c r="D44" s="316"/>
      <c r="E44" s="371"/>
      <c r="F44" s="372"/>
      <c r="G44" s="373"/>
      <c r="H44" s="373"/>
      <c r="I44" s="63" t="str">
        <f t="shared" si="45"/>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5" customHeight="1">
      <c r="A45" s="63" t="str">
        <f t="array" ref="A45">IF(C45&lt;&gt;0,SUM(($C$11:C45&lt;&gt;0)*1),"")</f>
        <v/>
      </c>
      <c r="B45" s="316"/>
      <c r="C45" s="316"/>
      <c r="D45" s="316"/>
      <c r="E45" s="371"/>
      <c r="F45" s="372"/>
      <c r="G45" s="373"/>
      <c r="H45" s="373"/>
      <c r="I45" s="63" t="str">
        <f t="shared" si="45"/>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5" customHeight="1">
      <c r="A46" s="63" t="str">
        <f t="array" ref="A46">IF(C46&lt;&gt;0,SUM(($C$11:C46&lt;&gt;0)*1),"")</f>
        <v/>
      </c>
      <c r="B46" s="316"/>
      <c r="C46" s="316"/>
      <c r="D46" s="316"/>
      <c r="E46" s="371"/>
      <c r="F46" s="372"/>
      <c r="G46" s="373"/>
      <c r="H46" s="373"/>
      <c r="I46" s="63" t="str">
        <f t="shared" si="45"/>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5" customHeight="1">
      <c r="A47" s="63" t="str">
        <f t="array" ref="A47">IF(C47&lt;&gt;0,SUM(($C$11:C47&lt;&gt;0)*1),"")</f>
        <v/>
      </c>
      <c r="B47" s="316"/>
      <c r="C47" s="316"/>
      <c r="D47" s="316"/>
      <c r="E47" s="371"/>
      <c r="F47" s="372"/>
      <c r="G47" s="373"/>
      <c r="H47" s="373"/>
      <c r="I47" s="63" t="str">
        <f t="shared" si="45"/>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5" customHeight="1">
      <c r="A48" s="63" t="str">
        <f t="array" ref="A48">IF(C48&lt;&gt;0,SUM(($C$11:C48&lt;&gt;0)*1),"")</f>
        <v/>
      </c>
      <c r="B48" s="316"/>
      <c r="C48" s="316"/>
      <c r="D48" s="316"/>
      <c r="E48" s="371"/>
      <c r="F48" s="372"/>
      <c r="G48" s="373"/>
      <c r="H48" s="373"/>
      <c r="I48" s="63" t="str">
        <f t="shared" si="45"/>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5" customHeight="1">
      <c r="A49" s="63" t="str">
        <f t="array" ref="A49">IF(C49&lt;&gt;0,SUM(($C$11:C49&lt;&gt;0)*1),"")</f>
        <v/>
      </c>
      <c r="B49" s="316"/>
      <c r="C49" s="316"/>
      <c r="D49" s="316"/>
      <c r="E49" s="371"/>
      <c r="F49" s="372"/>
      <c r="G49" s="373"/>
      <c r="H49" s="373"/>
      <c r="I49" s="63" t="str">
        <f t="shared" si="45"/>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5" customHeight="1">
      <c r="A50" s="63" t="str">
        <f t="array" ref="A50">IF(C50&lt;&gt;0,SUM(($C$11:C50&lt;&gt;0)*1),"")</f>
        <v/>
      </c>
      <c r="B50" s="316"/>
      <c r="C50" s="316"/>
      <c r="D50" s="316"/>
      <c r="E50" s="371"/>
      <c r="F50" s="372"/>
      <c r="G50" s="373"/>
      <c r="H50" s="373"/>
      <c r="I50" s="63" t="str">
        <f t="shared" si="45"/>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5" customHeight="1">
      <c r="A51" s="63" t="str">
        <f t="array" ref="A51">IF(C51&lt;&gt;0,SUM(($C$11:C51&lt;&gt;0)*1),"")</f>
        <v/>
      </c>
      <c r="B51" s="316"/>
      <c r="C51" s="316"/>
      <c r="D51" s="316"/>
      <c r="E51" s="371"/>
      <c r="F51" s="372"/>
      <c r="G51" s="373"/>
      <c r="H51" s="373"/>
      <c r="I51" s="63" t="str">
        <f t="shared" si="45"/>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5" customHeight="1">
      <c r="A52" s="63" t="str">
        <f t="array" ref="A52">IF(C52&lt;&gt;0,SUM(($C$11:C52&lt;&gt;0)*1),"")</f>
        <v/>
      </c>
      <c r="B52" s="316"/>
      <c r="C52" s="316"/>
      <c r="D52" s="316"/>
      <c r="E52" s="371"/>
      <c r="F52" s="372"/>
      <c r="G52" s="373"/>
      <c r="H52" s="373"/>
      <c r="I52" s="63" t="str">
        <f t="shared" si="45"/>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5" customHeight="1">
      <c r="A53" s="63" t="str">
        <f t="array" ref="A53">IF(C53&lt;&gt;0,SUM(($C$11:C53&lt;&gt;0)*1),"")</f>
        <v/>
      </c>
      <c r="B53" s="316"/>
      <c r="C53" s="316"/>
      <c r="D53" s="316"/>
      <c r="E53" s="371"/>
      <c r="F53" s="372"/>
      <c r="G53" s="373"/>
      <c r="H53" s="373"/>
      <c r="I53" s="63" t="str">
        <f t="shared" si="45"/>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5" customHeight="1">
      <c r="A54" s="63" t="str">
        <f t="array" ref="A54">IF(C54&lt;&gt;0,SUM(($C$11:C54&lt;&gt;0)*1),"")</f>
        <v/>
      </c>
      <c r="B54" s="316"/>
      <c r="C54" s="316"/>
      <c r="D54" s="316"/>
      <c r="E54" s="371"/>
      <c r="F54" s="372"/>
      <c r="G54" s="373"/>
      <c r="H54" s="373"/>
      <c r="I54" s="63" t="str">
        <f t="shared" si="45"/>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5" customHeight="1">
      <c r="A55" s="63" t="str">
        <f t="array" ref="A55">IF(C55&lt;&gt;0,SUM(($C$11:C55&lt;&gt;0)*1),"")</f>
        <v/>
      </c>
      <c r="B55" s="316"/>
      <c r="C55" s="316"/>
      <c r="D55" s="316"/>
      <c r="E55" s="371"/>
      <c r="F55" s="372"/>
      <c r="G55" s="373"/>
      <c r="H55" s="373"/>
      <c r="I55" s="63" t="str">
        <f t="shared" si="45"/>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5" customHeight="1">
      <c r="A56" s="63" t="str">
        <f t="array" ref="A56">IF(C56&lt;&gt;0,SUM(($C$11:C56&lt;&gt;0)*1),"")</f>
        <v/>
      </c>
      <c r="B56" s="316"/>
      <c r="C56" s="316"/>
      <c r="D56" s="316"/>
      <c r="E56" s="371"/>
      <c r="F56" s="372"/>
      <c r="G56" s="373"/>
      <c r="H56" s="373"/>
      <c r="I56" s="63" t="str">
        <f t="shared" si="45"/>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5" customHeight="1">
      <c r="A57" s="63" t="str">
        <f t="array" ref="A57">IF(C57&lt;&gt;0,SUM(($C$11:C57&lt;&gt;0)*1),"")</f>
        <v/>
      </c>
      <c r="B57" s="316"/>
      <c r="C57" s="316"/>
      <c r="D57" s="316"/>
      <c r="E57" s="371"/>
      <c r="F57" s="372"/>
      <c r="G57" s="373"/>
      <c r="H57" s="373"/>
      <c r="I57" s="63" t="str">
        <f t="shared" si="45"/>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5" customHeight="1">
      <c r="A58" s="63" t="str">
        <f t="array" ref="A58">IF(C58&lt;&gt;0,SUM(($C$11:C58&lt;&gt;0)*1),"")</f>
        <v/>
      </c>
      <c r="B58" s="316"/>
      <c r="C58" s="316"/>
      <c r="D58" s="316"/>
      <c r="E58" s="371"/>
      <c r="F58" s="372"/>
      <c r="G58" s="373"/>
      <c r="H58" s="373"/>
      <c r="I58" s="63" t="str">
        <f t="shared" si="45"/>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5" customHeight="1">
      <c r="A59" s="63" t="str">
        <f t="array" ref="A59">IF(C59&lt;&gt;0,SUM(($C$11:C59&lt;&gt;0)*1),"")</f>
        <v/>
      </c>
      <c r="B59" s="316"/>
      <c r="C59" s="316"/>
      <c r="D59" s="316"/>
      <c r="E59" s="371"/>
      <c r="F59" s="372"/>
      <c r="G59" s="373"/>
      <c r="H59" s="373"/>
      <c r="I59" s="63" t="str">
        <f t="shared" si="45"/>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5" customHeight="1">
      <c r="A60" s="63" t="str">
        <f t="array" ref="A60">IF(C60&lt;&gt;0,SUM(($C$11:C60&lt;&gt;0)*1),"")</f>
        <v/>
      </c>
      <c r="B60" s="316"/>
      <c r="C60" s="316"/>
      <c r="D60" s="316"/>
      <c r="E60" s="371"/>
      <c r="F60" s="372"/>
      <c r="G60" s="373"/>
      <c r="H60" s="373"/>
      <c r="I60" s="63" t="str">
        <f t="shared" si="45"/>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5" customHeight="1">
      <c r="A61" s="63" t="str">
        <f t="array" ref="A61">IF(C61&lt;&gt;0,SUM(($C$11:C61&lt;&gt;0)*1),"")</f>
        <v/>
      </c>
      <c r="B61" s="316"/>
      <c r="C61" s="316"/>
      <c r="D61" s="316"/>
      <c r="E61" s="371"/>
      <c r="F61" s="372"/>
      <c r="G61" s="373"/>
      <c r="H61" s="373"/>
      <c r="I61" s="63" t="str">
        <f t="shared" si="45"/>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5" customHeight="1">
      <c r="A62" s="63" t="str">
        <f t="array" ref="A62">IF(C62&lt;&gt;0,SUM(($C$11:C62&lt;&gt;0)*1),"")</f>
        <v/>
      </c>
      <c r="B62" s="316"/>
      <c r="C62" s="316"/>
      <c r="D62" s="316"/>
      <c r="E62" s="371"/>
      <c r="F62" s="372"/>
      <c r="G62" s="373"/>
      <c r="H62" s="373"/>
      <c r="I62" s="63" t="str">
        <f t="shared" si="45"/>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5" customHeight="1">
      <c r="A63" s="63" t="str">
        <f t="array" ref="A63">IF(C63&lt;&gt;0,SUM(($C$11:C63&lt;&gt;0)*1),"")</f>
        <v/>
      </c>
      <c r="B63" s="316"/>
      <c r="C63" s="316"/>
      <c r="D63" s="316"/>
      <c r="E63" s="371"/>
      <c r="F63" s="372"/>
      <c r="G63" s="373"/>
      <c r="H63" s="373"/>
      <c r="I63" s="63" t="str">
        <f t="shared" si="45"/>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5" customHeight="1">
      <c r="A64" s="63" t="str">
        <f t="array" ref="A64">IF(C64&lt;&gt;0,SUM(($C$11:C64&lt;&gt;0)*1),"")</f>
        <v/>
      </c>
      <c r="B64" s="316"/>
      <c r="C64" s="316"/>
      <c r="D64" s="316"/>
      <c r="E64" s="371"/>
      <c r="F64" s="372"/>
      <c r="G64" s="373"/>
      <c r="H64" s="373"/>
      <c r="I64" s="63" t="str">
        <f t="shared" si="45"/>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5" customHeight="1">
      <c r="A65" s="63" t="str">
        <f t="array" ref="A65">IF(C65&lt;&gt;0,SUM(($C$11:C65&lt;&gt;0)*1),"")</f>
        <v/>
      </c>
      <c r="B65" s="316"/>
      <c r="C65" s="316"/>
      <c r="D65" s="316"/>
      <c r="E65" s="371"/>
      <c r="F65" s="372"/>
      <c r="G65" s="373"/>
      <c r="H65" s="373"/>
      <c r="I65" s="63" t="str">
        <f t="shared" si="45"/>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5" customHeight="1">
      <c r="A66" s="63">
        <f t="array" aca="1" ref="A66" ca="1">IF(C66&lt;&gt;0,SUM(($C$11:C66&lt;&gt;0)*1),"")</f>
        <v>2</v>
      </c>
      <c r="B66" s="316">
        <v>42094</v>
      </c>
      <c r="C66" s="319" t="s">
        <v>115</v>
      </c>
      <c r="D66" s="319">
        <f t="shared" ref="D66:D72" si="46">B66</f>
        <v>42094</v>
      </c>
      <c r="E66" s="320" t="s">
        <v>227</v>
      </c>
      <c r="F66" s="86">
        <f>AL10</f>
        <v>0</v>
      </c>
      <c r="G66" s="321" t="s">
        <v>92</v>
      </c>
      <c r="H66" s="321" t="s">
        <v>94</v>
      </c>
      <c r="I66" s="63">
        <f ca="1">A66</f>
        <v>2</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5" customHeight="1">
      <c r="A67" s="63">
        <f t="array" aca="1" ref="A67" ca="1">IF(C67&lt;&gt;0,SUM(($C$11:C67&lt;&gt;0)*1),"")</f>
        <v>3</v>
      </c>
      <c r="B67" s="316">
        <v>42094</v>
      </c>
      <c r="C67" s="319" t="s">
        <v>115</v>
      </c>
      <c r="D67" s="319">
        <f t="shared" si="46"/>
        <v>42094</v>
      </c>
      <c r="E67" s="320" t="s">
        <v>116</v>
      </c>
      <c r="F67" s="86">
        <f ca="1">AP74</f>
        <v>0</v>
      </c>
      <c r="G67" s="321" t="s">
        <v>165</v>
      </c>
      <c r="H67" s="321" t="s">
        <v>99</v>
      </c>
      <c r="I67" s="63">
        <f t="shared" ref="I67:I73" ca="1" si="47">A67</f>
        <v>3</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ca="1"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ca="1"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5" customHeight="1">
      <c r="A68" s="63">
        <f t="array" aca="1" ref="A68" ca="1">IF(C68&lt;&gt;0,SUM(($C$11:C68&lt;&gt;0)*1),"")</f>
        <v>4</v>
      </c>
      <c r="B68" s="316">
        <v>42094</v>
      </c>
      <c r="C68" s="319" t="s">
        <v>115</v>
      </c>
      <c r="D68" s="319">
        <f t="shared" si="46"/>
        <v>42094</v>
      </c>
      <c r="E68" s="320" t="s">
        <v>117</v>
      </c>
      <c r="F68" s="86">
        <f ca="1">AR74</f>
        <v>0</v>
      </c>
      <c r="G68" s="321" t="s">
        <v>109</v>
      </c>
      <c r="H68" s="321" t="s">
        <v>101</v>
      </c>
      <c r="I68" s="63">
        <f t="shared" ca="1" si="47"/>
        <v>4</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ca="1" si="30"/>
        <v>0</v>
      </c>
      <c r="AT68" s="318">
        <f t="shared" si="31"/>
        <v>0</v>
      </c>
      <c r="AU68" s="318">
        <f t="shared" si="32"/>
        <v>0</v>
      </c>
      <c r="AV68" s="318">
        <f t="shared" si="33"/>
        <v>0</v>
      </c>
      <c r="AW68" s="318">
        <f t="shared" si="34"/>
        <v>0</v>
      </c>
      <c r="AX68" s="318">
        <f t="shared" si="35"/>
        <v>0</v>
      </c>
      <c r="AY68" s="318">
        <f t="shared" si="36"/>
        <v>0</v>
      </c>
      <c r="AZ68" s="318">
        <f t="shared" ca="1" si="37"/>
        <v>0</v>
      </c>
      <c r="BA68" s="318">
        <f t="shared" si="38"/>
        <v>0</v>
      </c>
    </row>
    <row r="69" spans="1:53" s="315" customFormat="1" ht="15" customHeight="1">
      <c r="A69" s="63">
        <f t="array" aca="1" ref="A69" ca="1">IF(C69&lt;&gt;0,SUM(($C$11:C69&lt;&gt;0)*1),"")</f>
        <v>5</v>
      </c>
      <c r="B69" s="316">
        <v>42094</v>
      </c>
      <c r="C69" s="319" t="s">
        <v>115</v>
      </c>
      <c r="D69" s="319">
        <f t="shared" si="46"/>
        <v>42094</v>
      </c>
      <c r="E69" s="320" t="s">
        <v>228</v>
      </c>
      <c r="F69" s="86">
        <v>2440859</v>
      </c>
      <c r="G69" s="321" t="s">
        <v>94</v>
      </c>
      <c r="H69" s="321" t="s">
        <v>109</v>
      </c>
      <c r="I69" s="63">
        <f t="shared" ca="1" si="47"/>
        <v>5</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2440859</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2440859</v>
      </c>
    </row>
    <row r="70" spans="1:53" s="315" customFormat="1" ht="15" customHeight="1">
      <c r="A70" s="63">
        <f t="array" aca="1" ref="A70" ca="1">IF(C70&lt;&gt;0,SUM(($C$11:C70&lt;&gt;0)*1),"")</f>
        <v>6</v>
      </c>
      <c r="B70" s="316">
        <v>42094</v>
      </c>
      <c r="C70" s="319" t="s">
        <v>115</v>
      </c>
      <c r="D70" s="319">
        <f t="shared" si="46"/>
        <v>42094</v>
      </c>
      <c r="E70" s="320" t="s">
        <v>119</v>
      </c>
      <c r="F70" s="86">
        <f ca="1">AO74</f>
        <v>0</v>
      </c>
      <c r="G70" s="321" t="s">
        <v>43</v>
      </c>
      <c r="H70" s="321" t="s">
        <v>109</v>
      </c>
      <c r="I70" s="63">
        <f t="shared" ca="1" si="47"/>
        <v>6</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ca="1"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ca="1" si="38"/>
        <v>0</v>
      </c>
    </row>
    <row r="71" spans="1:53" s="315" customFormat="1" ht="15" customHeight="1">
      <c r="A71" s="63">
        <f t="array" aca="1" ref="A71" ca="1">IF(C71&lt;&gt;0,SUM(($C$11:C71&lt;&gt;0)*1),"")</f>
        <v>7</v>
      </c>
      <c r="B71" s="316">
        <v>42094</v>
      </c>
      <c r="C71" s="319" t="s">
        <v>115</v>
      </c>
      <c r="D71" s="319">
        <f t="shared" si="46"/>
        <v>42094</v>
      </c>
      <c r="E71" s="320" t="s">
        <v>120</v>
      </c>
      <c r="F71" s="86">
        <f ca="1">AU74</f>
        <v>0</v>
      </c>
      <c r="G71" s="321" t="s">
        <v>103</v>
      </c>
      <c r="H71" s="321" t="s">
        <v>109</v>
      </c>
      <c r="I71" s="63">
        <f t="shared" ca="1" si="47"/>
        <v>7</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ca="1" si="31"/>
        <v>0</v>
      </c>
      <c r="AU71" s="318">
        <f t="shared" si="32"/>
        <v>0</v>
      </c>
      <c r="AV71" s="318">
        <f t="shared" si="33"/>
        <v>0</v>
      </c>
      <c r="AW71" s="318">
        <f t="shared" si="34"/>
        <v>0</v>
      </c>
      <c r="AX71" s="318">
        <f t="shared" si="35"/>
        <v>0</v>
      </c>
      <c r="AY71" s="318">
        <f t="shared" si="36"/>
        <v>0</v>
      </c>
      <c r="AZ71" s="318">
        <f t="shared" si="37"/>
        <v>0</v>
      </c>
      <c r="BA71" s="318">
        <f t="shared" ca="1" si="38"/>
        <v>0</v>
      </c>
    </row>
    <row r="72" spans="1:53" s="315" customFormat="1" ht="15" customHeight="1">
      <c r="A72" s="63">
        <f t="array" aca="1" ref="A72" ca="1">IF(C72&lt;&gt;0,SUM(($C$11:C72&lt;&gt;0)*1),"")</f>
        <v>8</v>
      </c>
      <c r="B72" s="316">
        <v>42094</v>
      </c>
      <c r="C72" s="319" t="s">
        <v>115</v>
      </c>
      <c r="D72" s="319">
        <f t="shared" si="46"/>
        <v>42094</v>
      </c>
      <c r="E72" s="320" t="s">
        <v>121</v>
      </c>
      <c r="F72" s="86">
        <f ca="1">AV74</f>
        <v>0</v>
      </c>
      <c r="G72" s="321" t="s">
        <v>109</v>
      </c>
      <c r="H72" s="321" t="s">
        <v>105</v>
      </c>
      <c r="I72" s="63">
        <f t="shared" ca="1" si="47"/>
        <v>8</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ca="1" si="34"/>
        <v>0</v>
      </c>
      <c r="AX72" s="318">
        <f t="shared" si="35"/>
        <v>0</v>
      </c>
      <c r="AY72" s="318">
        <f t="shared" si="36"/>
        <v>0</v>
      </c>
      <c r="AZ72" s="318">
        <f t="shared" ca="1" si="37"/>
        <v>0</v>
      </c>
      <c r="BA72" s="318">
        <f t="shared" si="38"/>
        <v>0</v>
      </c>
    </row>
    <row r="73" spans="1:53" s="315" customFormat="1" ht="15" customHeight="1">
      <c r="A73" s="63" t="str">
        <f t="array" ref="A73">IF(C73&lt;&gt;0,SUM(($C$11:C73&lt;&gt;0)*1),"")</f>
        <v/>
      </c>
      <c r="B73" s="279"/>
      <c r="C73" s="322"/>
      <c r="D73" s="279"/>
      <c r="E73" s="317"/>
      <c r="F73" s="65"/>
      <c r="G73" s="323"/>
      <c r="H73" s="323"/>
      <c r="I73" s="63" t="str">
        <f t="shared" si="47"/>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5" customHeight="1">
      <c r="A74" s="63" t="str">
        <f t="array" ref="A74">IF(C74&lt;&gt;0,SUM(($C$11:C74&lt;&gt;0)*1),"")</f>
        <v/>
      </c>
      <c r="B74" s="324"/>
      <c r="C74" s="324"/>
      <c r="D74" s="324"/>
      <c r="E74" s="317" t="s">
        <v>186</v>
      </c>
      <c r="F74" s="324"/>
      <c r="G74" s="323"/>
      <c r="H74" s="323"/>
      <c r="I74" s="324"/>
      <c r="J74" s="318">
        <f t="shared" ref="J74:BA74" ca="1" si="48">SUM(J11:J73)</f>
        <v>0</v>
      </c>
      <c r="K74" s="318">
        <f t="shared" ca="1" si="48"/>
        <v>0</v>
      </c>
      <c r="L74" s="318">
        <f t="shared" ca="1" si="48"/>
        <v>0</v>
      </c>
      <c r="M74" s="318">
        <f t="shared" ca="1" si="48"/>
        <v>0</v>
      </c>
      <c r="N74" s="318">
        <f ca="1">SUM(N11:N73)</f>
        <v>0</v>
      </c>
      <c r="O74" s="318">
        <f ca="1">SUM(O11:O73)</f>
        <v>0</v>
      </c>
      <c r="P74" s="318">
        <f t="shared" ca="1" si="48"/>
        <v>0</v>
      </c>
      <c r="Q74" s="318">
        <f t="shared" ca="1" si="48"/>
        <v>0</v>
      </c>
      <c r="R74" s="318">
        <f t="shared" ca="1" si="48"/>
        <v>0</v>
      </c>
      <c r="S74" s="318">
        <f t="shared" ca="1" si="48"/>
        <v>0</v>
      </c>
      <c r="T74" s="318">
        <f t="shared" ca="1" si="48"/>
        <v>0</v>
      </c>
      <c r="U74" s="318">
        <f t="shared" ca="1" si="48"/>
        <v>0</v>
      </c>
      <c r="V74" s="318">
        <f t="shared" ca="1" si="48"/>
        <v>0</v>
      </c>
      <c r="W74" s="318">
        <f t="shared" ca="1" si="48"/>
        <v>0</v>
      </c>
      <c r="X74" s="318">
        <f t="shared" ca="1" si="48"/>
        <v>0</v>
      </c>
      <c r="Y74" s="318">
        <f t="shared" ca="1" si="48"/>
        <v>0</v>
      </c>
      <c r="Z74" s="318">
        <f t="shared" ca="1" si="48"/>
        <v>0</v>
      </c>
      <c r="AA74" s="318">
        <f t="shared" ca="1" si="48"/>
        <v>0</v>
      </c>
      <c r="AB74" s="318">
        <f t="shared" ca="1" si="48"/>
        <v>0</v>
      </c>
      <c r="AC74" s="318">
        <f t="shared" ca="1" si="48"/>
        <v>0</v>
      </c>
      <c r="AD74" s="318">
        <f t="shared" ca="1" si="48"/>
        <v>0</v>
      </c>
      <c r="AE74" s="318">
        <f t="shared" ca="1" si="48"/>
        <v>0</v>
      </c>
      <c r="AF74" s="318">
        <f ca="1">SUM(AF11:AF73)</f>
        <v>0</v>
      </c>
      <c r="AG74" s="318">
        <f ca="1">SUM(AG11:AG73)</f>
        <v>0</v>
      </c>
      <c r="AH74" s="318">
        <f t="shared" ca="1" si="48"/>
        <v>0</v>
      </c>
      <c r="AI74" s="318">
        <f t="shared" ca="1" si="48"/>
        <v>0</v>
      </c>
      <c r="AJ74" s="318">
        <f t="shared" ca="1" si="48"/>
        <v>0</v>
      </c>
      <c r="AK74" s="318">
        <f t="shared" ca="1" si="48"/>
        <v>0</v>
      </c>
      <c r="AL74" s="318">
        <f t="shared" ca="1" si="48"/>
        <v>2440859</v>
      </c>
      <c r="AM74" s="318">
        <f t="shared" ca="1" si="48"/>
        <v>0</v>
      </c>
      <c r="AN74" s="318">
        <f t="shared" ca="1" si="48"/>
        <v>0</v>
      </c>
      <c r="AO74" s="318">
        <f t="shared" ca="1" si="48"/>
        <v>0</v>
      </c>
      <c r="AP74" s="318">
        <f t="shared" ca="1" si="48"/>
        <v>0</v>
      </c>
      <c r="AQ74" s="318">
        <f t="shared" ca="1" si="48"/>
        <v>0</v>
      </c>
      <c r="AR74" s="318">
        <f t="shared" ca="1" si="48"/>
        <v>0</v>
      </c>
      <c r="AS74" s="318">
        <f t="shared" ca="1" si="48"/>
        <v>0</v>
      </c>
      <c r="AT74" s="318">
        <f t="shared" ca="1" si="48"/>
        <v>0</v>
      </c>
      <c r="AU74" s="318">
        <f t="shared" ca="1" si="48"/>
        <v>0</v>
      </c>
      <c r="AV74" s="318">
        <f t="shared" ca="1" si="48"/>
        <v>0</v>
      </c>
      <c r="AW74" s="318">
        <f t="shared" ca="1" si="48"/>
        <v>0</v>
      </c>
      <c r="AX74" s="318">
        <f t="shared" ca="1" si="48"/>
        <v>0</v>
      </c>
      <c r="AY74" s="318">
        <f t="shared" ca="1" si="48"/>
        <v>0</v>
      </c>
      <c r="AZ74" s="318">
        <f t="shared" ca="1" si="48"/>
        <v>0</v>
      </c>
      <c r="BA74" s="318">
        <f t="shared" ca="1" si="48"/>
        <v>2440859</v>
      </c>
    </row>
    <row r="75" spans="1:53" s="315" customFormat="1" ht="15" customHeight="1">
      <c r="A75" s="325"/>
      <c r="B75" s="325"/>
      <c r="C75" s="325"/>
      <c r="D75" s="325"/>
      <c r="E75" s="326" t="s">
        <v>229</v>
      </c>
      <c r="F75" s="325"/>
      <c r="G75" s="327"/>
      <c r="H75" s="327"/>
      <c r="I75" s="325"/>
      <c r="J75" s="328">
        <f ca="1">MAX(J10+J74-K10-K74,0)</f>
        <v>3705039095</v>
      </c>
      <c r="K75" s="328">
        <f ca="1">MAX(K10+K74-J10-J74,0)</f>
        <v>0</v>
      </c>
      <c r="L75" s="328">
        <f ca="1">MAX(L10+L74-M10-M74,0)</f>
        <v>19829295</v>
      </c>
      <c r="M75" s="328">
        <f ca="1">MAX(M10+M74-L10-L74,0)</f>
        <v>0</v>
      </c>
      <c r="N75" s="328">
        <f ca="1">MAX(N10+N74-O10-O74,0)</f>
        <v>2236796790</v>
      </c>
      <c r="O75" s="328">
        <f ca="1">MAX(O10+O74-N10-N74,0)</f>
        <v>0</v>
      </c>
      <c r="P75" s="328">
        <f ca="1">MAX(P10+P74-Q10-Q74,0)</f>
        <v>162420936</v>
      </c>
      <c r="Q75" s="328">
        <f ca="1">MAX(Q10+Q74-P10-P74,0)</f>
        <v>0</v>
      </c>
      <c r="R75" s="328">
        <f ca="1">MAX(R10+R74-S10-S74,0)</f>
        <v>1500000000</v>
      </c>
      <c r="S75" s="328">
        <f ca="1">MAX(S10+S74-R10-R74,0)</f>
        <v>0</v>
      </c>
      <c r="T75" s="328">
        <f ca="1">MAX(T10+T74-U10-U74,0)</f>
        <v>0</v>
      </c>
      <c r="U75" s="328">
        <f ca="1">MAX(U10+U74-T10-T74,0)</f>
        <v>0</v>
      </c>
      <c r="V75" s="328">
        <f ca="1">MAX(V10+V74-W10-W74,0)</f>
        <v>0</v>
      </c>
      <c r="W75" s="328">
        <f ca="1">MAX(W10+W74-V10-V74,0)</f>
        <v>476953252</v>
      </c>
      <c r="X75" s="328">
        <f ca="1">MAX(X10+X74-Y10-Y74,0)</f>
        <v>0</v>
      </c>
      <c r="Y75" s="328">
        <f ca="1">MAX(Y10+Y74-X10-X74,0)</f>
        <v>3313435</v>
      </c>
      <c r="Z75" s="328">
        <f ca="1">MAX(Z10+Z74-AA10-AA74,0)</f>
        <v>0</v>
      </c>
      <c r="AA75" s="328">
        <f ca="1">MAX(AA10+AA74-Z10-Z74,0)</f>
        <v>0</v>
      </c>
      <c r="AB75" s="328">
        <f ca="1">MAX(AB10+AB74-AC10-AC74,0)</f>
        <v>0</v>
      </c>
      <c r="AC75" s="328">
        <f ca="1">MAX(AC10+AC74-AB10-AB74,0)</f>
        <v>0</v>
      </c>
      <c r="AD75" s="328">
        <f ca="1">MAX(AD10+AD74-AE10-AE74,0)</f>
        <v>0</v>
      </c>
      <c r="AE75" s="328">
        <f ca="1">MAX(AE10+AE74-AD10-AD74,0)</f>
        <v>2169121879</v>
      </c>
      <c r="AF75" s="328">
        <f ca="1">MAX(AF10+AF74-AG10-AG74,0)</f>
        <v>0</v>
      </c>
      <c r="AG75" s="328">
        <f ca="1">MAX(AG10+AG74-AF10-AF74,0)</f>
        <v>21202920500</v>
      </c>
      <c r="AH75" s="328">
        <f ca="1">MAX(AH10+AH74-AI10-AI74,0)</f>
        <v>0</v>
      </c>
      <c r="AI75" s="328">
        <f ca="1">MAX(AI10+AI74-AH10-AH74,0)</f>
        <v>10000000000</v>
      </c>
      <c r="AJ75" s="328">
        <f ca="1">MAX(AJ10+AJ74-AK10-AK74,0)</f>
        <v>0</v>
      </c>
      <c r="AK75" s="328">
        <f ca="1">MAX(AK10+AK74-AJ10-AJ74,0)</f>
        <v>486535137</v>
      </c>
      <c r="AL75" s="328">
        <f ca="1">MAX(AL10+AL74-AM10-AM74,0)</f>
        <v>0</v>
      </c>
      <c r="AM75" s="328">
        <f ca="1">MAX(AM10+AM74-AL10-AL74,0)</f>
        <v>27720025.000000477</v>
      </c>
      <c r="AN75" s="328">
        <f ca="1">MAX(AN10+AN74-AO10-AO74,0)</f>
        <v>0</v>
      </c>
      <c r="AO75" s="328">
        <f ca="1">MAX(AO10+AO74-AN10-AN74,0)</f>
        <v>0</v>
      </c>
      <c r="AP75" s="328">
        <f ca="1">MAX(AP10+AP74-AQ10-AQ74,0)</f>
        <v>0</v>
      </c>
      <c r="AQ75" s="328">
        <f ca="1">MAX(AQ10+AQ74-AP10-AP74,0)</f>
        <v>0</v>
      </c>
      <c r="AR75" s="328">
        <f ca="1">MAX(AR10+AR74-AS10-AS74,0)</f>
        <v>0</v>
      </c>
      <c r="AS75" s="328">
        <f ca="1">MAX(AS10+AS74-AR10-AR74,0)</f>
        <v>0</v>
      </c>
      <c r="AT75" s="328">
        <f ca="1">MAX(AT10+AT74-AU10-AU74,0)</f>
        <v>0</v>
      </c>
      <c r="AU75" s="328">
        <f ca="1">MAX(AU10+AU74-AT10-AT74,0)</f>
        <v>0</v>
      </c>
      <c r="AV75" s="328">
        <f ca="1">MAX(AV10+AV74-AW10-AW74,0)</f>
        <v>0</v>
      </c>
      <c r="AW75" s="328">
        <f ca="1">MAX(AW10+AW74-AV10-AV74,0)</f>
        <v>0</v>
      </c>
      <c r="AX75" s="328">
        <f ca="1">MAX(AX10+AX74-AY10-AY74,0)</f>
        <v>0</v>
      </c>
      <c r="AY75" s="328">
        <f ca="1">MAX(AY10+AY74-AX10-AX74,0)</f>
        <v>0</v>
      </c>
      <c r="AZ75" s="328">
        <f ca="1">MAX(AZ10+AZ74-BA10-BA74,0)</f>
        <v>0</v>
      </c>
      <c r="BA75" s="328">
        <f ca="1">MAX(BA10+BA74-AZ10-AZ74,0)</f>
        <v>2440859</v>
      </c>
    </row>
    <row r="76" spans="1:53" s="315" customFormat="1" ht="15" customHeight="1">
      <c r="A76" s="329"/>
      <c r="B76" s="329"/>
      <c r="C76" s="330"/>
      <c r="D76" s="329"/>
      <c r="E76" s="331" t="s">
        <v>230</v>
      </c>
      <c r="F76" s="329"/>
      <c r="G76" s="332"/>
      <c r="H76" s="332"/>
      <c r="I76" s="329"/>
      <c r="J76" s="333">
        <f ca="1">J74</f>
        <v>0</v>
      </c>
      <c r="K76" s="333">
        <f ca="1">K74</f>
        <v>0</v>
      </c>
      <c r="L76" s="333">
        <f t="shared" ref="L76:BA76" ca="1" si="49">L74</f>
        <v>0</v>
      </c>
      <c r="M76" s="333">
        <f t="shared" ca="1" si="49"/>
        <v>0</v>
      </c>
      <c r="N76" s="333">
        <f ca="1">N74</f>
        <v>0</v>
      </c>
      <c r="O76" s="333">
        <f ca="1">O74</f>
        <v>0</v>
      </c>
      <c r="P76" s="333">
        <f t="shared" ca="1" si="49"/>
        <v>0</v>
      </c>
      <c r="Q76" s="333">
        <f t="shared" ca="1" si="49"/>
        <v>0</v>
      </c>
      <c r="R76" s="333">
        <f t="shared" ca="1" si="49"/>
        <v>0</v>
      </c>
      <c r="S76" s="333">
        <f t="shared" ca="1" si="49"/>
        <v>0</v>
      </c>
      <c r="T76" s="333">
        <f t="shared" ca="1" si="49"/>
        <v>0</v>
      </c>
      <c r="U76" s="333">
        <f t="shared" ca="1" si="49"/>
        <v>0</v>
      </c>
      <c r="V76" s="333">
        <f t="shared" ca="1" si="49"/>
        <v>0</v>
      </c>
      <c r="W76" s="333">
        <f t="shared" ca="1" si="49"/>
        <v>0</v>
      </c>
      <c r="X76" s="333">
        <f t="shared" ca="1" si="49"/>
        <v>0</v>
      </c>
      <c r="Y76" s="333">
        <f t="shared" ca="1" si="49"/>
        <v>0</v>
      </c>
      <c r="Z76" s="333">
        <f t="shared" ca="1" si="49"/>
        <v>0</v>
      </c>
      <c r="AA76" s="333">
        <f t="shared" ca="1" si="49"/>
        <v>0</v>
      </c>
      <c r="AB76" s="333">
        <f ca="1">AB74</f>
        <v>0</v>
      </c>
      <c r="AC76" s="333">
        <f t="shared" ca="1" si="49"/>
        <v>0</v>
      </c>
      <c r="AD76" s="333">
        <f t="shared" ca="1" si="49"/>
        <v>0</v>
      </c>
      <c r="AE76" s="333">
        <f t="shared" ca="1" si="49"/>
        <v>0</v>
      </c>
      <c r="AF76" s="333">
        <f ca="1">AF74</f>
        <v>0</v>
      </c>
      <c r="AG76" s="333">
        <f ca="1">AG74</f>
        <v>0</v>
      </c>
      <c r="AH76" s="333">
        <f t="shared" ca="1" si="49"/>
        <v>0</v>
      </c>
      <c r="AI76" s="333">
        <f t="shared" ca="1" si="49"/>
        <v>0</v>
      </c>
      <c r="AJ76" s="333">
        <f t="shared" ca="1" si="49"/>
        <v>0</v>
      </c>
      <c r="AK76" s="333">
        <f t="shared" ca="1" si="49"/>
        <v>0</v>
      </c>
      <c r="AL76" s="333">
        <f t="shared" ca="1" si="49"/>
        <v>2440859</v>
      </c>
      <c r="AM76" s="333">
        <f t="shared" ca="1" si="49"/>
        <v>0</v>
      </c>
      <c r="AN76" s="333">
        <f t="shared" ca="1" si="49"/>
        <v>0</v>
      </c>
      <c r="AO76" s="333">
        <f t="shared" ca="1" si="49"/>
        <v>0</v>
      </c>
      <c r="AP76" s="333">
        <f t="shared" ca="1" si="49"/>
        <v>0</v>
      </c>
      <c r="AQ76" s="333">
        <f t="shared" ca="1" si="49"/>
        <v>0</v>
      </c>
      <c r="AR76" s="333">
        <f t="shared" ca="1" si="49"/>
        <v>0</v>
      </c>
      <c r="AS76" s="333">
        <f t="shared" ca="1" si="49"/>
        <v>0</v>
      </c>
      <c r="AT76" s="333">
        <f t="shared" ca="1" si="49"/>
        <v>0</v>
      </c>
      <c r="AU76" s="333">
        <f t="shared" ca="1" si="49"/>
        <v>0</v>
      </c>
      <c r="AV76" s="333">
        <f t="shared" ca="1" si="49"/>
        <v>0</v>
      </c>
      <c r="AW76" s="333">
        <f t="shared" ca="1" si="49"/>
        <v>0</v>
      </c>
      <c r="AX76" s="333">
        <f ca="1">AX74</f>
        <v>0</v>
      </c>
      <c r="AY76" s="333">
        <f ca="1">AY74</f>
        <v>0</v>
      </c>
      <c r="AZ76" s="333">
        <f t="shared" ca="1" si="49"/>
        <v>0</v>
      </c>
      <c r="BA76" s="333">
        <f t="shared" ca="1" si="49"/>
        <v>2440859</v>
      </c>
    </row>
    <row r="77" spans="1:53" ht="12" customHeight="1">
      <c r="B77" s="334"/>
      <c r="C77" s="335"/>
      <c r="D77" s="335"/>
      <c r="E77" s="335"/>
      <c r="F77" s="335"/>
      <c r="G77" s="336"/>
      <c r="H77" s="336"/>
      <c r="I77" s="335"/>
      <c r="J77" s="335"/>
      <c r="K77" s="335"/>
    </row>
    <row r="78" spans="1:53">
      <c r="F78" s="337"/>
      <c r="M78" s="337"/>
      <c r="O78" s="337"/>
      <c r="Q78" s="337"/>
      <c r="R78" s="337"/>
      <c r="S78" s="337"/>
      <c r="T78" s="337"/>
      <c r="U78" s="337"/>
      <c r="V78" s="337"/>
      <c r="AN78" s="338" t="s">
        <v>231</v>
      </c>
      <c r="AO78" s="339"/>
      <c r="AP78" s="339"/>
      <c r="AQ78" s="339"/>
      <c r="AR78" s="340"/>
      <c r="AS78" s="340"/>
      <c r="AT78" s="339"/>
    </row>
    <row r="79" spans="1:53">
      <c r="F79" s="337"/>
      <c r="M79" s="337"/>
      <c r="O79" s="337"/>
      <c r="Q79" s="337"/>
      <c r="R79" s="337"/>
      <c r="S79" s="337"/>
      <c r="T79" s="337"/>
      <c r="U79" s="337"/>
      <c r="V79" s="337"/>
      <c r="AN79" s="341" t="s">
        <v>232</v>
      </c>
      <c r="AO79" s="339"/>
      <c r="AP79" s="339"/>
      <c r="AQ79" s="339"/>
      <c r="AR79" s="340"/>
      <c r="AS79" s="340"/>
      <c r="AT79" s="339"/>
    </row>
    <row r="80" spans="1:53">
      <c r="F80" s="337"/>
      <c r="M80" s="337"/>
      <c r="O80" s="337"/>
      <c r="Q80" s="337"/>
      <c r="R80" s="337"/>
      <c r="S80" s="337"/>
      <c r="T80" s="337"/>
      <c r="U80" s="337"/>
      <c r="V80" s="337"/>
      <c r="AN80" s="339"/>
      <c r="AO80" s="339"/>
      <c r="AP80" s="339"/>
      <c r="AQ80" s="339"/>
      <c r="AR80" s="339"/>
      <c r="AS80" s="339"/>
      <c r="AT80" s="340"/>
    </row>
    <row r="81" spans="6:52">
      <c r="F81" s="337"/>
      <c r="AN81" s="339"/>
      <c r="AO81" s="339"/>
      <c r="AP81" s="339"/>
      <c r="AQ81" s="339"/>
      <c r="AR81" s="339"/>
      <c r="AS81" s="339"/>
      <c r="AT81" s="340"/>
      <c r="AZ81" s="342" t="str">
        <f>"Ngày 31 tháng 03 năm 2015 "</f>
        <v xml:space="preserve">Ngày 31 tháng 03 năm 2015 </v>
      </c>
    </row>
    <row r="82" spans="6:52">
      <c r="F82" s="337"/>
      <c r="M82" s="337"/>
      <c r="O82" s="337"/>
      <c r="Q82" s="337"/>
      <c r="R82" s="337"/>
      <c r="S82" s="337"/>
      <c r="T82" s="337"/>
      <c r="U82" s="337"/>
      <c r="V82" s="337"/>
      <c r="AN82" s="339"/>
      <c r="AO82" s="343" t="s">
        <v>11</v>
      </c>
      <c r="AP82" s="339"/>
      <c r="AQ82" s="339"/>
      <c r="AR82" s="339"/>
      <c r="AS82" s="344" t="s">
        <v>12</v>
      </c>
      <c r="AT82" s="340"/>
      <c r="AZ82" s="343" t="s">
        <v>132</v>
      </c>
    </row>
    <row r="83" spans="6:52">
      <c r="F83" s="337"/>
      <c r="M83" s="337"/>
      <c r="O83" s="337"/>
      <c r="Q83" s="337"/>
      <c r="R83" s="337"/>
      <c r="S83" s="337"/>
      <c r="T83" s="337"/>
      <c r="U83" s="337"/>
      <c r="V83" s="337"/>
      <c r="AN83" s="339"/>
      <c r="AO83" s="345" t="s">
        <v>13</v>
      </c>
      <c r="AP83" s="339"/>
      <c r="AQ83" s="339"/>
      <c r="AR83" s="339"/>
      <c r="AS83" s="346" t="s">
        <v>13</v>
      </c>
      <c r="AT83" s="340"/>
      <c r="AZ83" s="345" t="s">
        <v>163</v>
      </c>
    </row>
    <row r="84" spans="6:52">
      <c r="F84" s="337"/>
      <c r="M84" s="337"/>
      <c r="O84" s="337"/>
      <c r="Q84" s="337"/>
      <c r="R84" s="337"/>
      <c r="S84" s="337"/>
      <c r="T84" s="337"/>
      <c r="U84" s="337"/>
      <c r="V84" s="337"/>
      <c r="AL84" s="339"/>
      <c r="AM84" s="339"/>
      <c r="AN84" s="339"/>
      <c r="AO84" s="339"/>
      <c r="AP84" s="339"/>
      <c r="AQ84" s="339"/>
      <c r="AR84" s="339"/>
      <c r="AS84" s="339"/>
      <c r="AT84" s="340"/>
      <c r="AZ84" s="339"/>
    </row>
    <row r="85" spans="6:52">
      <c r="F85" s="337"/>
      <c r="M85" s="337"/>
      <c r="O85" s="337"/>
      <c r="Q85" s="337"/>
      <c r="R85" s="337"/>
      <c r="S85" s="337"/>
      <c r="T85" s="337"/>
      <c r="U85" s="337"/>
      <c r="V85" s="337"/>
      <c r="AZ85" s="339"/>
    </row>
    <row r="86" spans="6:52">
      <c r="F86" s="337"/>
      <c r="M86" s="337"/>
      <c r="O86" s="337"/>
      <c r="Q86" s="337"/>
      <c r="R86" s="337"/>
      <c r="S86" s="337"/>
      <c r="T86" s="337"/>
      <c r="U86" s="337"/>
      <c r="V86" s="337"/>
    </row>
    <row r="87" spans="6:52">
      <c r="F87" s="337"/>
      <c r="M87" s="337"/>
      <c r="O87" s="337"/>
      <c r="Q87" s="337"/>
      <c r="R87" s="337"/>
      <c r="S87" s="337"/>
      <c r="T87" s="337"/>
      <c r="U87" s="337"/>
      <c r="V87" s="337"/>
    </row>
    <row r="88" spans="6:52">
      <c r="F88" s="337"/>
    </row>
    <row r="89" spans="6:52">
      <c r="F89" s="337"/>
      <c r="M89" s="337"/>
      <c r="O89" s="337"/>
      <c r="Q89" s="337"/>
      <c r="R89" s="337"/>
      <c r="S89" s="337"/>
      <c r="T89" s="337"/>
      <c r="U89" s="337"/>
      <c r="V89" s="337"/>
    </row>
    <row r="90" spans="6:52">
      <c r="F90" s="337"/>
      <c r="M90" s="337"/>
      <c r="O90" s="337"/>
      <c r="Q90" s="337"/>
      <c r="R90" s="337"/>
      <c r="S90" s="337"/>
      <c r="T90" s="337"/>
      <c r="U90" s="337"/>
      <c r="V90" s="337"/>
    </row>
    <row r="91" spans="6:52">
      <c r="F91" s="337"/>
      <c r="M91" s="337"/>
      <c r="O91" s="337"/>
      <c r="Q91" s="337"/>
      <c r="R91" s="337"/>
      <c r="S91" s="337"/>
      <c r="T91" s="337"/>
      <c r="U91" s="337"/>
      <c r="V91" s="337"/>
    </row>
    <row r="92" spans="6:52">
      <c r="F92" s="337"/>
      <c r="M92" s="337"/>
      <c r="O92" s="337"/>
      <c r="Q92" s="337"/>
      <c r="R92" s="337"/>
      <c r="S92" s="337"/>
      <c r="T92" s="337"/>
      <c r="U92" s="337"/>
      <c r="V92" s="337"/>
    </row>
    <row r="93" spans="6:52">
      <c r="F93" s="337"/>
      <c r="M93" s="337"/>
      <c r="O93" s="337"/>
      <c r="Q93" s="337"/>
      <c r="R93" s="337"/>
      <c r="S93" s="337"/>
      <c r="T93" s="337"/>
      <c r="U93" s="337"/>
      <c r="V93" s="337"/>
    </row>
    <row r="94" spans="6:52">
      <c r="F94" s="337"/>
      <c r="M94" s="337"/>
      <c r="O94" s="337"/>
      <c r="Q94" s="337"/>
      <c r="R94" s="337"/>
      <c r="S94" s="337"/>
      <c r="T94" s="337"/>
      <c r="U94" s="337"/>
      <c r="V94" s="337"/>
    </row>
    <row r="95" spans="6:52">
      <c r="F95" s="337"/>
      <c r="M95" s="337"/>
      <c r="O95" s="337"/>
      <c r="Q95" s="337"/>
      <c r="R95" s="337"/>
      <c r="S95" s="337"/>
      <c r="T95" s="337"/>
      <c r="U95" s="337"/>
      <c r="V95" s="337"/>
    </row>
    <row r="96" spans="6:52">
      <c r="F96" s="337"/>
      <c r="M96" s="337"/>
      <c r="O96" s="337"/>
      <c r="Q96" s="337"/>
      <c r="R96" s="337"/>
      <c r="S96" s="337"/>
      <c r="T96" s="337"/>
      <c r="U96" s="337"/>
      <c r="V96" s="337"/>
    </row>
    <row r="97" spans="6:22">
      <c r="F97" s="337"/>
      <c r="M97" s="337"/>
      <c r="O97" s="337"/>
      <c r="Q97" s="337"/>
      <c r="R97" s="337"/>
      <c r="S97" s="337"/>
      <c r="T97" s="337"/>
      <c r="U97" s="337"/>
      <c r="V97" s="337"/>
    </row>
    <row r="98" spans="6:22">
      <c r="F98" s="337"/>
      <c r="M98" s="337"/>
      <c r="O98" s="337"/>
      <c r="Q98" s="337"/>
      <c r="R98" s="337"/>
      <c r="S98" s="337"/>
      <c r="T98" s="337"/>
      <c r="U98" s="337"/>
      <c r="V98" s="337"/>
    </row>
    <row r="99" spans="6:22">
      <c r="F99" s="337"/>
      <c r="M99" s="337"/>
      <c r="O99" s="337"/>
      <c r="Q99" s="337"/>
      <c r="R99" s="337"/>
      <c r="S99" s="337"/>
      <c r="T99" s="337"/>
      <c r="U99" s="337"/>
      <c r="V99" s="337"/>
    </row>
    <row r="100" spans="6:22">
      <c r="F100" s="337"/>
      <c r="M100" s="337"/>
      <c r="O100" s="337"/>
      <c r="Q100" s="337"/>
      <c r="R100" s="337"/>
      <c r="S100" s="337"/>
      <c r="T100" s="337"/>
      <c r="U100" s="337"/>
      <c r="V100" s="337"/>
    </row>
    <row r="101" spans="6:22">
      <c r="F101" s="337"/>
      <c r="M101" s="337"/>
      <c r="O101" s="337"/>
      <c r="Q101" s="337"/>
      <c r="R101" s="337"/>
      <c r="S101" s="337"/>
      <c r="T101" s="337"/>
      <c r="U101" s="337"/>
      <c r="V101" s="337"/>
    </row>
    <row r="102" spans="6:22">
      <c r="F102" s="337"/>
      <c r="M102" s="337"/>
      <c r="O102" s="337"/>
      <c r="Q102" s="337"/>
      <c r="R102" s="337"/>
      <c r="S102" s="337"/>
      <c r="T102" s="337"/>
      <c r="U102" s="337"/>
      <c r="V102" s="337"/>
    </row>
    <row r="103" spans="6:22">
      <c r="F103" s="337"/>
      <c r="M103" s="337"/>
      <c r="O103" s="337"/>
      <c r="Q103" s="337"/>
      <c r="R103" s="337"/>
      <c r="S103" s="337"/>
      <c r="T103" s="337"/>
      <c r="U103" s="337"/>
      <c r="V103" s="337"/>
    </row>
    <row r="104" spans="6:22">
      <c r="F104" s="337"/>
      <c r="M104" s="337"/>
      <c r="O104" s="337"/>
      <c r="Q104" s="337"/>
      <c r="R104" s="337"/>
      <c r="S104" s="337"/>
      <c r="T104" s="337"/>
      <c r="U104" s="337"/>
      <c r="V104" s="337"/>
    </row>
    <row r="105" spans="6:22">
      <c r="F105" s="337"/>
      <c r="M105" s="337"/>
      <c r="O105" s="337"/>
      <c r="Q105" s="337"/>
      <c r="R105" s="337"/>
      <c r="S105" s="337"/>
      <c r="T105" s="337"/>
      <c r="U105" s="337"/>
      <c r="V105" s="337"/>
    </row>
    <row r="106" spans="6:22">
      <c r="F106" s="337"/>
      <c r="M106" s="337"/>
      <c r="O106" s="337"/>
      <c r="Q106" s="337"/>
      <c r="R106" s="337"/>
      <c r="S106" s="337"/>
      <c r="T106" s="337"/>
      <c r="U106" s="337"/>
      <c r="V106" s="337"/>
    </row>
    <row r="107" spans="6:22">
      <c r="F107" s="337"/>
      <c r="M107" s="337"/>
      <c r="O107" s="337"/>
      <c r="Q107" s="337"/>
      <c r="R107" s="337"/>
      <c r="S107" s="337"/>
      <c r="T107" s="337"/>
      <c r="U107" s="337"/>
      <c r="V107" s="337"/>
    </row>
    <row r="108" spans="6:22">
      <c r="F108" s="337"/>
      <c r="M108" s="337"/>
      <c r="O108" s="337"/>
      <c r="Q108" s="337"/>
      <c r="R108" s="337"/>
      <c r="S108" s="337"/>
      <c r="T108" s="337"/>
      <c r="U108" s="337"/>
      <c r="V108" s="337"/>
    </row>
    <row r="109" spans="6:22">
      <c r="F109" s="337"/>
      <c r="M109" s="337"/>
      <c r="O109" s="337"/>
      <c r="Q109" s="337"/>
      <c r="R109" s="337"/>
      <c r="S109" s="337"/>
      <c r="T109" s="337"/>
      <c r="U109" s="337"/>
      <c r="V109" s="337"/>
    </row>
    <row r="110" spans="6:22">
      <c r="F110" s="337"/>
      <c r="M110" s="337"/>
      <c r="O110" s="337"/>
      <c r="Q110" s="337"/>
      <c r="R110" s="337"/>
      <c r="S110" s="337"/>
      <c r="T110" s="337"/>
      <c r="U110" s="337"/>
      <c r="V110" s="337"/>
    </row>
    <row r="111" spans="6:22">
      <c r="F111" s="337"/>
      <c r="M111" s="337"/>
      <c r="O111" s="337"/>
      <c r="Q111" s="337"/>
      <c r="R111" s="337"/>
      <c r="S111" s="337"/>
      <c r="T111" s="337"/>
      <c r="U111" s="337"/>
      <c r="V111" s="337"/>
    </row>
    <row r="112" spans="6:22">
      <c r="F112" s="337"/>
      <c r="M112" s="337"/>
      <c r="O112" s="337"/>
      <c r="Q112" s="337"/>
      <c r="R112" s="337"/>
      <c r="S112" s="337"/>
      <c r="T112" s="337"/>
      <c r="U112" s="337"/>
      <c r="V112" s="337"/>
    </row>
    <row r="113" spans="6:22">
      <c r="F113" s="337"/>
      <c r="M113" s="337"/>
      <c r="O113" s="337"/>
      <c r="Q113" s="337"/>
      <c r="R113" s="337"/>
      <c r="S113" s="337"/>
      <c r="T113" s="337"/>
      <c r="U113" s="337"/>
      <c r="V113" s="337"/>
    </row>
    <row r="114" spans="6:22">
      <c r="F114" s="337"/>
      <c r="M114" s="337"/>
      <c r="O114" s="337"/>
      <c r="Q114" s="337"/>
      <c r="R114" s="337"/>
      <c r="S114" s="337"/>
      <c r="T114" s="337"/>
      <c r="U114" s="337"/>
      <c r="V114" s="337"/>
    </row>
    <row r="115" spans="6:22">
      <c r="F115" s="337"/>
      <c r="M115" s="337"/>
      <c r="O115" s="337"/>
      <c r="Q115" s="337"/>
      <c r="R115" s="337"/>
      <c r="S115" s="337"/>
      <c r="T115" s="337"/>
      <c r="U115" s="337"/>
      <c r="V115" s="337"/>
    </row>
    <row r="116" spans="6:22">
      <c r="F116" s="337"/>
      <c r="M116" s="337"/>
      <c r="O116" s="337"/>
      <c r="Q116" s="337"/>
      <c r="R116" s="337"/>
      <c r="S116" s="337"/>
      <c r="T116" s="337"/>
      <c r="U116" s="337"/>
      <c r="V116" s="337"/>
    </row>
    <row r="117" spans="6:22">
      <c r="F117" s="337"/>
      <c r="M117" s="337"/>
      <c r="O117" s="337"/>
      <c r="Q117" s="337"/>
      <c r="R117" s="337"/>
      <c r="S117" s="337"/>
      <c r="T117" s="337"/>
      <c r="U117" s="337"/>
      <c r="V117" s="337"/>
    </row>
    <row r="118" spans="6:22">
      <c r="F118" s="337"/>
      <c r="M118" s="337"/>
      <c r="O118" s="337"/>
      <c r="Q118" s="337"/>
      <c r="R118" s="337"/>
      <c r="S118" s="337"/>
      <c r="T118" s="337"/>
      <c r="U118" s="337"/>
      <c r="V118" s="337"/>
    </row>
    <row r="119" spans="6:22">
      <c r="F119" s="337"/>
      <c r="M119" s="337"/>
      <c r="O119" s="337"/>
      <c r="Q119" s="337"/>
      <c r="R119" s="337"/>
      <c r="S119" s="337"/>
      <c r="T119" s="337"/>
      <c r="U119" s="337"/>
      <c r="V119" s="337"/>
    </row>
    <row r="120" spans="6:22">
      <c r="F120" s="337"/>
      <c r="M120" s="337"/>
      <c r="O120" s="337"/>
      <c r="Q120" s="337"/>
      <c r="R120" s="337"/>
      <c r="S120" s="337"/>
      <c r="T120" s="337"/>
      <c r="U120" s="337"/>
      <c r="V120" s="337"/>
    </row>
    <row r="121" spans="6:22">
      <c r="F121" s="337"/>
      <c r="M121" s="337"/>
      <c r="O121" s="337"/>
      <c r="Q121" s="337"/>
      <c r="R121" s="337"/>
      <c r="S121" s="337"/>
      <c r="T121" s="337"/>
      <c r="U121" s="337"/>
      <c r="V121" s="337"/>
    </row>
    <row r="122" spans="6:22">
      <c r="F122" s="337"/>
      <c r="M122" s="337"/>
      <c r="O122" s="337"/>
      <c r="Q122" s="337"/>
      <c r="R122" s="337"/>
      <c r="S122" s="337"/>
      <c r="T122" s="337"/>
      <c r="U122" s="337"/>
      <c r="V122" s="337"/>
    </row>
    <row r="123" spans="6:22">
      <c r="F123" s="337"/>
      <c r="M123" s="337"/>
      <c r="O123" s="337"/>
      <c r="Q123" s="337"/>
      <c r="R123" s="337"/>
      <c r="S123" s="337"/>
      <c r="T123" s="337"/>
      <c r="U123" s="337"/>
      <c r="V123" s="337"/>
    </row>
    <row r="124" spans="6:22">
      <c r="F124" s="337"/>
      <c r="M124" s="337"/>
      <c r="O124" s="337"/>
      <c r="Q124" s="337"/>
      <c r="R124" s="337"/>
      <c r="S124" s="337"/>
      <c r="T124" s="337"/>
      <c r="U124" s="337"/>
      <c r="V124" s="337"/>
    </row>
    <row r="125" spans="6:22">
      <c r="F125" s="337"/>
      <c r="M125" s="337"/>
      <c r="O125" s="337"/>
      <c r="Q125" s="337"/>
      <c r="R125" s="337"/>
      <c r="S125" s="337"/>
      <c r="T125" s="337"/>
      <c r="U125" s="337"/>
      <c r="V125" s="337"/>
    </row>
    <row r="126" spans="6:22">
      <c r="F126" s="337"/>
      <c r="M126" s="337"/>
      <c r="O126" s="337"/>
      <c r="Q126" s="337"/>
      <c r="R126" s="337"/>
      <c r="S126" s="337"/>
      <c r="T126" s="337"/>
      <c r="U126" s="337"/>
      <c r="V126" s="337"/>
    </row>
    <row r="127" spans="6:22">
      <c r="F127" s="337"/>
      <c r="M127" s="337"/>
      <c r="O127" s="337"/>
      <c r="Q127" s="337"/>
      <c r="R127" s="337"/>
      <c r="S127" s="337"/>
      <c r="T127" s="337"/>
      <c r="U127" s="337"/>
      <c r="V127" s="337"/>
    </row>
    <row r="128" spans="6:22">
      <c r="F128" s="337"/>
      <c r="M128" s="337"/>
      <c r="O128" s="337"/>
      <c r="Q128" s="337"/>
      <c r="R128" s="337"/>
      <c r="S128" s="337"/>
      <c r="T128" s="337"/>
      <c r="U128" s="337"/>
      <c r="V128" s="337"/>
    </row>
    <row r="129" spans="6:22">
      <c r="F129" s="337"/>
      <c r="M129" s="337"/>
      <c r="O129" s="337"/>
      <c r="Q129" s="337"/>
      <c r="R129" s="337"/>
      <c r="S129" s="337"/>
      <c r="T129" s="337"/>
      <c r="U129" s="337"/>
      <c r="V129" s="337"/>
    </row>
    <row r="130" spans="6:22">
      <c r="F130" s="337"/>
      <c r="M130" s="337"/>
      <c r="O130" s="337"/>
      <c r="Q130" s="337"/>
      <c r="R130" s="337"/>
      <c r="S130" s="337"/>
      <c r="T130" s="337"/>
      <c r="U130" s="337"/>
      <c r="V130" s="337"/>
    </row>
    <row r="131" spans="6:22">
      <c r="F131" s="337"/>
      <c r="M131" s="337"/>
      <c r="O131" s="337"/>
      <c r="Q131" s="337"/>
      <c r="R131" s="337"/>
      <c r="S131" s="337"/>
      <c r="T131" s="337"/>
      <c r="U131" s="337"/>
      <c r="V131" s="337"/>
    </row>
    <row r="132" spans="6:22">
      <c r="F132" s="337"/>
      <c r="M132" s="337"/>
      <c r="O132" s="337"/>
      <c r="Q132" s="337"/>
      <c r="R132" s="337"/>
      <c r="S132" s="337"/>
      <c r="T132" s="337"/>
      <c r="U132" s="337"/>
      <c r="V132" s="337"/>
    </row>
    <row r="133" spans="6:22">
      <c r="M133" s="337"/>
      <c r="O133" s="337"/>
      <c r="Q133" s="337"/>
      <c r="R133" s="337"/>
      <c r="S133" s="337"/>
      <c r="T133" s="337"/>
      <c r="U133" s="337"/>
      <c r="V133" s="337"/>
    </row>
    <row r="134" spans="6:22">
      <c r="M134" s="337"/>
      <c r="O134" s="337"/>
      <c r="Q134" s="337"/>
      <c r="R134" s="337"/>
      <c r="S134" s="337"/>
      <c r="T134" s="337"/>
      <c r="U134" s="337"/>
      <c r="V134" s="337"/>
    </row>
  </sheetData>
  <autoFilter ref="A9:BA76"/>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3" customWidth="1"/>
    <col min="2" max="2" width="8.42578125" style="293" customWidth="1"/>
    <col min="3" max="3" width="7.42578125" style="293" customWidth="1"/>
    <col min="4" max="4" width="8.42578125" style="293" customWidth="1"/>
    <col min="5" max="5" width="37.28515625" style="293" customWidth="1"/>
    <col min="6" max="6" width="12.7109375" style="293" customWidth="1"/>
    <col min="7" max="8" width="5.85546875" style="294" customWidth="1"/>
    <col min="9" max="9" width="4.85546875" style="293" customWidth="1"/>
    <col min="10" max="10" width="12.5703125" style="293" customWidth="1"/>
    <col min="11" max="11" width="12.28515625" style="293" customWidth="1"/>
    <col min="12" max="12" width="12.85546875" style="293" customWidth="1"/>
    <col min="13" max="13" width="12.7109375" style="293" customWidth="1"/>
    <col min="14" max="14" width="12.85546875" style="293" customWidth="1"/>
    <col min="15" max="15" width="12.7109375" style="293" customWidth="1"/>
    <col min="16" max="16" width="11.85546875" style="293" customWidth="1"/>
    <col min="17" max="17" width="5" style="293" customWidth="1"/>
    <col min="18" max="18" width="11.28515625" style="293" customWidth="1"/>
    <col min="19" max="19" width="11.42578125" style="293" customWidth="1"/>
    <col min="20" max="20" width="13.140625" style="293" customWidth="1"/>
    <col min="21" max="21" width="6" style="293" customWidth="1"/>
    <col min="22" max="22" width="13.5703125" style="293" customWidth="1"/>
    <col min="23" max="23" width="13.42578125" style="293" customWidth="1"/>
    <col min="24" max="24" width="6.5703125" style="293" customWidth="1"/>
    <col min="25" max="25" width="6.42578125" style="293" customWidth="1"/>
    <col min="26" max="26" width="9.5703125" style="293" customWidth="1"/>
    <col min="27" max="27" width="9.42578125" style="293" customWidth="1"/>
    <col min="28" max="29" width="11.28515625" style="293" customWidth="1"/>
    <col min="30" max="30" width="5.28515625" style="293" customWidth="1"/>
    <col min="31" max="31" width="15" style="293" customWidth="1"/>
    <col min="32" max="32" width="5.28515625" style="293" customWidth="1"/>
    <col min="33" max="33" width="15" style="293" customWidth="1"/>
    <col min="34" max="34" width="4.85546875" style="293" customWidth="1"/>
    <col min="35" max="35" width="13.85546875" style="293" customWidth="1"/>
    <col min="36" max="36" width="11.5703125" style="293" customWidth="1"/>
    <col min="37" max="37" width="5.7109375" style="293" customWidth="1"/>
    <col min="38" max="38" width="12.42578125" style="293" customWidth="1"/>
    <col min="39" max="39" width="10.85546875" style="293" customWidth="1"/>
    <col min="40" max="40" width="9.85546875" style="293" customWidth="1"/>
    <col min="41" max="41" width="9.7109375" style="293" customWidth="1"/>
    <col min="42" max="42" width="13.140625" style="293" customWidth="1"/>
    <col min="43" max="43" width="12.5703125" style="293" customWidth="1"/>
    <col min="44" max="45" width="14.28515625" style="293" customWidth="1"/>
    <col min="46" max="46" width="7" style="293" customWidth="1"/>
    <col min="47" max="47" width="7.5703125" style="293" customWidth="1"/>
    <col min="48" max="48" width="4.7109375" style="293" customWidth="1"/>
    <col min="49" max="49" width="9.5703125" style="293" customWidth="1"/>
    <col min="50" max="51" width="12.28515625" style="293" customWidth="1"/>
    <col min="52" max="52" width="15.7109375" style="293" customWidth="1"/>
    <col min="53" max="53" width="15.85546875" style="293" customWidth="1"/>
    <col min="54" max="16384" width="9.140625" style="293"/>
  </cols>
  <sheetData>
    <row r="1" spans="1:53" ht="12.75" customHeight="1">
      <c r="A1" s="289"/>
      <c r="B1" s="290" t="s">
        <v>122</v>
      </c>
      <c r="C1" s="291"/>
      <c r="D1" s="291"/>
      <c r="E1" s="292"/>
      <c r="I1" s="291"/>
      <c r="M1" s="1093" t="str">
        <f>'SC-I'!M1:S1</f>
        <v>Mẫu số S01-DN</v>
      </c>
      <c r="N1" s="1093"/>
      <c r="O1" s="1093"/>
      <c r="P1" s="1093"/>
      <c r="Q1" s="1093"/>
      <c r="R1" s="1093"/>
      <c r="S1" s="1093"/>
      <c r="X1" s="291"/>
      <c r="Y1" s="291"/>
      <c r="Z1" s="291"/>
      <c r="AA1" s="291"/>
      <c r="AB1" s="292"/>
      <c r="AC1" s="292"/>
      <c r="AD1" s="292"/>
      <c r="AE1" s="292"/>
      <c r="AF1" s="292"/>
      <c r="AG1" s="292"/>
      <c r="AH1" s="292"/>
      <c r="AI1" s="292"/>
      <c r="AJ1" s="292"/>
      <c r="AK1" s="292"/>
      <c r="AL1" s="291"/>
      <c r="AM1" s="291"/>
      <c r="AN1" s="291"/>
      <c r="AO1" s="291"/>
      <c r="AP1" s="291"/>
      <c r="AQ1" s="291"/>
      <c r="AR1" s="291"/>
      <c r="AS1" s="291"/>
      <c r="AT1" s="291"/>
      <c r="AU1" s="291"/>
      <c r="AV1" s="291"/>
      <c r="AW1" s="291"/>
      <c r="AX1" s="291"/>
      <c r="AY1" s="291"/>
      <c r="AZ1" s="291"/>
      <c r="BA1" s="291"/>
    </row>
    <row r="2" spans="1:53" ht="12.75" customHeight="1">
      <c r="A2" s="289"/>
      <c r="B2" s="290" t="s">
        <v>193</v>
      </c>
      <c r="C2" s="291"/>
      <c r="D2" s="291"/>
      <c r="E2" s="291"/>
      <c r="I2" s="295"/>
      <c r="M2" s="1094" t="str">
        <f>'SC-I'!M2:S3</f>
        <v>(Ban hành theo Thông tư số 200/2014/TT-BTC 
 Ngày 22/12/2014 của Bộ Tài chính)</v>
      </c>
      <c r="N2" s="1094"/>
      <c r="O2" s="1094"/>
      <c r="P2" s="1094"/>
      <c r="Q2" s="1094"/>
      <c r="R2" s="1094"/>
      <c r="S2" s="1094"/>
      <c r="X2" s="295"/>
      <c r="Y2" s="295"/>
      <c r="Z2" s="295"/>
      <c r="AA2" s="295"/>
      <c r="AB2" s="296"/>
      <c r="AC2" s="296"/>
      <c r="AD2" s="296"/>
      <c r="AE2" s="296"/>
      <c r="AF2" s="296"/>
      <c r="AG2" s="296"/>
      <c r="AH2" s="296"/>
      <c r="AI2" s="296"/>
      <c r="AJ2" s="296"/>
      <c r="AK2" s="296"/>
      <c r="AL2" s="295"/>
      <c r="AM2" s="295"/>
      <c r="AN2" s="295"/>
      <c r="AO2" s="295"/>
      <c r="AP2" s="295"/>
      <c r="AQ2" s="295"/>
      <c r="AR2" s="295"/>
      <c r="AS2" s="295"/>
      <c r="AT2" s="295"/>
      <c r="AU2" s="295"/>
      <c r="AV2" s="295"/>
      <c r="AW2" s="295"/>
      <c r="AX2" s="295"/>
      <c r="AY2" s="295"/>
      <c r="AZ2" s="295"/>
      <c r="BA2" s="295"/>
    </row>
    <row r="3" spans="1:53" ht="10.5" customHeight="1">
      <c r="A3" s="291"/>
      <c r="B3" s="291"/>
      <c r="C3" s="291"/>
      <c r="D3" s="291"/>
      <c r="E3" s="291"/>
      <c r="F3" s="295"/>
      <c r="G3" s="297"/>
      <c r="H3" s="297"/>
      <c r="I3" s="295"/>
      <c r="M3" s="1094"/>
      <c r="N3" s="1094"/>
      <c r="O3" s="1094"/>
      <c r="P3" s="1094"/>
      <c r="Q3" s="1094"/>
      <c r="R3" s="1094"/>
      <c r="S3" s="1094"/>
      <c r="X3" s="295"/>
      <c r="Y3" s="295"/>
      <c r="Z3" s="295"/>
      <c r="AA3" s="295"/>
      <c r="AB3" s="296"/>
      <c r="AC3" s="296"/>
      <c r="AD3" s="296"/>
      <c r="AE3" s="296"/>
      <c r="AF3" s="296"/>
      <c r="AG3" s="296"/>
      <c r="AH3" s="296"/>
      <c r="AI3" s="296"/>
      <c r="AJ3" s="296"/>
      <c r="AK3" s="296"/>
      <c r="AL3" s="295"/>
      <c r="AM3" s="295"/>
      <c r="AN3" s="295"/>
      <c r="AO3" s="295"/>
      <c r="AP3" s="295"/>
      <c r="AQ3" s="295"/>
      <c r="AR3" s="295"/>
      <c r="AS3" s="295"/>
      <c r="AT3" s="295"/>
      <c r="AU3" s="295"/>
      <c r="AV3" s="295"/>
      <c r="AW3" s="295"/>
      <c r="AX3" s="295"/>
      <c r="AY3" s="295"/>
      <c r="AZ3" s="295"/>
      <c r="BA3" s="295"/>
    </row>
    <row r="4" spans="1:53" ht="19.5" customHeight="1">
      <c r="B4" s="1095" t="s">
        <v>112</v>
      </c>
      <c r="C4" s="1095"/>
      <c r="D4" s="1095"/>
      <c r="E4" s="1095"/>
      <c r="F4" s="1095"/>
      <c r="G4" s="1095"/>
      <c r="H4" s="1095"/>
      <c r="I4" s="1095"/>
      <c r="J4" s="1095"/>
      <c r="K4" s="1095"/>
      <c r="L4" s="1095"/>
      <c r="M4" s="1095"/>
      <c r="N4" s="1095"/>
      <c r="O4" s="1095"/>
      <c r="P4" s="1095"/>
      <c r="Q4" s="1095"/>
      <c r="R4" s="1095"/>
      <c r="S4" s="298"/>
      <c r="T4" s="298"/>
      <c r="U4" s="298"/>
      <c r="V4" s="298"/>
      <c r="W4" s="298"/>
      <c r="X4" s="299"/>
      <c r="Y4" s="299"/>
      <c r="Z4" s="300"/>
      <c r="AA4" s="300"/>
      <c r="AB4" s="298"/>
      <c r="AC4" s="298"/>
      <c r="AD4" s="298"/>
      <c r="AE4" s="298"/>
      <c r="AF4" s="298"/>
      <c r="AG4" s="298"/>
      <c r="AH4" s="298"/>
      <c r="AI4" s="298"/>
      <c r="AJ4" s="298"/>
      <c r="AK4" s="298"/>
      <c r="AL4" s="300"/>
      <c r="AM4" s="300"/>
      <c r="AN4" s="300"/>
      <c r="AO4" s="300"/>
      <c r="AP4" s="300"/>
      <c r="AQ4" s="300"/>
      <c r="AR4" s="300"/>
      <c r="AS4" s="300"/>
      <c r="AT4" s="300"/>
      <c r="AU4" s="300"/>
      <c r="AV4" s="300"/>
      <c r="AW4" s="300"/>
      <c r="AX4" s="300"/>
      <c r="AY4" s="300"/>
      <c r="AZ4" s="300"/>
      <c r="BA4" s="300"/>
    </row>
    <row r="5" spans="1:53" ht="15">
      <c r="B5" s="1096" t="s">
        <v>233</v>
      </c>
      <c r="C5" s="1096"/>
      <c r="D5" s="1096"/>
      <c r="E5" s="1096"/>
      <c r="F5" s="1096"/>
      <c r="G5" s="1096"/>
      <c r="H5" s="1096"/>
      <c r="I5" s="1096"/>
      <c r="J5" s="1096"/>
      <c r="K5" s="1096"/>
      <c r="L5" s="1096"/>
      <c r="M5" s="1096"/>
      <c r="N5" s="1096"/>
      <c r="O5" s="1096"/>
      <c r="P5" s="1096"/>
      <c r="Q5" s="1096"/>
      <c r="R5" s="1096"/>
      <c r="S5" s="301"/>
      <c r="T5" s="301"/>
      <c r="U5" s="301"/>
      <c r="V5" s="301"/>
      <c r="W5" s="301"/>
      <c r="X5" s="302"/>
      <c r="Y5" s="302"/>
      <c r="AB5" s="301"/>
      <c r="AC5" s="301"/>
      <c r="AD5" s="301"/>
      <c r="AE5" s="301"/>
      <c r="AF5" s="301"/>
      <c r="AG5" s="301"/>
      <c r="AH5" s="301"/>
      <c r="AI5" s="301"/>
      <c r="AJ5" s="301"/>
      <c r="AK5" s="301"/>
    </row>
    <row r="6" spans="1:53">
      <c r="P6" s="293" t="s">
        <v>150</v>
      </c>
    </row>
    <row r="7" spans="1:53" ht="13.5" customHeight="1">
      <c r="A7" s="1097" t="s">
        <v>37</v>
      </c>
      <c r="B7" s="1099" t="s">
        <v>22</v>
      </c>
      <c r="C7" s="1100" t="s">
        <v>1</v>
      </c>
      <c r="D7" s="1101"/>
      <c r="E7" s="1099" t="s">
        <v>0</v>
      </c>
      <c r="F7" s="1099" t="s">
        <v>113</v>
      </c>
      <c r="G7" s="1102" t="s">
        <v>114</v>
      </c>
      <c r="H7" s="1102"/>
      <c r="I7" s="1103" t="s">
        <v>37</v>
      </c>
      <c r="J7" s="1099" t="s">
        <v>206</v>
      </c>
      <c r="K7" s="1099"/>
      <c r="L7" s="1099" t="s">
        <v>207</v>
      </c>
      <c r="M7" s="1099"/>
      <c r="N7" s="1099" t="s">
        <v>284</v>
      </c>
      <c r="O7" s="1099"/>
      <c r="P7" s="1099" t="s">
        <v>208</v>
      </c>
      <c r="Q7" s="1099"/>
      <c r="R7" s="1099" t="s">
        <v>209</v>
      </c>
      <c r="S7" s="1099"/>
      <c r="T7" s="1099" t="s">
        <v>210</v>
      </c>
      <c r="U7" s="1099"/>
      <c r="V7" s="1099" t="s">
        <v>211</v>
      </c>
      <c r="W7" s="1099"/>
      <c r="X7" s="1099" t="s">
        <v>212</v>
      </c>
      <c r="Y7" s="1099"/>
      <c r="Z7" s="1099" t="s">
        <v>213</v>
      </c>
      <c r="AA7" s="1099"/>
      <c r="AB7" s="1099" t="s">
        <v>214</v>
      </c>
      <c r="AC7" s="1099"/>
      <c r="AD7" s="1099" t="s">
        <v>215</v>
      </c>
      <c r="AE7" s="1099"/>
      <c r="AF7" s="1099" t="s">
        <v>279</v>
      </c>
      <c r="AG7" s="1099"/>
      <c r="AH7" s="1099" t="s">
        <v>216</v>
      </c>
      <c r="AI7" s="1099"/>
      <c r="AJ7" s="1099" t="s">
        <v>217</v>
      </c>
      <c r="AK7" s="1099"/>
      <c r="AL7" s="1099" t="s">
        <v>218</v>
      </c>
      <c r="AM7" s="1099"/>
      <c r="AN7" s="1099" t="s">
        <v>219</v>
      </c>
      <c r="AO7" s="1099"/>
      <c r="AP7" s="1099" t="s">
        <v>220</v>
      </c>
      <c r="AQ7" s="1099"/>
      <c r="AR7" s="1099" t="s">
        <v>221</v>
      </c>
      <c r="AS7" s="1099"/>
      <c r="AT7" s="1099" t="s">
        <v>222</v>
      </c>
      <c r="AU7" s="1099"/>
      <c r="AV7" s="1099" t="s">
        <v>223</v>
      </c>
      <c r="AW7" s="1099"/>
      <c r="AX7" s="1099" t="s">
        <v>224</v>
      </c>
      <c r="AY7" s="1099"/>
      <c r="AZ7" s="1099" t="s">
        <v>225</v>
      </c>
      <c r="BA7" s="1099"/>
    </row>
    <row r="8" spans="1:53" ht="22.5" customHeight="1">
      <c r="A8" s="1098"/>
      <c r="B8" s="1099"/>
      <c r="C8" s="304" t="s">
        <v>17</v>
      </c>
      <c r="D8" s="303" t="s">
        <v>34</v>
      </c>
      <c r="E8" s="1099"/>
      <c r="F8" s="1099"/>
      <c r="G8" s="305" t="s">
        <v>24</v>
      </c>
      <c r="H8" s="305" t="s">
        <v>25</v>
      </c>
      <c r="I8" s="1103"/>
      <c r="J8" s="303" t="s">
        <v>24</v>
      </c>
      <c r="K8" s="303" t="s">
        <v>25</v>
      </c>
      <c r="L8" s="303" t="s">
        <v>24</v>
      </c>
      <c r="M8" s="303" t="s">
        <v>25</v>
      </c>
      <c r="N8" s="505" t="s">
        <v>24</v>
      </c>
      <c r="O8" s="505" t="s">
        <v>25</v>
      </c>
      <c r="P8" s="303" t="s">
        <v>24</v>
      </c>
      <c r="Q8" s="303" t="s">
        <v>25</v>
      </c>
      <c r="R8" s="303" t="s">
        <v>24</v>
      </c>
      <c r="S8" s="303" t="s">
        <v>25</v>
      </c>
      <c r="T8" s="303" t="s">
        <v>24</v>
      </c>
      <c r="U8" s="303" t="s">
        <v>25</v>
      </c>
      <c r="V8" s="303" t="s">
        <v>24</v>
      </c>
      <c r="W8" s="303" t="s">
        <v>25</v>
      </c>
      <c r="X8" s="303" t="s">
        <v>24</v>
      </c>
      <c r="Y8" s="303" t="s">
        <v>25</v>
      </c>
      <c r="Z8" s="303" t="s">
        <v>24</v>
      </c>
      <c r="AA8" s="303" t="s">
        <v>25</v>
      </c>
      <c r="AB8" s="303" t="s">
        <v>24</v>
      </c>
      <c r="AC8" s="303" t="s">
        <v>25</v>
      </c>
      <c r="AD8" s="303" t="s">
        <v>24</v>
      </c>
      <c r="AE8" s="303" t="s">
        <v>25</v>
      </c>
      <c r="AF8" s="501" t="s">
        <v>24</v>
      </c>
      <c r="AG8" s="501" t="s">
        <v>25</v>
      </c>
      <c r="AH8" s="303" t="s">
        <v>24</v>
      </c>
      <c r="AI8" s="303" t="s">
        <v>25</v>
      </c>
      <c r="AJ8" s="303" t="s">
        <v>24</v>
      </c>
      <c r="AK8" s="303" t="s">
        <v>25</v>
      </c>
      <c r="AL8" s="303" t="s">
        <v>24</v>
      </c>
      <c r="AM8" s="303" t="s">
        <v>25</v>
      </c>
      <c r="AN8" s="303" t="s">
        <v>24</v>
      </c>
      <c r="AO8" s="303" t="s">
        <v>25</v>
      </c>
      <c r="AP8" s="303" t="s">
        <v>24</v>
      </c>
      <c r="AQ8" s="303" t="s">
        <v>25</v>
      </c>
      <c r="AR8" s="303" t="s">
        <v>24</v>
      </c>
      <c r="AS8" s="303" t="s">
        <v>25</v>
      </c>
      <c r="AT8" s="303" t="s">
        <v>24</v>
      </c>
      <c r="AU8" s="303" t="s">
        <v>25</v>
      </c>
      <c r="AV8" s="303" t="s">
        <v>24</v>
      </c>
      <c r="AW8" s="303" t="s">
        <v>25</v>
      </c>
      <c r="AX8" s="303" t="s">
        <v>24</v>
      </c>
      <c r="AY8" s="303" t="s">
        <v>25</v>
      </c>
      <c r="AZ8" s="303" t="s">
        <v>24</v>
      </c>
      <c r="BA8" s="303"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5" customHeight="1">
      <c r="A10" s="63" t="str">
        <f t="array" ref="A10">IF(C10&lt;&gt;0,SUM(($C10:C$23&lt;&gt;0)*1),"")</f>
        <v/>
      </c>
      <c r="B10" s="308"/>
      <c r="C10" s="309"/>
      <c r="D10" s="308"/>
      <c r="E10" s="310" t="s">
        <v>184</v>
      </c>
      <c r="F10" s="311"/>
      <c r="G10" s="312"/>
      <c r="H10" s="312"/>
      <c r="I10" s="313"/>
      <c r="J10" s="314">
        <f ca="1">'SC-I'!J75</f>
        <v>3705039095</v>
      </c>
      <c r="K10" s="314">
        <f ca="1">'SC-I'!K75</f>
        <v>0</v>
      </c>
      <c r="L10" s="314">
        <f ca="1">'SC-I'!L75</f>
        <v>19829295</v>
      </c>
      <c r="M10" s="314">
        <f ca="1">'SC-I'!M75</f>
        <v>0</v>
      </c>
      <c r="N10" s="314">
        <f ca="1">'SC-I'!N75</f>
        <v>2236796790</v>
      </c>
      <c r="O10" s="314">
        <f ca="1">'SC-I'!O75</f>
        <v>0</v>
      </c>
      <c r="P10" s="314">
        <f ca="1">'SC-I'!P75</f>
        <v>162420936</v>
      </c>
      <c r="Q10" s="314">
        <f ca="1">'SC-I'!Q75</f>
        <v>0</v>
      </c>
      <c r="R10" s="314">
        <f ca="1">'SC-I'!R75</f>
        <v>1500000000</v>
      </c>
      <c r="S10" s="314">
        <f ca="1">'SC-I'!S75</f>
        <v>0</v>
      </c>
      <c r="T10" s="314">
        <f ca="1">'SC-I'!T75</f>
        <v>0</v>
      </c>
      <c r="U10" s="314">
        <f ca="1">'SC-I'!U75</f>
        <v>0</v>
      </c>
      <c r="V10" s="314">
        <f ca="1">'SC-I'!V75</f>
        <v>0</v>
      </c>
      <c r="W10" s="314">
        <f ca="1">'SC-I'!W75</f>
        <v>476953252</v>
      </c>
      <c r="X10" s="314">
        <f ca="1">'SC-I'!X75</f>
        <v>0</v>
      </c>
      <c r="Y10" s="314">
        <f ca="1">'SC-I'!Y75</f>
        <v>3313435</v>
      </c>
      <c r="Z10" s="314">
        <f ca="1">'SC-I'!Z75</f>
        <v>0</v>
      </c>
      <c r="AA10" s="314">
        <f ca="1">'SC-I'!AA75</f>
        <v>0</v>
      </c>
      <c r="AB10" s="314">
        <f ca="1">'SC-I'!AB75</f>
        <v>0</v>
      </c>
      <c r="AC10" s="314">
        <f ca="1">'SC-I'!AC75</f>
        <v>0</v>
      </c>
      <c r="AD10" s="314">
        <f ca="1">'SC-I'!AD75</f>
        <v>0</v>
      </c>
      <c r="AE10" s="314">
        <f ca="1">'SC-I'!AE75</f>
        <v>2169121879</v>
      </c>
      <c r="AF10" s="314">
        <f ca="1">'SC-I'!AF75</f>
        <v>0</v>
      </c>
      <c r="AG10" s="314">
        <f ca="1">'SC-I'!AG75</f>
        <v>21202920500</v>
      </c>
      <c r="AH10" s="314">
        <f ca="1">'SC-I'!AH75</f>
        <v>0</v>
      </c>
      <c r="AI10" s="314">
        <f ca="1">'SC-I'!AI75</f>
        <v>10000000000</v>
      </c>
      <c r="AJ10" s="314">
        <f ca="1">'SC-I'!AJ75</f>
        <v>0</v>
      </c>
      <c r="AK10" s="314">
        <f ca="1">'SC-I'!AK75</f>
        <v>486535137</v>
      </c>
      <c r="AL10" s="314">
        <f ca="1">'SC-I'!AL75</f>
        <v>0</v>
      </c>
      <c r="AM10" s="314">
        <f ca="1">'SC-I'!AM75</f>
        <v>27720025.000000477</v>
      </c>
      <c r="AN10" s="314">
        <f ca="1">'SC-I'!AN75</f>
        <v>0</v>
      </c>
      <c r="AO10" s="314">
        <f ca="1">'SC-I'!AO75</f>
        <v>0</v>
      </c>
      <c r="AP10" s="314">
        <f ca="1">'SC-I'!AP75</f>
        <v>0</v>
      </c>
      <c r="AQ10" s="314">
        <f ca="1">'SC-I'!AQ75</f>
        <v>0</v>
      </c>
      <c r="AR10" s="314">
        <f ca="1">'SC-I'!AR75</f>
        <v>0</v>
      </c>
      <c r="AS10" s="314">
        <f ca="1">'SC-I'!AS75</f>
        <v>0</v>
      </c>
      <c r="AT10" s="314">
        <f ca="1">'SC-I'!AT75</f>
        <v>0</v>
      </c>
      <c r="AU10" s="314">
        <f ca="1">'SC-I'!AU75</f>
        <v>0</v>
      </c>
      <c r="AV10" s="314">
        <f ca="1">'SC-I'!AV75</f>
        <v>0</v>
      </c>
      <c r="AW10" s="314">
        <f ca="1">'SC-I'!AW75</f>
        <v>0</v>
      </c>
      <c r="AX10" s="314">
        <f ca="1">'SC-I'!AX75</f>
        <v>0</v>
      </c>
      <c r="AY10" s="314">
        <f ca="1">'SC-I'!AY75</f>
        <v>0</v>
      </c>
      <c r="AZ10" s="314">
        <f ca="1">'SC-I'!AZ75</f>
        <v>0</v>
      </c>
      <c r="BA10" s="314">
        <f ca="1">'SC-I'!BA75</f>
        <v>2440859</v>
      </c>
    </row>
    <row r="11" spans="1:53" s="315" customFormat="1" ht="15" customHeight="1">
      <c r="A11" s="63">
        <f t="array" aca="1" ref="A11" ca="1">IF(C11&lt;&gt;0,SUM(($C$11:C11&lt;&gt;0)*1),"")</f>
        <v>1</v>
      </c>
      <c r="B11" s="316" t="str">
        <f ca="1">IF(ROWS($1:1)&gt;COUNT(Dong7),"",OFFSET(TH!C$1,SMALL(Dong7,ROWS($1:1)),))</f>
        <v/>
      </c>
      <c r="C11" s="316" t="str">
        <f ca="1">IF(ROWS($1:1)&gt;COUNT(Dong7),"",OFFSET(TH!D$1,SMALL(Dong7,ROWS($1:1)),))</f>
        <v/>
      </c>
      <c r="D11" s="316" t="str">
        <f ca="1">IF(ROWS($1:1)&gt;COUNT(Dong7),"",OFFSET(TH!E$1,SMALL(Dong7,ROWS($1:1)),))</f>
        <v/>
      </c>
      <c r="E11" s="436" t="str">
        <f ca="1">IF(ROWS($1:1)&gt;COUNT(Dong7),"",OFFSET(TH!F$1,SMALL(Dong7,ROWS($1:1)),))</f>
        <v/>
      </c>
      <c r="F11" s="372" t="str">
        <f ca="1">IF(ROWS($1:1)&gt;COUNT(Dong7),"",OFFSET(TH!M$1,SMALL(Dong7,ROWS($1:1)),))</f>
        <v/>
      </c>
      <c r="G11" s="374" t="str">
        <f ca="1">IF(ROWS($1:1)&gt;COUNT(Dong7),"",OFFSET(TH!N$1,SMALL(Dong7,ROWS($1:1)),))</f>
        <v/>
      </c>
      <c r="H11" s="374" t="str">
        <f ca="1">IF(ROWS($1:1)&gt;COUNT(Dong7),"",OFFSET(TH!O$1,SMALL(Dong7,ROWS($1:1)),))</f>
        <v/>
      </c>
      <c r="I11" s="63">
        <f t="shared" ref="I11:I21" ca="1" si="0">A11</f>
        <v>1</v>
      </c>
      <c r="J11" s="318">
        <f t="shared" ref="J11:J74" ca="1" si="1">IF($G11="1111",$F11,0)</f>
        <v>0</v>
      </c>
      <c r="K11" s="318">
        <f t="shared" ref="K11:K74" ca="1" si="2">IF($H11="1111",$F11,0)</f>
        <v>0</v>
      </c>
      <c r="L11" s="318">
        <f t="shared" ref="L11:L74" ca="1" si="3">IF($G11="1121",$F11,0)</f>
        <v>0</v>
      </c>
      <c r="M11" s="318">
        <f t="shared" ref="M11:M74" ca="1" si="4">IF($H11="1121",$F11,0)</f>
        <v>0</v>
      </c>
      <c r="N11" s="318">
        <f ca="1">IF($G11="1122",$F11,0)</f>
        <v>0</v>
      </c>
      <c r="O11" s="318">
        <f ca="1">IF($H11="1122",$F11,0)</f>
        <v>0</v>
      </c>
      <c r="P11" s="318">
        <f t="shared" ref="P11:P74" ca="1" si="5">IF($G11="1331",$F11,0)</f>
        <v>0</v>
      </c>
      <c r="Q11" s="318">
        <f t="shared" ref="Q11:Q74" ca="1" si="6">IF($H11="1331",$F11,0)</f>
        <v>0</v>
      </c>
      <c r="R11" s="318">
        <f t="shared" ref="R11:R74" ca="1" si="7">IF($G11="1388",$F11,0)</f>
        <v>0</v>
      </c>
      <c r="S11" s="318">
        <f t="shared" ref="S11:S74" ca="1" si="8">IF($H11="1388",$F11,0)</f>
        <v>0</v>
      </c>
      <c r="T11" s="318">
        <f ca="1">IF($G11="2412",$F11,0)</f>
        <v>0</v>
      </c>
      <c r="U11" s="318">
        <f ca="1">IF($H11="2412",$F11,0)</f>
        <v>0</v>
      </c>
      <c r="V11" s="318">
        <f t="shared" ref="V11:V74" ca="1" si="9">IF($G11="331",$F11,0)</f>
        <v>0</v>
      </c>
      <c r="W11" s="318">
        <f t="shared" ref="W11:W74" ca="1" si="10">IF($H11="331",$F11,0)</f>
        <v>0</v>
      </c>
      <c r="X11" s="318">
        <f t="shared" ref="X11:X74" ca="1" si="11">IF($G11="3334",$F11,0)</f>
        <v>0</v>
      </c>
      <c r="Y11" s="318">
        <f t="shared" ref="Y11:Y74" ca="1" si="12">IF($H11="3334",$F11,0)</f>
        <v>0</v>
      </c>
      <c r="Z11" s="318">
        <f t="shared" ref="Z11:Z74" ca="1" si="13">IF($G11="33382",$F11,0)</f>
        <v>0</v>
      </c>
      <c r="AA11" s="318">
        <f t="shared" ref="AA11:AA74" ca="1" si="14">IF($H11="33382",$F11,0)</f>
        <v>0</v>
      </c>
      <c r="AB11" s="318">
        <f t="shared" ref="AB11:AB74" ca="1" si="15">IF($G11="3388",$F11,0)</f>
        <v>0</v>
      </c>
      <c r="AC11" s="318">
        <f t="shared" ref="AC11:AC74" ca="1" si="16">IF($H11="3388",$F11,0)</f>
        <v>0</v>
      </c>
      <c r="AD11" s="318">
        <f t="shared" ref="AD11:AD74" ca="1" si="17">IF($G11="3411",$F11,0)</f>
        <v>0</v>
      </c>
      <c r="AE11" s="318">
        <f t="shared" ref="AE11:AE74" ca="1" si="18">IF($H11="3411",$F11,0)</f>
        <v>0</v>
      </c>
      <c r="AF11" s="318">
        <f ca="1">IF($G11="3412",$F11,0)</f>
        <v>0</v>
      </c>
      <c r="AG11" s="318">
        <f ca="1">IF($H11="3412",$F11,0)</f>
        <v>0</v>
      </c>
      <c r="AH11" s="318">
        <f t="shared" ref="AH11:AH74" ca="1" si="19">IF($G11="4111",$F11,0)</f>
        <v>0</v>
      </c>
      <c r="AI11" s="318">
        <f t="shared" ref="AI11:AI74" ca="1" si="20">IF($H11="4111",$F11,0)</f>
        <v>0</v>
      </c>
      <c r="AJ11" s="318">
        <f t="shared" ref="AJ11:AJ74" ca="1" si="21">IF($G11="4211",$F11,0)</f>
        <v>0</v>
      </c>
      <c r="AK11" s="318">
        <f t="shared" ref="AK11:AK74" ca="1" si="22">IF($H11="4211",$F11,0)</f>
        <v>0</v>
      </c>
      <c r="AL11" s="318">
        <f t="shared" ref="AL11:AL74" ca="1" si="23">IF($G11="4212",$F11,0)</f>
        <v>0</v>
      </c>
      <c r="AM11" s="318">
        <f t="shared" ref="AM11:AM74" ca="1" si="24">IF($H11="4212",$F11,0)</f>
        <v>0</v>
      </c>
      <c r="AN11" s="318">
        <f t="shared" ref="AN11:AN74" ca="1" si="25">IF($G11="515",$F11,0)</f>
        <v>0</v>
      </c>
      <c r="AO11" s="318">
        <f t="shared" ref="AO11:AO74" ca="1" si="26">IF($H11="515",$F11,0)</f>
        <v>0</v>
      </c>
      <c r="AP11" s="318">
        <f t="shared" ref="AP11:AP74" ca="1" si="27">IF($G11="635",$F11,0)</f>
        <v>0</v>
      </c>
      <c r="AQ11" s="318">
        <f t="shared" ref="AQ11:AQ74" ca="1" si="28">IF($H11="635",$F11,0)</f>
        <v>0</v>
      </c>
      <c r="AR11" s="318">
        <f t="shared" ref="AR11:AR74" ca="1" si="29">IF($G11="642",$F11,0)</f>
        <v>0</v>
      </c>
      <c r="AS11" s="318">
        <f t="shared" ref="AS11:AS74" ca="1" si="30">IF($H11="642",$F11,0)</f>
        <v>0</v>
      </c>
      <c r="AT11" s="318">
        <f t="shared" ref="AT11:AT74" ca="1" si="31">IF($G11="711",$F11,0)</f>
        <v>0</v>
      </c>
      <c r="AU11" s="318">
        <f t="shared" ref="AU11:AU74" ca="1" si="32">IF($H11="711",$F11,0)</f>
        <v>0</v>
      </c>
      <c r="AV11" s="318">
        <f t="shared" ref="AV11:AV74" ca="1" si="33">IF($G11="811",$F11,0)</f>
        <v>0</v>
      </c>
      <c r="AW11" s="318">
        <f t="shared" ref="AW11:AW74" ca="1" si="34">IF($H11="811",$F11,0)</f>
        <v>0</v>
      </c>
      <c r="AX11" s="318">
        <f t="shared" ref="AX11:AX74" ca="1" si="35">IF($G11="821",$F11,0)</f>
        <v>0</v>
      </c>
      <c r="AY11" s="318">
        <f t="shared" ref="AY11:AY74" ca="1" si="36">IF($H11="821",$F11,0)</f>
        <v>0</v>
      </c>
      <c r="AZ11" s="318">
        <f t="shared" ref="AZ11:AZ74" ca="1" si="37">IF($G11="911",$F11,0)</f>
        <v>0</v>
      </c>
      <c r="BA11" s="318">
        <f t="shared" ref="BA11:BA74" ca="1" si="38">IF($H11="911",$F11,0)</f>
        <v>0</v>
      </c>
    </row>
    <row r="12" spans="1:53" s="315" customFormat="1" ht="15" customHeight="1">
      <c r="A12" s="63" t="str">
        <f t="array" ref="A12">IF(C12&lt;&gt;0,SUM(($C$11:C12&lt;&gt;0)*1),"")</f>
        <v/>
      </c>
      <c r="B12" s="316"/>
      <c r="C12" s="316"/>
      <c r="D12" s="316"/>
      <c r="E12" s="436"/>
      <c r="F12" s="372"/>
      <c r="G12" s="374"/>
      <c r="H12" s="374"/>
      <c r="I12" s="63" t="str">
        <f t="shared" si="0"/>
        <v/>
      </c>
      <c r="J12" s="318">
        <f t="shared" si="1"/>
        <v>0</v>
      </c>
      <c r="K12" s="318">
        <f t="shared" si="2"/>
        <v>0</v>
      </c>
      <c r="L12" s="318">
        <f t="shared" si="3"/>
        <v>0</v>
      </c>
      <c r="M12" s="318">
        <f t="shared" si="4"/>
        <v>0</v>
      </c>
      <c r="N12" s="318">
        <f t="shared" ref="N12:N75" si="39">IF($G12="1122",$F12,0)</f>
        <v>0</v>
      </c>
      <c r="O12" s="318">
        <f t="shared" ref="O12:O75" si="40">IF($H12="1122",$F12,0)</f>
        <v>0</v>
      </c>
      <c r="P12" s="318">
        <f t="shared" si="5"/>
        <v>0</v>
      </c>
      <c r="Q12" s="318">
        <f t="shared" si="6"/>
        <v>0</v>
      </c>
      <c r="R12" s="318">
        <f t="shared" si="7"/>
        <v>0</v>
      </c>
      <c r="S12" s="318">
        <f t="shared" si="8"/>
        <v>0</v>
      </c>
      <c r="T12" s="318">
        <f t="shared" ref="T12:T75" si="41">IF($G12="2412",$F12,0)</f>
        <v>0</v>
      </c>
      <c r="U12" s="318">
        <f t="shared" ref="U12:U75"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5" si="43">IF($G12="3412",$F12,0)</f>
        <v>0</v>
      </c>
      <c r="AG12" s="318">
        <f t="shared" ref="AG12:AG75"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5" customHeight="1">
      <c r="A13" s="63" t="str">
        <f t="array" ref="A13">IF(C13&lt;&gt;0,SUM(($C$11:C13&lt;&gt;0)*1),"")</f>
        <v/>
      </c>
      <c r="B13" s="316"/>
      <c r="C13" s="316"/>
      <c r="D13" s="316"/>
      <c r="E13" s="436"/>
      <c r="F13" s="372"/>
      <c r="G13" s="374"/>
      <c r="H13" s="374"/>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5" customHeight="1">
      <c r="A14" s="63" t="str">
        <f t="array" ref="A14">IF(C14&lt;&gt;0,SUM(($C$11:C14&lt;&gt;0)*1),"")</f>
        <v/>
      </c>
      <c r="B14" s="316"/>
      <c r="C14" s="316"/>
      <c r="D14" s="316"/>
      <c r="E14" s="436"/>
      <c r="F14" s="372"/>
      <c r="G14" s="374"/>
      <c r="H14" s="374"/>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5" customHeight="1">
      <c r="A15" s="63" t="str">
        <f t="array" ref="A15">IF(C15&lt;&gt;0,SUM(($C$11:C15&lt;&gt;0)*1),"")</f>
        <v/>
      </c>
      <c r="B15" s="316"/>
      <c r="C15" s="316"/>
      <c r="D15" s="316"/>
      <c r="E15" s="436"/>
      <c r="F15" s="372"/>
      <c r="G15" s="374"/>
      <c r="H15" s="374"/>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5" customHeight="1">
      <c r="A16" s="63" t="str">
        <f t="array" ref="A16">IF(C16&lt;&gt;0,SUM(($C$11:C16&lt;&gt;0)*1),"")</f>
        <v/>
      </c>
      <c r="B16" s="316"/>
      <c r="C16" s="316"/>
      <c r="D16" s="316"/>
      <c r="E16" s="436"/>
      <c r="F16" s="372"/>
      <c r="G16" s="374"/>
      <c r="H16" s="374"/>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5" customHeight="1">
      <c r="A17" s="63" t="str">
        <f t="array" ref="A17">IF(C17&lt;&gt;0,SUM(($C$11:C17&lt;&gt;0)*1),"")</f>
        <v/>
      </c>
      <c r="B17" s="316"/>
      <c r="C17" s="316"/>
      <c r="D17" s="316"/>
      <c r="E17" s="436"/>
      <c r="F17" s="372"/>
      <c r="G17" s="374"/>
      <c r="H17" s="374"/>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5" customHeight="1">
      <c r="A18" s="63" t="str">
        <f t="array" ref="A18">IF(C18&lt;&gt;0,SUM(($C$11:C18&lt;&gt;0)*1),"")</f>
        <v/>
      </c>
      <c r="B18" s="316"/>
      <c r="C18" s="316"/>
      <c r="D18" s="316"/>
      <c r="E18" s="436"/>
      <c r="F18" s="372"/>
      <c r="G18" s="374"/>
      <c r="H18" s="374"/>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5" customHeight="1">
      <c r="A19" s="63" t="str">
        <f t="array" ref="A19">IF(C19&lt;&gt;0,SUM(($C$11:C19&lt;&gt;0)*1),"")</f>
        <v/>
      </c>
      <c r="B19" s="316"/>
      <c r="C19" s="316"/>
      <c r="D19" s="316"/>
      <c r="E19" s="436"/>
      <c r="F19" s="372"/>
      <c r="G19" s="374"/>
      <c r="H19" s="374"/>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5" customHeight="1">
      <c r="A20" s="63" t="str">
        <f t="array" ref="A20">IF(C20&lt;&gt;0,SUM(($C$11:C20&lt;&gt;0)*1),"")</f>
        <v/>
      </c>
      <c r="B20" s="316"/>
      <c r="C20" s="316"/>
      <c r="D20" s="316"/>
      <c r="E20" s="436"/>
      <c r="F20" s="372"/>
      <c r="G20" s="374"/>
      <c r="H20" s="374"/>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5" customHeight="1">
      <c r="A21" s="63" t="str">
        <f t="array" ref="A21">IF(C21&lt;&gt;0,SUM(($C$11:C21&lt;&gt;0)*1),"")</f>
        <v/>
      </c>
      <c r="B21" s="316"/>
      <c r="C21" s="316"/>
      <c r="D21" s="316"/>
      <c r="E21" s="436"/>
      <c r="F21" s="372"/>
      <c r="G21" s="374"/>
      <c r="H21" s="374"/>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5" customHeight="1">
      <c r="A22" s="63" t="str">
        <f t="array" ref="A22">IF(C22&lt;&gt;0,SUM(($C$11:C22&lt;&gt;0)*1),"")</f>
        <v/>
      </c>
      <c r="B22" s="316"/>
      <c r="C22" s="316"/>
      <c r="D22" s="316"/>
      <c r="E22" s="436"/>
      <c r="F22" s="372"/>
      <c r="G22" s="374"/>
      <c r="H22" s="374"/>
      <c r="I22" s="63" t="str">
        <f t="shared" ref="I22:I78" si="45">A22</f>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5" customHeight="1">
      <c r="A23" s="63" t="str">
        <f t="array" ref="A23">IF(C23&lt;&gt;0,SUM(($C$11:C23&lt;&gt;0)*1),"")</f>
        <v/>
      </c>
      <c r="B23" s="316"/>
      <c r="C23" s="316"/>
      <c r="D23" s="316"/>
      <c r="E23" s="436"/>
      <c r="F23" s="372"/>
      <c r="G23" s="374"/>
      <c r="H23" s="374"/>
      <c r="I23" s="63" t="str">
        <f t="shared" si="45"/>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5" customHeight="1">
      <c r="A24" s="63" t="str">
        <f t="array" ref="A24">IF(C24&lt;&gt;0,SUM(($C$11:C24&lt;&gt;0)*1),"")</f>
        <v/>
      </c>
      <c r="B24" s="316"/>
      <c r="C24" s="316"/>
      <c r="D24" s="316"/>
      <c r="E24" s="436"/>
      <c r="F24" s="372"/>
      <c r="G24" s="374"/>
      <c r="H24" s="374"/>
      <c r="I24" s="63" t="str">
        <f t="shared" si="45"/>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5" customHeight="1">
      <c r="A25" s="63" t="str">
        <f t="array" ref="A25">IF(C25&lt;&gt;0,SUM(($C$11:C25&lt;&gt;0)*1),"")</f>
        <v/>
      </c>
      <c r="B25" s="316"/>
      <c r="C25" s="316"/>
      <c r="D25" s="316"/>
      <c r="E25" s="436"/>
      <c r="F25" s="372"/>
      <c r="G25" s="374"/>
      <c r="H25" s="374"/>
      <c r="I25" s="63" t="str">
        <f t="shared" si="45"/>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5" customHeight="1">
      <c r="A26" s="63" t="str">
        <f t="array" ref="A26">IF(C26&lt;&gt;0,SUM(($C$11:C26&lt;&gt;0)*1),"")</f>
        <v/>
      </c>
      <c r="B26" s="316"/>
      <c r="C26" s="316"/>
      <c r="D26" s="316"/>
      <c r="E26" s="436"/>
      <c r="F26" s="372"/>
      <c r="G26" s="374"/>
      <c r="H26" s="374"/>
      <c r="I26" s="63" t="str">
        <f t="shared" si="45"/>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5" customHeight="1">
      <c r="A27" s="63" t="str">
        <f t="array" ref="A27">IF(C27&lt;&gt;0,SUM(($C$11:C27&lt;&gt;0)*1),"")</f>
        <v/>
      </c>
      <c r="B27" s="316"/>
      <c r="C27" s="316"/>
      <c r="D27" s="316"/>
      <c r="E27" s="436"/>
      <c r="F27" s="372"/>
      <c r="G27" s="374"/>
      <c r="H27" s="374"/>
      <c r="I27" s="63" t="str">
        <f t="shared" si="45"/>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5" customHeight="1">
      <c r="A28" s="63" t="str">
        <f t="array" ref="A28">IF(C28&lt;&gt;0,SUM(($C$11:C28&lt;&gt;0)*1),"")</f>
        <v/>
      </c>
      <c r="B28" s="316"/>
      <c r="C28" s="316"/>
      <c r="D28" s="316"/>
      <c r="E28" s="436"/>
      <c r="F28" s="372"/>
      <c r="G28" s="374"/>
      <c r="H28" s="374"/>
      <c r="I28" s="63" t="str">
        <f t="shared" si="45"/>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5" customHeight="1">
      <c r="A29" s="63" t="str">
        <f t="array" ref="A29">IF(C29&lt;&gt;0,SUM(($C$11:C29&lt;&gt;0)*1),"")</f>
        <v/>
      </c>
      <c r="B29" s="316"/>
      <c r="C29" s="316"/>
      <c r="D29" s="316"/>
      <c r="E29" s="436"/>
      <c r="F29" s="372"/>
      <c r="G29" s="374"/>
      <c r="H29" s="374"/>
      <c r="I29" s="63" t="str">
        <f t="shared" si="45"/>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5" customHeight="1">
      <c r="A30" s="63" t="str">
        <f t="array" ref="A30">IF(C30&lt;&gt;0,SUM(($C$11:C30&lt;&gt;0)*1),"")</f>
        <v/>
      </c>
      <c r="B30" s="316"/>
      <c r="C30" s="316"/>
      <c r="D30" s="316"/>
      <c r="E30" s="436"/>
      <c r="F30" s="372"/>
      <c r="G30" s="374"/>
      <c r="H30" s="374"/>
      <c r="I30" s="63" t="str">
        <f t="shared" si="45"/>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5" customHeight="1">
      <c r="A31" s="63" t="str">
        <f t="array" ref="A31">IF(C31&lt;&gt;0,SUM(($C$11:C31&lt;&gt;0)*1),"")</f>
        <v/>
      </c>
      <c r="B31" s="316"/>
      <c r="C31" s="316"/>
      <c r="D31" s="316"/>
      <c r="E31" s="436"/>
      <c r="F31" s="372"/>
      <c r="G31" s="374"/>
      <c r="H31" s="374"/>
      <c r="I31" s="63" t="str">
        <f t="shared" si="45"/>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5" customHeight="1">
      <c r="A32" s="63" t="str">
        <f t="array" ref="A32">IF(C32&lt;&gt;0,SUM(($C$11:C32&lt;&gt;0)*1),"")</f>
        <v/>
      </c>
      <c r="B32" s="316"/>
      <c r="C32" s="316"/>
      <c r="D32" s="316"/>
      <c r="E32" s="436"/>
      <c r="F32" s="372"/>
      <c r="G32" s="374"/>
      <c r="H32" s="374"/>
      <c r="I32" s="63" t="str">
        <f t="shared" si="45"/>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5" customHeight="1">
      <c r="A33" s="63" t="str">
        <f t="array" ref="A33">IF(C33&lt;&gt;0,SUM(($C$11:C33&lt;&gt;0)*1),"")</f>
        <v/>
      </c>
      <c r="B33" s="316"/>
      <c r="C33" s="316"/>
      <c r="D33" s="316"/>
      <c r="E33" s="436"/>
      <c r="F33" s="372"/>
      <c r="G33" s="374"/>
      <c r="H33" s="374"/>
      <c r="I33" s="63" t="str">
        <f t="shared" si="45"/>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5" customHeight="1">
      <c r="A34" s="63" t="str">
        <f t="array" ref="A34">IF(C34&lt;&gt;0,SUM(($C$11:C34&lt;&gt;0)*1),"")</f>
        <v/>
      </c>
      <c r="B34" s="316"/>
      <c r="C34" s="316"/>
      <c r="D34" s="316"/>
      <c r="E34" s="436"/>
      <c r="F34" s="372"/>
      <c r="G34" s="374"/>
      <c r="H34" s="374"/>
      <c r="I34" s="63" t="str">
        <f t="shared" si="45"/>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5" customHeight="1">
      <c r="A35" s="63" t="str">
        <f t="array" ref="A35">IF(C35&lt;&gt;0,SUM(($C$11:C35&lt;&gt;0)*1),"")</f>
        <v/>
      </c>
      <c r="B35" s="316"/>
      <c r="C35" s="316"/>
      <c r="D35" s="316"/>
      <c r="E35" s="436"/>
      <c r="F35" s="372"/>
      <c r="G35" s="374"/>
      <c r="H35" s="374"/>
      <c r="I35" s="63" t="str">
        <f t="shared" si="45"/>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5" customHeight="1">
      <c r="A36" s="63" t="str">
        <f t="array" ref="A36">IF(C36&lt;&gt;0,SUM(($C$11:C36&lt;&gt;0)*1),"")</f>
        <v/>
      </c>
      <c r="B36" s="316"/>
      <c r="C36" s="316"/>
      <c r="D36" s="316"/>
      <c r="E36" s="436"/>
      <c r="F36" s="372"/>
      <c r="G36" s="374"/>
      <c r="H36" s="374"/>
      <c r="I36" s="63" t="str">
        <f t="shared" si="45"/>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5" customHeight="1">
      <c r="A37" s="63" t="str">
        <f t="array" ref="A37">IF(C37&lt;&gt;0,SUM(($C$11:C37&lt;&gt;0)*1),"")</f>
        <v/>
      </c>
      <c r="B37" s="316"/>
      <c r="C37" s="316"/>
      <c r="D37" s="316"/>
      <c r="E37" s="436"/>
      <c r="F37" s="372"/>
      <c r="G37" s="374"/>
      <c r="H37" s="374"/>
      <c r="I37" s="63" t="str">
        <f t="shared" si="45"/>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5" customHeight="1">
      <c r="A38" s="63" t="str">
        <f t="array" ref="A38">IF(C38&lt;&gt;0,SUM(($C$11:C38&lt;&gt;0)*1),"")</f>
        <v/>
      </c>
      <c r="B38" s="316"/>
      <c r="C38" s="316"/>
      <c r="D38" s="316"/>
      <c r="E38" s="436"/>
      <c r="F38" s="372"/>
      <c r="G38" s="374"/>
      <c r="H38" s="374"/>
      <c r="I38" s="63" t="str">
        <f t="shared" si="45"/>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5" customHeight="1">
      <c r="A39" s="63" t="str">
        <f t="array" ref="A39">IF(C39&lt;&gt;0,SUM(($C$11:C39&lt;&gt;0)*1),"")</f>
        <v/>
      </c>
      <c r="B39" s="316"/>
      <c r="C39" s="316"/>
      <c r="D39" s="316"/>
      <c r="E39" s="436"/>
      <c r="F39" s="372"/>
      <c r="G39" s="374"/>
      <c r="H39" s="374"/>
      <c r="I39" s="63" t="str">
        <f t="shared" si="45"/>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5" customHeight="1">
      <c r="A40" s="63" t="str">
        <f t="array" ref="A40">IF(C40&lt;&gt;0,SUM(($C$11:C40&lt;&gt;0)*1),"")</f>
        <v/>
      </c>
      <c r="B40" s="316"/>
      <c r="C40" s="316"/>
      <c r="D40" s="316"/>
      <c r="E40" s="436"/>
      <c r="F40" s="372"/>
      <c r="G40" s="374"/>
      <c r="H40" s="374"/>
      <c r="I40" s="63" t="str">
        <f t="shared" si="45"/>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5" customHeight="1">
      <c r="A41" s="63" t="str">
        <f t="array" ref="A41">IF(C41&lt;&gt;0,SUM(($C$11:C41&lt;&gt;0)*1),"")</f>
        <v/>
      </c>
      <c r="B41" s="316"/>
      <c r="C41" s="316"/>
      <c r="D41" s="316"/>
      <c r="E41" s="436"/>
      <c r="F41" s="372"/>
      <c r="G41" s="374"/>
      <c r="H41" s="374"/>
      <c r="I41" s="63" t="str">
        <f t="shared" si="45"/>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5" customHeight="1">
      <c r="A42" s="63" t="str">
        <f t="array" ref="A42">IF(C42&lt;&gt;0,SUM(($C$11:C42&lt;&gt;0)*1),"")</f>
        <v/>
      </c>
      <c r="B42" s="316"/>
      <c r="C42" s="316"/>
      <c r="D42" s="316"/>
      <c r="E42" s="436"/>
      <c r="F42" s="372"/>
      <c r="G42" s="374"/>
      <c r="H42" s="374"/>
      <c r="I42" s="63" t="str">
        <f t="shared" si="45"/>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5" customHeight="1">
      <c r="A43" s="63" t="str">
        <f t="array" ref="A43">IF(C43&lt;&gt;0,SUM(($C$11:C43&lt;&gt;0)*1),"")</f>
        <v/>
      </c>
      <c r="B43" s="316"/>
      <c r="C43" s="316"/>
      <c r="D43" s="316"/>
      <c r="E43" s="436"/>
      <c r="F43" s="372"/>
      <c r="G43" s="374"/>
      <c r="H43" s="374"/>
      <c r="I43" s="63" t="str">
        <f t="shared" si="45"/>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5" customHeight="1">
      <c r="A44" s="63" t="str">
        <f t="array" ref="A44">IF(C44&lt;&gt;0,SUM(($C$11:C44&lt;&gt;0)*1),"")</f>
        <v/>
      </c>
      <c r="B44" s="316"/>
      <c r="C44" s="316"/>
      <c r="D44" s="316"/>
      <c r="E44" s="436"/>
      <c r="F44" s="372"/>
      <c r="G44" s="374"/>
      <c r="H44" s="374"/>
      <c r="I44" s="63" t="str">
        <f t="shared" si="45"/>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5" customHeight="1">
      <c r="A45" s="63" t="str">
        <f t="array" ref="A45">IF(C45&lt;&gt;0,SUM(($C$11:C45&lt;&gt;0)*1),"")</f>
        <v/>
      </c>
      <c r="B45" s="316"/>
      <c r="C45" s="316"/>
      <c r="D45" s="316"/>
      <c r="E45" s="436"/>
      <c r="F45" s="372"/>
      <c r="G45" s="374"/>
      <c r="H45" s="374"/>
      <c r="I45" s="63" t="str">
        <f t="shared" si="45"/>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5" customHeight="1">
      <c r="A46" s="63" t="str">
        <f t="array" ref="A46">IF(C46&lt;&gt;0,SUM(($C$11:C46&lt;&gt;0)*1),"")</f>
        <v/>
      </c>
      <c r="B46" s="316"/>
      <c r="C46" s="316"/>
      <c r="D46" s="316"/>
      <c r="E46" s="436"/>
      <c r="F46" s="372"/>
      <c r="G46" s="374"/>
      <c r="H46" s="374"/>
      <c r="I46" s="63" t="str">
        <f t="shared" si="45"/>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5" customHeight="1">
      <c r="A47" s="63" t="str">
        <f t="array" ref="A47">IF(C47&lt;&gt;0,SUM(($C$11:C47&lt;&gt;0)*1),"")</f>
        <v/>
      </c>
      <c r="B47" s="316"/>
      <c r="C47" s="316"/>
      <c r="D47" s="316"/>
      <c r="E47" s="436"/>
      <c r="F47" s="372"/>
      <c r="G47" s="374"/>
      <c r="H47" s="374"/>
      <c r="I47" s="63" t="str">
        <f t="shared" si="45"/>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5" customHeight="1">
      <c r="A48" s="63" t="str">
        <f t="array" ref="A48">IF(C48&lt;&gt;0,SUM(($C$11:C48&lt;&gt;0)*1),"")</f>
        <v/>
      </c>
      <c r="B48" s="316"/>
      <c r="C48" s="316"/>
      <c r="D48" s="316"/>
      <c r="E48" s="436"/>
      <c r="F48" s="372"/>
      <c r="G48" s="374"/>
      <c r="H48" s="374"/>
      <c r="I48" s="63" t="str">
        <f t="shared" si="45"/>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5" customHeight="1">
      <c r="A49" s="63" t="str">
        <f t="array" ref="A49">IF(C49&lt;&gt;0,SUM(($C$11:C49&lt;&gt;0)*1),"")</f>
        <v/>
      </c>
      <c r="B49" s="316"/>
      <c r="C49" s="316"/>
      <c r="D49" s="316"/>
      <c r="E49" s="436"/>
      <c r="F49" s="372"/>
      <c r="G49" s="374"/>
      <c r="H49" s="374"/>
      <c r="I49" s="63" t="str">
        <f t="shared" si="45"/>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5" customHeight="1">
      <c r="A50" s="63" t="str">
        <f t="array" ref="A50">IF(C50&lt;&gt;0,SUM(($C$11:C50&lt;&gt;0)*1),"")</f>
        <v/>
      </c>
      <c r="B50" s="316"/>
      <c r="C50" s="316"/>
      <c r="D50" s="316"/>
      <c r="E50" s="436"/>
      <c r="F50" s="372"/>
      <c r="G50" s="374"/>
      <c r="H50" s="374"/>
      <c r="I50" s="63" t="str">
        <f t="shared" si="45"/>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5" customHeight="1">
      <c r="A51" s="63" t="str">
        <f t="array" ref="A51">IF(C51&lt;&gt;0,SUM(($C$11:C51&lt;&gt;0)*1),"")</f>
        <v/>
      </c>
      <c r="B51" s="316"/>
      <c r="C51" s="316"/>
      <c r="D51" s="316"/>
      <c r="E51" s="436"/>
      <c r="F51" s="372"/>
      <c r="G51" s="374"/>
      <c r="H51" s="374"/>
      <c r="I51" s="63" t="str">
        <f t="shared" si="45"/>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5" customHeight="1">
      <c r="A52" s="63" t="str">
        <f t="array" ref="A52">IF(C52&lt;&gt;0,SUM(($C$11:C52&lt;&gt;0)*1),"")</f>
        <v/>
      </c>
      <c r="B52" s="316"/>
      <c r="C52" s="316"/>
      <c r="D52" s="316"/>
      <c r="E52" s="436"/>
      <c r="F52" s="372"/>
      <c r="G52" s="374"/>
      <c r="H52" s="374"/>
      <c r="I52" s="63" t="str">
        <f t="shared" si="45"/>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5" customHeight="1">
      <c r="A53" s="63" t="str">
        <f t="array" ref="A53">IF(C53&lt;&gt;0,SUM(($C$11:C53&lt;&gt;0)*1),"")</f>
        <v/>
      </c>
      <c r="B53" s="316"/>
      <c r="C53" s="316"/>
      <c r="D53" s="316"/>
      <c r="E53" s="436"/>
      <c r="F53" s="372"/>
      <c r="G53" s="374"/>
      <c r="H53" s="374"/>
      <c r="I53" s="63" t="str">
        <f t="shared" si="45"/>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5" customHeight="1">
      <c r="A54" s="63" t="str">
        <f t="array" ref="A54">IF(C54&lt;&gt;0,SUM(($C$11:C54&lt;&gt;0)*1),"")</f>
        <v/>
      </c>
      <c r="B54" s="316"/>
      <c r="C54" s="316"/>
      <c r="D54" s="316"/>
      <c r="E54" s="436"/>
      <c r="F54" s="372"/>
      <c r="G54" s="374"/>
      <c r="H54" s="374"/>
      <c r="I54" s="63" t="str">
        <f t="shared" si="45"/>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5" customHeight="1">
      <c r="A55" s="63" t="str">
        <f t="array" ref="A55">IF(C55&lt;&gt;0,SUM(($C$11:C55&lt;&gt;0)*1),"")</f>
        <v/>
      </c>
      <c r="B55" s="316"/>
      <c r="C55" s="316"/>
      <c r="D55" s="316"/>
      <c r="E55" s="436"/>
      <c r="F55" s="372"/>
      <c r="G55" s="374"/>
      <c r="H55" s="374"/>
      <c r="I55" s="63" t="str">
        <f t="shared" si="45"/>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5" customHeight="1">
      <c r="A56" s="63" t="str">
        <f t="array" ref="A56">IF(C56&lt;&gt;0,SUM(($C$11:C56&lt;&gt;0)*1),"")</f>
        <v/>
      </c>
      <c r="B56" s="316"/>
      <c r="C56" s="316"/>
      <c r="D56" s="316"/>
      <c r="E56" s="436"/>
      <c r="F56" s="372"/>
      <c r="G56" s="374"/>
      <c r="H56" s="374"/>
      <c r="I56" s="63" t="str">
        <f t="shared" si="45"/>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5" customHeight="1">
      <c r="A57" s="63" t="str">
        <f t="array" ref="A57">IF(C57&lt;&gt;0,SUM(($C$11:C57&lt;&gt;0)*1),"")</f>
        <v/>
      </c>
      <c r="B57" s="316"/>
      <c r="C57" s="316"/>
      <c r="D57" s="316"/>
      <c r="E57" s="436"/>
      <c r="F57" s="372"/>
      <c r="G57" s="374"/>
      <c r="H57" s="374"/>
      <c r="I57" s="63" t="str">
        <f t="shared" si="45"/>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5" customHeight="1">
      <c r="A58" s="63" t="str">
        <f t="array" ref="A58">IF(C58&lt;&gt;0,SUM(($C$11:C58&lt;&gt;0)*1),"")</f>
        <v/>
      </c>
      <c r="B58" s="316"/>
      <c r="C58" s="316"/>
      <c r="D58" s="316"/>
      <c r="E58" s="436"/>
      <c r="F58" s="372"/>
      <c r="G58" s="374"/>
      <c r="H58" s="374"/>
      <c r="I58" s="63" t="str">
        <f t="shared" si="45"/>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5" customHeight="1">
      <c r="A59" s="63" t="str">
        <f t="array" ref="A59">IF(C59&lt;&gt;0,SUM(($C$11:C59&lt;&gt;0)*1),"")</f>
        <v/>
      </c>
      <c r="B59" s="316"/>
      <c r="C59" s="316"/>
      <c r="D59" s="316"/>
      <c r="E59" s="436"/>
      <c r="F59" s="372"/>
      <c r="G59" s="374"/>
      <c r="H59" s="374"/>
      <c r="I59" s="63" t="str">
        <f t="shared" si="45"/>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5" customHeight="1">
      <c r="A60" s="63" t="str">
        <f t="array" ref="A60">IF(C60&lt;&gt;0,SUM(($C$11:C60&lt;&gt;0)*1),"")</f>
        <v/>
      </c>
      <c r="B60" s="316"/>
      <c r="C60" s="316"/>
      <c r="D60" s="316"/>
      <c r="E60" s="436"/>
      <c r="F60" s="372"/>
      <c r="G60" s="374"/>
      <c r="H60" s="374"/>
      <c r="I60" s="63" t="str">
        <f t="shared" si="45"/>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5" customHeight="1">
      <c r="A61" s="63" t="str">
        <f t="array" ref="A61">IF(C61&lt;&gt;0,SUM(($C$11:C61&lt;&gt;0)*1),"")</f>
        <v/>
      </c>
      <c r="B61" s="316"/>
      <c r="C61" s="316"/>
      <c r="D61" s="316"/>
      <c r="E61" s="436"/>
      <c r="F61" s="372"/>
      <c r="G61" s="374"/>
      <c r="H61" s="374"/>
      <c r="I61" s="63" t="str">
        <f t="shared" si="45"/>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5" customHeight="1">
      <c r="A62" s="63" t="str">
        <f t="array" ref="A62">IF(C62&lt;&gt;0,SUM(($C$11:C62&lt;&gt;0)*1),"")</f>
        <v/>
      </c>
      <c r="B62" s="316"/>
      <c r="C62" s="316"/>
      <c r="D62" s="316"/>
      <c r="E62" s="436"/>
      <c r="F62" s="372"/>
      <c r="G62" s="374"/>
      <c r="H62" s="374"/>
      <c r="I62" s="63" t="str">
        <f t="shared" si="45"/>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5" customHeight="1">
      <c r="A63" s="63" t="str">
        <f t="array" ref="A63">IF(C63&lt;&gt;0,SUM(($C$11:C63&lt;&gt;0)*1),"")</f>
        <v/>
      </c>
      <c r="B63" s="316"/>
      <c r="C63" s="316"/>
      <c r="D63" s="316"/>
      <c r="E63" s="436"/>
      <c r="F63" s="372"/>
      <c r="G63" s="374"/>
      <c r="H63" s="374"/>
      <c r="I63" s="63" t="str">
        <f t="shared" si="45"/>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5" customHeight="1">
      <c r="A64" s="63" t="str">
        <f t="array" ref="A64">IF(C64&lt;&gt;0,SUM(($C$11:C64&lt;&gt;0)*1),"")</f>
        <v/>
      </c>
      <c r="B64" s="316"/>
      <c r="C64" s="316"/>
      <c r="D64" s="316"/>
      <c r="E64" s="436"/>
      <c r="F64" s="372"/>
      <c r="G64" s="374"/>
      <c r="H64" s="374"/>
      <c r="I64" s="63" t="str">
        <f t="shared" si="45"/>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5" customHeight="1">
      <c r="A65" s="63" t="str">
        <f t="array" ref="A65">IF(C65&lt;&gt;0,SUM(($C$11:C65&lt;&gt;0)*1),"")</f>
        <v/>
      </c>
      <c r="B65" s="316"/>
      <c r="C65" s="316"/>
      <c r="D65" s="316"/>
      <c r="E65" s="436"/>
      <c r="F65" s="372"/>
      <c r="G65" s="374"/>
      <c r="H65" s="374"/>
      <c r="I65" s="63" t="str">
        <f t="shared" si="45"/>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5" customHeight="1">
      <c r="A66" s="63" t="str">
        <f t="array" ref="A66">IF(C66&lt;&gt;0,SUM(($C$11:C66&lt;&gt;0)*1),"")</f>
        <v/>
      </c>
      <c r="B66" s="316"/>
      <c r="C66" s="316"/>
      <c r="D66" s="316"/>
      <c r="E66" s="436"/>
      <c r="F66" s="372"/>
      <c r="G66" s="374"/>
      <c r="H66" s="374"/>
      <c r="I66" s="63" t="str">
        <f t="shared" si="45"/>
        <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5" customHeight="1">
      <c r="A67" s="63" t="str">
        <f t="array" ref="A67">IF(C67&lt;&gt;0,SUM(($C$11:C67&lt;&gt;0)*1),"")</f>
        <v/>
      </c>
      <c r="B67" s="316"/>
      <c r="C67" s="316"/>
      <c r="D67" s="316"/>
      <c r="E67" s="436"/>
      <c r="F67" s="372"/>
      <c r="G67" s="374"/>
      <c r="H67" s="374"/>
      <c r="I67" s="63" t="str">
        <f t="shared" si="45"/>
        <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5" customHeight="1">
      <c r="A68" s="63" t="str">
        <f t="array" ref="A68">IF(C68&lt;&gt;0,SUM(($C$11:C68&lt;&gt;0)*1),"")</f>
        <v/>
      </c>
      <c r="B68" s="316"/>
      <c r="C68" s="316"/>
      <c r="D68" s="316"/>
      <c r="E68" s="436"/>
      <c r="F68" s="372"/>
      <c r="G68" s="374"/>
      <c r="H68" s="374"/>
      <c r="I68" s="63" t="str">
        <f t="shared" si="45"/>
        <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si="30"/>
        <v>0</v>
      </c>
      <c r="AT68" s="318">
        <f t="shared" si="31"/>
        <v>0</v>
      </c>
      <c r="AU68" s="318">
        <f t="shared" si="32"/>
        <v>0</v>
      </c>
      <c r="AV68" s="318">
        <f t="shared" si="33"/>
        <v>0</v>
      </c>
      <c r="AW68" s="318">
        <f t="shared" si="34"/>
        <v>0</v>
      </c>
      <c r="AX68" s="318">
        <f t="shared" si="35"/>
        <v>0</v>
      </c>
      <c r="AY68" s="318">
        <f t="shared" si="36"/>
        <v>0</v>
      </c>
      <c r="AZ68" s="318">
        <f t="shared" si="37"/>
        <v>0</v>
      </c>
      <c r="BA68" s="318">
        <f t="shared" si="38"/>
        <v>0</v>
      </c>
    </row>
    <row r="69" spans="1:53" s="315" customFormat="1" ht="15" customHeight="1">
      <c r="A69" s="63" t="str">
        <f t="array" ref="A69">IF(C69&lt;&gt;0,SUM(($C$11:C69&lt;&gt;0)*1),"")</f>
        <v/>
      </c>
      <c r="B69" s="316"/>
      <c r="C69" s="316"/>
      <c r="D69" s="316"/>
      <c r="E69" s="436"/>
      <c r="F69" s="372"/>
      <c r="G69" s="374"/>
      <c r="H69" s="374"/>
      <c r="I69" s="63" t="str">
        <f t="shared" si="45"/>
        <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0</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0</v>
      </c>
    </row>
    <row r="70" spans="1:53" s="315" customFormat="1" ht="15" customHeight="1">
      <c r="A70" s="63" t="str">
        <f t="array" ref="A70">IF(C70&lt;&gt;0,SUM(($C$11:C70&lt;&gt;0)*1),"")</f>
        <v/>
      </c>
      <c r="B70" s="316"/>
      <c r="C70" s="316"/>
      <c r="D70" s="316"/>
      <c r="E70" s="436"/>
      <c r="F70" s="372"/>
      <c r="G70" s="374"/>
      <c r="H70" s="374"/>
      <c r="I70" s="63" t="str">
        <f t="shared" si="45"/>
        <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si="38"/>
        <v>0</v>
      </c>
    </row>
    <row r="71" spans="1:53" s="315" customFormat="1" ht="15" customHeight="1">
      <c r="A71" s="63" t="str">
        <f t="array" ref="A71">IF(C71&lt;&gt;0,SUM(($C$11:C71&lt;&gt;0)*1),"")</f>
        <v/>
      </c>
      <c r="B71" s="316"/>
      <c r="C71" s="316"/>
      <c r="D71" s="316"/>
      <c r="E71" s="436"/>
      <c r="F71" s="372"/>
      <c r="G71" s="374"/>
      <c r="H71" s="374"/>
      <c r="I71" s="63" t="str">
        <f t="shared" si="45"/>
        <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si="31"/>
        <v>0</v>
      </c>
      <c r="AU71" s="318">
        <f t="shared" si="32"/>
        <v>0</v>
      </c>
      <c r="AV71" s="318">
        <f t="shared" si="33"/>
        <v>0</v>
      </c>
      <c r="AW71" s="318">
        <f t="shared" si="34"/>
        <v>0</v>
      </c>
      <c r="AX71" s="318">
        <f t="shared" si="35"/>
        <v>0</v>
      </c>
      <c r="AY71" s="318">
        <f t="shared" si="36"/>
        <v>0</v>
      </c>
      <c r="AZ71" s="318">
        <f t="shared" si="37"/>
        <v>0</v>
      </c>
      <c r="BA71" s="318">
        <f t="shared" si="38"/>
        <v>0</v>
      </c>
    </row>
    <row r="72" spans="1:53" s="315" customFormat="1" ht="15" customHeight="1">
      <c r="A72" s="63" t="str">
        <f t="array" ref="A72">IF(C72&lt;&gt;0,SUM(($C$11:C72&lt;&gt;0)*1),"")</f>
        <v/>
      </c>
      <c r="B72" s="316"/>
      <c r="C72" s="316"/>
      <c r="D72" s="316"/>
      <c r="E72" s="436"/>
      <c r="F72" s="372"/>
      <c r="G72" s="374"/>
      <c r="H72" s="374"/>
      <c r="I72" s="63" t="str">
        <f t="shared" si="45"/>
        <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si="34"/>
        <v>0</v>
      </c>
      <c r="AX72" s="318">
        <f t="shared" si="35"/>
        <v>0</v>
      </c>
      <c r="AY72" s="318">
        <f t="shared" si="36"/>
        <v>0</v>
      </c>
      <c r="AZ72" s="318">
        <f t="shared" si="37"/>
        <v>0</v>
      </c>
      <c r="BA72" s="318">
        <f t="shared" si="38"/>
        <v>0</v>
      </c>
    </row>
    <row r="73" spans="1:53" s="315" customFormat="1" ht="15" customHeight="1">
      <c r="A73" s="63" t="str">
        <f t="array" ref="A73">IF(C73&lt;&gt;0,SUM(($C$11:C73&lt;&gt;0)*1),"")</f>
        <v/>
      </c>
      <c r="B73" s="316"/>
      <c r="C73" s="316"/>
      <c r="D73" s="316"/>
      <c r="E73" s="436"/>
      <c r="F73" s="372"/>
      <c r="G73" s="374"/>
      <c r="H73" s="374"/>
      <c r="I73" s="63" t="str">
        <f t="shared" si="45"/>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5" customHeight="1">
      <c r="A74" s="63" t="str">
        <f t="array" ref="A74">IF(C74&lt;&gt;0,SUM(($C$11:C74&lt;&gt;0)*1),"")</f>
        <v/>
      </c>
      <c r="B74" s="316"/>
      <c r="C74" s="316"/>
      <c r="D74" s="316"/>
      <c r="E74" s="436"/>
      <c r="F74" s="372"/>
      <c r="G74" s="374"/>
      <c r="H74" s="374"/>
      <c r="I74" s="63" t="str">
        <f t="shared" si="45"/>
        <v/>
      </c>
      <c r="J74" s="318">
        <f t="shared" si="1"/>
        <v>0</v>
      </c>
      <c r="K74" s="318">
        <f t="shared" si="2"/>
        <v>0</v>
      </c>
      <c r="L74" s="318">
        <f t="shared" si="3"/>
        <v>0</v>
      </c>
      <c r="M74" s="318">
        <f t="shared" si="4"/>
        <v>0</v>
      </c>
      <c r="N74" s="318">
        <f t="shared" si="39"/>
        <v>0</v>
      </c>
      <c r="O74" s="318">
        <f t="shared" si="40"/>
        <v>0</v>
      </c>
      <c r="P74" s="318">
        <f t="shared" si="5"/>
        <v>0</v>
      </c>
      <c r="Q74" s="318">
        <f t="shared" si="6"/>
        <v>0</v>
      </c>
      <c r="R74" s="318">
        <f t="shared" si="7"/>
        <v>0</v>
      </c>
      <c r="S74" s="318">
        <f t="shared" si="8"/>
        <v>0</v>
      </c>
      <c r="T74" s="318">
        <f t="shared" si="41"/>
        <v>0</v>
      </c>
      <c r="U74" s="318">
        <f t="shared" si="42"/>
        <v>0</v>
      </c>
      <c r="V74" s="318">
        <f t="shared" si="9"/>
        <v>0</v>
      </c>
      <c r="W74" s="318">
        <f t="shared" si="10"/>
        <v>0</v>
      </c>
      <c r="X74" s="318">
        <f t="shared" si="11"/>
        <v>0</v>
      </c>
      <c r="Y74" s="318">
        <f t="shared" si="12"/>
        <v>0</v>
      </c>
      <c r="Z74" s="318">
        <f t="shared" si="13"/>
        <v>0</v>
      </c>
      <c r="AA74" s="318">
        <f t="shared" si="14"/>
        <v>0</v>
      </c>
      <c r="AB74" s="318">
        <f t="shared" si="15"/>
        <v>0</v>
      </c>
      <c r="AC74" s="318">
        <f t="shared" si="16"/>
        <v>0</v>
      </c>
      <c r="AD74" s="318">
        <f t="shared" si="17"/>
        <v>0</v>
      </c>
      <c r="AE74" s="318">
        <f t="shared" si="18"/>
        <v>0</v>
      </c>
      <c r="AF74" s="318">
        <f t="shared" si="43"/>
        <v>0</v>
      </c>
      <c r="AG74" s="318">
        <f t="shared" si="44"/>
        <v>0</v>
      </c>
      <c r="AH74" s="318">
        <f t="shared" si="19"/>
        <v>0</v>
      </c>
      <c r="AI74" s="318">
        <f t="shared" si="20"/>
        <v>0</v>
      </c>
      <c r="AJ74" s="318">
        <f t="shared" si="21"/>
        <v>0</v>
      </c>
      <c r="AK74" s="318">
        <f t="shared" si="22"/>
        <v>0</v>
      </c>
      <c r="AL74" s="318">
        <f t="shared" si="23"/>
        <v>0</v>
      </c>
      <c r="AM74" s="318">
        <f t="shared" si="24"/>
        <v>0</v>
      </c>
      <c r="AN74" s="318">
        <f t="shared" si="25"/>
        <v>0</v>
      </c>
      <c r="AO74" s="318">
        <f t="shared" si="26"/>
        <v>0</v>
      </c>
      <c r="AP74" s="318">
        <f t="shared" si="27"/>
        <v>0</v>
      </c>
      <c r="AQ74" s="318">
        <f t="shared" si="28"/>
        <v>0</v>
      </c>
      <c r="AR74" s="318">
        <f t="shared" si="29"/>
        <v>0</v>
      </c>
      <c r="AS74" s="318">
        <f t="shared" si="30"/>
        <v>0</v>
      </c>
      <c r="AT74" s="318">
        <f t="shared" si="31"/>
        <v>0</v>
      </c>
      <c r="AU74" s="318">
        <f t="shared" si="32"/>
        <v>0</v>
      </c>
      <c r="AV74" s="318">
        <f t="shared" si="33"/>
        <v>0</v>
      </c>
      <c r="AW74" s="318">
        <f t="shared" si="34"/>
        <v>0</v>
      </c>
      <c r="AX74" s="318">
        <f t="shared" si="35"/>
        <v>0</v>
      </c>
      <c r="AY74" s="318">
        <f t="shared" si="36"/>
        <v>0</v>
      </c>
      <c r="AZ74" s="318">
        <f t="shared" si="37"/>
        <v>0</v>
      </c>
      <c r="BA74" s="318">
        <f t="shared" si="38"/>
        <v>0</v>
      </c>
    </row>
    <row r="75" spans="1:53" s="315" customFormat="1" ht="15" customHeight="1">
      <c r="A75" s="63" t="str">
        <f t="array" ref="A75">IF(C75&lt;&gt;0,SUM(($C$11:C75&lt;&gt;0)*1),"")</f>
        <v/>
      </c>
      <c r="B75" s="316"/>
      <c r="C75" s="316"/>
      <c r="D75" s="316"/>
      <c r="E75" s="436"/>
      <c r="F75" s="372"/>
      <c r="G75" s="374"/>
      <c r="H75" s="374"/>
      <c r="I75" s="63" t="str">
        <f t="shared" si="45"/>
        <v/>
      </c>
      <c r="J75" s="318">
        <f t="shared" ref="J75:J138" si="46">IF($G75="1111",$F75,0)</f>
        <v>0</v>
      </c>
      <c r="K75" s="318">
        <f t="shared" ref="K75:K138" si="47">IF($H75="1111",$F75,0)</f>
        <v>0</v>
      </c>
      <c r="L75" s="318">
        <f t="shared" ref="L75:L138" si="48">IF($G75="1121",$F75,0)</f>
        <v>0</v>
      </c>
      <c r="M75" s="318">
        <f t="shared" ref="M75:M138" si="49">IF($H75="1121",$F75,0)</f>
        <v>0</v>
      </c>
      <c r="N75" s="318">
        <f t="shared" si="39"/>
        <v>0</v>
      </c>
      <c r="O75" s="318">
        <f t="shared" si="40"/>
        <v>0</v>
      </c>
      <c r="P75" s="318">
        <f t="shared" ref="P75:P138" si="50">IF($G75="1331",$F75,0)</f>
        <v>0</v>
      </c>
      <c r="Q75" s="318">
        <f t="shared" ref="Q75:Q138" si="51">IF($H75="1331",$F75,0)</f>
        <v>0</v>
      </c>
      <c r="R75" s="318">
        <f t="shared" ref="R75:R138" si="52">IF($G75="1388",$F75,0)</f>
        <v>0</v>
      </c>
      <c r="S75" s="318">
        <f t="shared" ref="S75:S138" si="53">IF($H75="1388",$F75,0)</f>
        <v>0</v>
      </c>
      <c r="T75" s="318">
        <f t="shared" si="41"/>
        <v>0</v>
      </c>
      <c r="U75" s="318">
        <f t="shared" si="42"/>
        <v>0</v>
      </c>
      <c r="V75" s="318">
        <f t="shared" ref="V75:V138" si="54">IF($G75="331",$F75,0)</f>
        <v>0</v>
      </c>
      <c r="W75" s="318">
        <f t="shared" ref="W75:W138" si="55">IF($H75="331",$F75,0)</f>
        <v>0</v>
      </c>
      <c r="X75" s="318">
        <f t="shared" ref="X75:X138" si="56">IF($G75="3334",$F75,0)</f>
        <v>0</v>
      </c>
      <c r="Y75" s="318">
        <f t="shared" ref="Y75:Y138" si="57">IF($H75="3334",$F75,0)</f>
        <v>0</v>
      </c>
      <c r="Z75" s="318">
        <f t="shared" ref="Z75:Z138" si="58">IF($G75="33382",$F75,0)</f>
        <v>0</v>
      </c>
      <c r="AA75" s="318">
        <f t="shared" ref="AA75:AA138" si="59">IF($H75="33382",$F75,0)</f>
        <v>0</v>
      </c>
      <c r="AB75" s="318">
        <f t="shared" ref="AB75:AB138" si="60">IF($G75="3388",$F75,0)</f>
        <v>0</v>
      </c>
      <c r="AC75" s="318">
        <f t="shared" ref="AC75:AC138" si="61">IF($H75="3388",$F75,0)</f>
        <v>0</v>
      </c>
      <c r="AD75" s="318">
        <f t="shared" ref="AD75:AD138" si="62">IF($G75="3411",$F75,0)</f>
        <v>0</v>
      </c>
      <c r="AE75" s="318">
        <f t="shared" ref="AE75:AE138" si="63">IF($H75="3411",$F75,0)</f>
        <v>0</v>
      </c>
      <c r="AF75" s="318">
        <f t="shared" si="43"/>
        <v>0</v>
      </c>
      <c r="AG75" s="318">
        <f t="shared" si="44"/>
        <v>0</v>
      </c>
      <c r="AH75" s="318">
        <f t="shared" ref="AH75:AH138" si="64">IF($G75="4111",$F75,0)</f>
        <v>0</v>
      </c>
      <c r="AI75" s="318">
        <f t="shared" ref="AI75:AI138" si="65">IF($H75="4111",$F75,0)</f>
        <v>0</v>
      </c>
      <c r="AJ75" s="318">
        <f t="shared" ref="AJ75:AJ138" si="66">IF($G75="4211",$F75,0)</f>
        <v>0</v>
      </c>
      <c r="AK75" s="318">
        <f t="shared" ref="AK75:AK138" si="67">IF($H75="4211",$F75,0)</f>
        <v>0</v>
      </c>
      <c r="AL75" s="318">
        <f t="shared" ref="AL75:AL138" si="68">IF($G75="4212",$F75,0)</f>
        <v>0</v>
      </c>
      <c r="AM75" s="318">
        <f t="shared" ref="AM75:AM138" si="69">IF($H75="4212",$F75,0)</f>
        <v>0</v>
      </c>
      <c r="AN75" s="318">
        <f t="shared" ref="AN75:AN138" si="70">IF($G75="515",$F75,0)</f>
        <v>0</v>
      </c>
      <c r="AO75" s="318">
        <f t="shared" ref="AO75:AO138" si="71">IF($H75="515",$F75,0)</f>
        <v>0</v>
      </c>
      <c r="AP75" s="318">
        <f t="shared" ref="AP75:AP138" si="72">IF($G75="635",$F75,0)</f>
        <v>0</v>
      </c>
      <c r="AQ75" s="318">
        <f t="shared" ref="AQ75:AQ138" si="73">IF($H75="635",$F75,0)</f>
        <v>0</v>
      </c>
      <c r="AR75" s="318">
        <f t="shared" ref="AR75:AR138" si="74">IF($G75="642",$F75,0)</f>
        <v>0</v>
      </c>
      <c r="AS75" s="318">
        <f t="shared" ref="AS75:AS138" si="75">IF($H75="642",$F75,0)</f>
        <v>0</v>
      </c>
      <c r="AT75" s="318">
        <f t="shared" ref="AT75:AT138" si="76">IF($G75="711",$F75,0)</f>
        <v>0</v>
      </c>
      <c r="AU75" s="318">
        <f t="shared" ref="AU75:AU138" si="77">IF($H75="711",$F75,0)</f>
        <v>0</v>
      </c>
      <c r="AV75" s="318">
        <f t="shared" ref="AV75:AV138" si="78">IF($G75="811",$F75,0)</f>
        <v>0</v>
      </c>
      <c r="AW75" s="318">
        <f t="shared" ref="AW75:AW138" si="79">IF($H75="811",$F75,0)</f>
        <v>0</v>
      </c>
      <c r="AX75" s="318">
        <f t="shared" ref="AX75:AX138" si="80">IF($G75="821",$F75,0)</f>
        <v>0</v>
      </c>
      <c r="AY75" s="318">
        <f t="shared" ref="AY75:AY138" si="81">IF($H75="821",$F75,0)</f>
        <v>0</v>
      </c>
      <c r="AZ75" s="318">
        <f t="shared" ref="AZ75:AZ138" si="82">IF($G75="911",$F75,0)</f>
        <v>0</v>
      </c>
      <c r="BA75" s="318">
        <f t="shared" ref="BA75:BA138" si="83">IF($H75="911",$F75,0)</f>
        <v>0</v>
      </c>
    </row>
    <row r="76" spans="1:53" s="315" customFormat="1" ht="15" customHeight="1">
      <c r="A76" s="63" t="str">
        <f t="array" ref="A76">IF(C76&lt;&gt;0,SUM(($C$11:C76&lt;&gt;0)*1),"")</f>
        <v/>
      </c>
      <c r="B76" s="316"/>
      <c r="C76" s="316"/>
      <c r="D76" s="316"/>
      <c r="E76" s="436"/>
      <c r="F76" s="372"/>
      <c r="G76" s="374"/>
      <c r="H76" s="374"/>
      <c r="I76" s="63" t="str">
        <f t="shared" si="45"/>
        <v/>
      </c>
      <c r="J76" s="318">
        <f t="shared" si="46"/>
        <v>0</v>
      </c>
      <c r="K76" s="318">
        <f t="shared" si="47"/>
        <v>0</v>
      </c>
      <c r="L76" s="318">
        <f t="shared" si="48"/>
        <v>0</v>
      </c>
      <c r="M76" s="318">
        <f t="shared" si="49"/>
        <v>0</v>
      </c>
      <c r="N76" s="318">
        <f t="shared" ref="N76:N139" si="84">IF($G76="1122",$F76,0)</f>
        <v>0</v>
      </c>
      <c r="O76" s="318">
        <f t="shared" ref="O76:O139" si="85">IF($H76="1122",$F76,0)</f>
        <v>0</v>
      </c>
      <c r="P76" s="318">
        <f t="shared" si="50"/>
        <v>0</v>
      </c>
      <c r="Q76" s="318">
        <f t="shared" si="51"/>
        <v>0</v>
      </c>
      <c r="R76" s="318">
        <f t="shared" si="52"/>
        <v>0</v>
      </c>
      <c r="S76" s="318">
        <f t="shared" si="53"/>
        <v>0</v>
      </c>
      <c r="T76" s="318">
        <f t="shared" ref="T76:T139" si="86">IF($G76="2412",$F76,0)</f>
        <v>0</v>
      </c>
      <c r="U76" s="318">
        <f t="shared" ref="U76:U139" si="87">IF($H76="2412",$F76,0)</f>
        <v>0</v>
      </c>
      <c r="V76" s="318">
        <f t="shared" si="54"/>
        <v>0</v>
      </c>
      <c r="W76" s="318">
        <f t="shared" si="55"/>
        <v>0</v>
      </c>
      <c r="X76" s="318">
        <f t="shared" si="56"/>
        <v>0</v>
      </c>
      <c r="Y76" s="318">
        <f t="shared" si="57"/>
        <v>0</v>
      </c>
      <c r="Z76" s="318">
        <f t="shared" si="58"/>
        <v>0</v>
      </c>
      <c r="AA76" s="318">
        <f t="shared" si="59"/>
        <v>0</v>
      </c>
      <c r="AB76" s="318">
        <f t="shared" si="60"/>
        <v>0</v>
      </c>
      <c r="AC76" s="318">
        <f t="shared" si="61"/>
        <v>0</v>
      </c>
      <c r="AD76" s="318">
        <f t="shared" si="62"/>
        <v>0</v>
      </c>
      <c r="AE76" s="318">
        <f t="shared" si="63"/>
        <v>0</v>
      </c>
      <c r="AF76" s="318">
        <f t="shared" ref="AF76:AF139" si="88">IF($G76="3412",$F76,0)</f>
        <v>0</v>
      </c>
      <c r="AG76" s="318">
        <f t="shared" ref="AG76:AG139" si="89">IF($H76="3412",$F76,0)</f>
        <v>0</v>
      </c>
      <c r="AH76" s="318">
        <f t="shared" si="64"/>
        <v>0</v>
      </c>
      <c r="AI76" s="318">
        <f t="shared" si="65"/>
        <v>0</v>
      </c>
      <c r="AJ76" s="318">
        <f t="shared" si="66"/>
        <v>0</v>
      </c>
      <c r="AK76" s="318">
        <f t="shared" si="67"/>
        <v>0</v>
      </c>
      <c r="AL76" s="318">
        <f t="shared" si="68"/>
        <v>0</v>
      </c>
      <c r="AM76" s="318">
        <f t="shared" si="69"/>
        <v>0</v>
      </c>
      <c r="AN76" s="318">
        <f t="shared" si="70"/>
        <v>0</v>
      </c>
      <c r="AO76" s="318">
        <f t="shared" si="71"/>
        <v>0</v>
      </c>
      <c r="AP76" s="318">
        <f t="shared" si="72"/>
        <v>0</v>
      </c>
      <c r="AQ76" s="318">
        <f t="shared" si="73"/>
        <v>0</v>
      </c>
      <c r="AR76" s="318">
        <f t="shared" si="74"/>
        <v>0</v>
      </c>
      <c r="AS76" s="318">
        <f t="shared" si="75"/>
        <v>0</v>
      </c>
      <c r="AT76" s="318">
        <f t="shared" si="76"/>
        <v>0</v>
      </c>
      <c r="AU76" s="318">
        <f t="shared" si="77"/>
        <v>0</v>
      </c>
      <c r="AV76" s="318">
        <f t="shared" si="78"/>
        <v>0</v>
      </c>
      <c r="AW76" s="318">
        <f t="shared" si="79"/>
        <v>0</v>
      </c>
      <c r="AX76" s="318">
        <f t="shared" si="80"/>
        <v>0</v>
      </c>
      <c r="AY76" s="318">
        <f t="shared" si="81"/>
        <v>0</v>
      </c>
      <c r="AZ76" s="318">
        <f t="shared" si="82"/>
        <v>0</v>
      </c>
      <c r="BA76" s="318">
        <f t="shared" si="83"/>
        <v>0</v>
      </c>
    </row>
    <row r="77" spans="1:53" s="315" customFormat="1" ht="15" customHeight="1">
      <c r="A77" s="63" t="str">
        <f t="array" ref="A77">IF(C77&lt;&gt;0,SUM(($C$11:C77&lt;&gt;0)*1),"")</f>
        <v/>
      </c>
      <c r="B77" s="316"/>
      <c r="C77" s="316"/>
      <c r="D77" s="316"/>
      <c r="E77" s="436"/>
      <c r="F77" s="372"/>
      <c r="G77" s="374"/>
      <c r="H77" s="374"/>
      <c r="I77" s="63" t="str">
        <f t="shared" si="45"/>
        <v/>
      </c>
      <c r="J77" s="318">
        <f t="shared" si="46"/>
        <v>0</v>
      </c>
      <c r="K77" s="318">
        <f t="shared" si="47"/>
        <v>0</v>
      </c>
      <c r="L77" s="318">
        <f t="shared" si="48"/>
        <v>0</v>
      </c>
      <c r="M77" s="318">
        <f t="shared" si="49"/>
        <v>0</v>
      </c>
      <c r="N77" s="318">
        <f t="shared" si="84"/>
        <v>0</v>
      </c>
      <c r="O77" s="318">
        <f t="shared" si="85"/>
        <v>0</v>
      </c>
      <c r="P77" s="318">
        <f t="shared" si="50"/>
        <v>0</v>
      </c>
      <c r="Q77" s="318">
        <f t="shared" si="51"/>
        <v>0</v>
      </c>
      <c r="R77" s="318">
        <f t="shared" si="52"/>
        <v>0</v>
      </c>
      <c r="S77" s="318">
        <f t="shared" si="53"/>
        <v>0</v>
      </c>
      <c r="T77" s="318">
        <f t="shared" si="86"/>
        <v>0</v>
      </c>
      <c r="U77" s="318">
        <f t="shared" si="87"/>
        <v>0</v>
      </c>
      <c r="V77" s="318">
        <f t="shared" si="54"/>
        <v>0</v>
      </c>
      <c r="W77" s="318">
        <f t="shared" si="55"/>
        <v>0</v>
      </c>
      <c r="X77" s="318">
        <f t="shared" si="56"/>
        <v>0</v>
      </c>
      <c r="Y77" s="318">
        <f t="shared" si="57"/>
        <v>0</v>
      </c>
      <c r="Z77" s="318">
        <f t="shared" si="58"/>
        <v>0</v>
      </c>
      <c r="AA77" s="318">
        <f t="shared" si="59"/>
        <v>0</v>
      </c>
      <c r="AB77" s="318">
        <f t="shared" si="60"/>
        <v>0</v>
      </c>
      <c r="AC77" s="318">
        <f t="shared" si="61"/>
        <v>0</v>
      </c>
      <c r="AD77" s="318">
        <f t="shared" si="62"/>
        <v>0</v>
      </c>
      <c r="AE77" s="318">
        <f t="shared" si="63"/>
        <v>0</v>
      </c>
      <c r="AF77" s="318">
        <f t="shared" si="88"/>
        <v>0</v>
      </c>
      <c r="AG77" s="318">
        <f t="shared" si="89"/>
        <v>0</v>
      </c>
      <c r="AH77" s="318">
        <f t="shared" si="64"/>
        <v>0</v>
      </c>
      <c r="AI77" s="318">
        <f t="shared" si="65"/>
        <v>0</v>
      </c>
      <c r="AJ77" s="318">
        <f t="shared" si="66"/>
        <v>0</v>
      </c>
      <c r="AK77" s="318">
        <f t="shared" si="67"/>
        <v>0</v>
      </c>
      <c r="AL77" s="318">
        <f t="shared" si="68"/>
        <v>0</v>
      </c>
      <c r="AM77" s="318">
        <f t="shared" si="69"/>
        <v>0</v>
      </c>
      <c r="AN77" s="318">
        <f t="shared" si="70"/>
        <v>0</v>
      </c>
      <c r="AO77" s="318">
        <f t="shared" si="71"/>
        <v>0</v>
      </c>
      <c r="AP77" s="318">
        <f t="shared" si="72"/>
        <v>0</v>
      </c>
      <c r="AQ77" s="318">
        <f t="shared" si="73"/>
        <v>0</v>
      </c>
      <c r="AR77" s="318">
        <f t="shared" si="74"/>
        <v>0</v>
      </c>
      <c r="AS77" s="318">
        <f t="shared" si="75"/>
        <v>0</v>
      </c>
      <c r="AT77" s="318">
        <f t="shared" si="76"/>
        <v>0</v>
      </c>
      <c r="AU77" s="318">
        <f t="shared" si="77"/>
        <v>0</v>
      </c>
      <c r="AV77" s="318">
        <f t="shared" si="78"/>
        <v>0</v>
      </c>
      <c r="AW77" s="318">
        <f t="shared" si="79"/>
        <v>0</v>
      </c>
      <c r="AX77" s="318">
        <f t="shared" si="80"/>
        <v>0</v>
      </c>
      <c r="AY77" s="318">
        <f t="shared" si="81"/>
        <v>0</v>
      </c>
      <c r="AZ77" s="318">
        <f t="shared" si="82"/>
        <v>0</v>
      </c>
      <c r="BA77" s="318">
        <f t="shared" si="83"/>
        <v>0</v>
      </c>
    </row>
    <row r="78" spans="1:53" s="315" customFormat="1" ht="15" customHeight="1">
      <c r="A78" s="63" t="str">
        <f t="array" ref="A78">IF(C78&lt;&gt;0,SUM(($C$11:C78&lt;&gt;0)*1),"")</f>
        <v/>
      </c>
      <c r="B78" s="316"/>
      <c r="C78" s="316"/>
      <c r="D78" s="316"/>
      <c r="E78" s="436"/>
      <c r="F78" s="372"/>
      <c r="G78" s="374"/>
      <c r="H78" s="374"/>
      <c r="I78" s="63" t="str">
        <f t="shared" si="45"/>
        <v/>
      </c>
      <c r="J78" s="318">
        <f t="shared" si="46"/>
        <v>0</v>
      </c>
      <c r="K78" s="318">
        <f t="shared" si="47"/>
        <v>0</v>
      </c>
      <c r="L78" s="318">
        <f t="shared" si="48"/>
        <v>0</v>
      </c>
      <c r="M78" s="318">
        <f t="shared" si="49"/>
        <v>0</v>
      </c>
      <c r="N78" s="318">
        <f t="shared" si="84"/>
        <v>0</v>
      </c>
      <c r="O78" s="318">
        <f t="shared" si="85"/>
        <v>0</v>
      </c>
      <c r="P78" s="318">
        <f t="shared" si="50"/>
        <v>0</v>
      </c>
      <c r="Q78" s="318">
        <f t="shared" si="51"/>
        <v>0</v>
      </c>
      <c r="R78" s="318">
        <f t="shared" si="52"/>
        <v>0</v>
      </c>
      <c r="S78" s="318">
        <f t="shared" si="53"/>
        <v>0</v>
      </c>
      <c r="T78" s="318">
        <f t="shared" si="86"/>
        <v>0</v>
      </c>
      <c r="U78" s="318">
        <f t="shared" si="87"/>
        <v>0</v>
      </c>
      <c r="V78" s="318">
        <f t="shared" si="54"/>
        <v>0</v>
      </c>
      <c r="W78" s="318">
        <f t="shared" si="55"/>
        <v>0</v>
      </c>
      <c r="X78" s="318">
        <f t="shared" si="56"/>
        <v>0</v>
      </c>
      <c r="Y78" s="318">
        <f t="shared" si="57"/>
        <v>0</v>
      </c>
      <c r="Z78" s="318">
        <f t="shared" si="58"/>
        <v>0</v>
      </c>
      <c r="AA78" s="318">
        <f t="shared" si="59"/>
        <v>0</v>
      </c>
      <c r="AB78" s="318">
        <f t="shared" si="60"/>
        <v>0</v>
      </c>
      <c r="AC78" s="318">
        <f t="shared" si="61"/>
        <v>0</v>
      </c>
      <c r="AD78" s="318">
        <f t="shared" si="62"/>
        <v>0</v>
      </c>
      <c r="AE78" s="318">
        <f t="shared" si="63"/>
        <v>0</v>
      </c>
      <c r="AF78" s="318">
        <f t="shared" si="88"/>
        <v>0</v>
      </c>
      <c r="AG78" s="318">
        <f t="shared" si="89"/>
        <v>0</v>
      </c>
      <c r="AH78" s="318">
        <f t="shared" si="64"/>
        <v>0</v>
      </c>
      <c r="AI78" s="318">
        <f t="shared" si="65"/>
        <v>0</v>
      </c>
      <c r="AJ78" s="318">
        <f t="shared" si="66"/>
        <v>0</v>
      </c>
      <c r="AK78" s="318">
        <f t="shared" si="67"/>
        <v>0</v>
      </c>
      <c r="AL78" s="318">
        <f t="shared" si="68"/>
        <v>0</v>
      </c>
      <c r="AM78" s="318">
        <f t="shared" si="69"/>
        <v>0</v>
      </c>
      <c r="AN78" s="318">
        <f t="shared" si="70"/>
        <v>0</v>
      </c>
      <c r="AO78" s="318">
        <f t="shared" si="71"/>
        <v>0</v>
      </c>
      <c r="AP78" s="318">
        <f t="shared" si="72"/>
        <v>0</v>
      </c>
      <c r="AQ78" s="318">
        <f t="shared" si="73"/>
        <v>0</v>
      </c>
      <c r="AR78" s="318">
        <f t="shared" si="74"/>
        <v>0</v>
      </c>
      <c r="AS78" s="318">
        <f t="shared" si="75"/>
        <v>0</v>
      </c>
      <c r="AT78" s="318">
        <f t="shared" si="76"/>
        <v>0</v>
      </c>
      <c r="AU78" s="318">
        <f t="shared" si="77"/>
        <v>0</v>
      </c>
      <c r="AV78" s="318">
        <f t="shared" si="78"/>
        <v>0</v>
      </c>
      <c r="AW78" s="318">
        <f t="shared" si="79"/>
        <v>0</v>
      </c>
      <c r="AX78" s="318">
        <f t="shared" si="80"/>
        <v>0</v>
      </c>
      <c r="AY78" s="318">
        <f t="shared" si="81"/>
        <v>0</v>
      </c>
      <c r="AZ78" s="318">
        <f t="shared" si="82"/>
        <v>0</v>
      </c>
      <c r="BA78" s="318">
        <f t="shared" si="83"/>
        <v>0</v>
      </c>
    </row>
    <row r="79" spans="1:53" s="315" customFormat="1" ht="15" customHeight="1">
      <c r="A79" s="63" t="str">
        <f t="array" ref="A79">IF(C79&lt;&gt;0,SUM(($C$11:C79&lt;&gt;0)*1),"")</f>
        <v/>
      </c>
      <c r="B79" s="316"/>
      <c r="C79" s="316"/>
      <c r="D79" s="316"/>
      <c r="E79" s="436"/>
      <c r="F79" s="372"/>
      <c r="G79" s="374"/>
      <c r="H79" s="374"/>
      <c r="I79" s="63" t="str">
        <f>A79</f>
        <v/>
      </c>
      <c r="J79" s="318">
        <f t="shared" si="46"/>
        <v>0</v>
      </c>
      <c r="K79" s="318">
        <f t="shared" si="47"/>
        <v>0</v>
      </c>
      <c r="L79" s="318">
        <f t="shared" si="48"/>
        <v>0</v>
      </c>
      <c r="M79" s="318">
        <f t="shared" si="49"/>
        <v>0</v>
      </c>
      <c r="N79" s="318">
        <f t="shared" si="84"/>
        <v>0</v>
      </c>
      <c r="O79" s="318">
        <f t="shared" si="85"/>
        <v>0</v>
      </c>
      <c r="P79" s="318">
        <f t="shared" si="50"/>
        <v>0</v>
      </c>
      <c r="Q79" s="318">
        <f t="shared" si="51"/>
        <v>0</v>
      </c>
      <c r="R79" s="318">
        <f t="shared" si="52"/>
        <v>0</v>
      </c>
      <c r="S79" s="318">
        <f t="shared" si="53"/>
        <v>0</v>
      </c>
      <c r="T79" s="318">
        <f t="shared" si="86"/>
        <v>0</v>
      </c>
      <c r="U79" s="318">
        <f t="shared" si="87"/>
        <v>0</v>
      </c>
      <c r="V79" s="318">
        <f t="shared" si="54"/>
        <v>0</v>
      </c>
      <c r="W79" s="318">
        <f t="shared" si="55"/>
        <v>0</v>
      </c>
      <c r="X79" s="318">
        <f t="shared" si="56"/>
        <v>0</v>
      </c>
      <c r="Y79" s="318">
        <f t="shared" si="57"/>
        <v>0</v>
      </c>
      <c r="Z79" s="318">
        <f t="shared" si="58"/>
        <v>0</v>
      </c>
      <c r="AA79" s="318">
        <f t="shared" si="59"/>
        <v>0</v>
      </c>
      <c r="AB79" s="318">
        <f t="shared" si="60"/>
        <v>0</v>
      </c>
      <c r="AC79" s="318">
        <f t="shared" si="61"/>
        <v>0</v>
      </c>
      <c r="AD79" s="318">
        <f t="shared" si="62"/>
        <v>0</v>
      </c>
      <c r="AE79" s="318">
        <f t="shared" si="63"/>
        <v>0</v>
      </c>
      <c r="AF79" s="318">
        <f t="shared" si="88"/>
        <v>0</v>
      </c>
      <c r="AG79" s="318">
        <f t="shared" si="89"/>
        <v>0</v>
      </c>
      <c r="AH79" s="318">
        <f t="shared" si="64"/>
        <v>0</v>
      </c>
      <c r="AI79" s="318">
        <f t="shared" si="65"/>
        <v>0</v>
      </c>
      <c r="AJ79" s="318">
        <f t="shared" si="66"/>
        <v>0</v>
      </c>
      <c r="AK79" s="318">
        <f t="shared" si="67"/>
        <v>0</v>
      </c>
      <c r="AL79" s="318">
        <f t="shared" si="68"/>
        <v>0</v>
      </c>
      <c r="AM79" s="318">
        <f t="shared" si="69"/>
        <v>0</v>
      </c>
      <c r="AN79" s="318">
        <f t="shared" si="70"/>
        <v>0</v>
      </c>
      <c r="AO79" s="318">
        <f t="shared" si="71"/>
        <v>0</v>
      </c>
      <c r="AP79" s="318">
        <f t="shared" si="72"/>
        <v>0</v>
      </c>
      <c r="AQ79" s="318">
        <f t="shared" si="73"/>
        <v>0</v>
      </c>
      <c r="AR79" s="318">
        <f t="shared" si="74"/>
        <v>0</v>
      </c>
      <c r="AS79" s="318">
        <f t="shared" si="75"/>
        <v>0</v>
      </c>
      <c r="AT79" s="318">
        <f t="shared" si="76"/>
        <v>0</v>
      </c>
      <c r="AU79" s="318">
        <f t="shared" si="77"/>
        <v>0</v>
      </c>
      <c r="AV79" s="318">
        <f t="shared" si="78"/>
        <v>0</v>
      </c>
      <c r="AW79" s="318">
        <f t="shared" si="79"/>
        <v>0</v>
      </c>
      <c r="AX79" s="318">
        <f t="shared" si="80"/>
        <v>0</v>
      </c>
      <c r="AY79" s="318">
        <f t="shared" si="81"/>
        <v>0</v>
      </c>
      <c r="AZ79" s="318">
        <f t="shared" si="82"/>
        <v>0</v>
      </c>
      <c r="BA79" s="318">
        <f t="shared" si="83"/>
        <v>0</v>
      </c>
    </row>
    <row r="80" spans="1:53" s="315" customFormat="1" ht="15" customHeight="1">
      <c r="A80" s="63" t="str">
        <f t="array" ref="A80">IF(C80&lt;&gt;0,SUM(($C$11:C80&lt;&gt;0)*1),"")</f>
        <v/>
      </c>
      <c r="B80" s="316"/>
      <c r="C80" s="316"/>
      <c r="D80" s="316"/>
      <c r="E80" s="436"/>
      <c r="F80" s="372"/>
      <c r="G80" s="374"/>
      <c r="H80" s="374"/>
      <c r="I80" s="63" t="str">
        <f>A80</f>
        <v/>
      </c>
      <c r="J80" s="318">
        <f t="shared" si="46"/>
        <v>0</v>
      </c>
      <c r="K80" s="318">
        <f t="shared" si="47"/>
        <v>0</v>
      </c>
      <c r="L80" s="318">
        <f t="shared" si="48"/>
        <v>0</v>
      </c>
      <c r="M80" s="318">
        <f t="shared" si="49"/>
        <v>0</v>
      </c>
      <c r="N80" s="318">
        <f t="shared" si="84"/>
        <v>0</v>
      </c>
      <c r="O80" s="318">
        <f t="shared" si="85"/>
        <v>0</v>
      </c>
      <c r="P80" s="318">
        <f t="shared" si="50"/>
        <v>0</v>
      </c>
      <c r="Q80" s="318">
        <f t="shared" si="51"/>
        <v>0</v>
      </c>
      <c r="R80" s="318">
        <f t="shared" si="52"/>
        <v>0</v>
      </c>
      <c r="S80" s="318">
        <f t="shared" si="53"/>
        <v>0</v>
      </c>
      <c r="T80" s="318">
        <f t="shared" si="86"/>
        <v>0</v>
      </c>
      <c r="U80" s="318">
        <f t="shared" si="87"/>
        <v>0</v>
      </c>
      <c r="V80" s="318">
        <f t="shared" si="54"/>
        <v>0</v>
      </c>
      <c r="W80" s="318">
        <f t="shared" si="55"/>
        <v>0</v>
      </c>
      <c r="X80" s="318">
        <f t="shared" si="56"/>
        <v>0</v>
      </c>
      <c r="Y80" s="318">
        <f t="shared" si="57"/>
        <v>0</v>
      </c>
      <c r="Z80" s="318">
        <f t="shared" si="58"/>
        <v>0</v>
      </c>
      <c r="AA80" s="318">
        <f t="shared" si="59"/>
        <v>0</v>
      </c>
      <c r="AB80" s="318">
        <f t="shared" si="60"/>
        <v>0</v>
      </c>
      <c r="AC80" s="318">
        <f t="shared" si="61"/>
        <v>0</v>
      </c>
      <c r="AD80" s="318">
        <f t="shared" si="62"/>
        <v>0</v>
      </c>
      <c r="AE80" s="318">
        <f t="shared" si="63"/>
        <v>0</v>
      </c>
      <c r="AF80" s="318">
        <f t="shared" si="88"/>
        <v>0</v>
      </c>
      <c r="AG80" s="318">
        <f t="shared" si="89"/>
        <v>0</v>
      </c>
      <c r="AH80" s="318">
        <f t="shared" si="64"/>
        <v>0</v>
      </c>
      <c r="AI80" s="318">
        <f t="shared" si="65"/>
        <v>0</v>
      </c>
      <c r="AJ80" s="318">
        <f t="shared" si="66"/>
        <v>0</v>
      </c>
      <c r="AK80" s="318">
        <f t="shared" si="67"/>
        <v>0</v>
      </c>
      <c r="AL80" s="318">
        <f t="shared" si="68"/>
        <v>0</v>
      </c>
      <c r="AM80" s="318">
        <f t="shared" si="69"/>
        <v>0</v>
      </c>
      <c r="AN80" s="318">
        <f t="shared" si="70"/>
        <v>0</v>
      </c>
      <c r="AO80" s="318">
        <f t="shared" si="71"/>
        <v>0</v>
      </c>
      <c r="AP80" s="318">
        <f t="shared" si="72"/>
        <v>0</v>
      </c>
      <c r="AQ80" s="318">
        <f t="shared" si="73"/>
        <v>0</v>
      </c>
      <c r="AR80" s="318">
        <f t="shared" si="74"/>
        <v>0</v>
      </c>
      <c r="AS80" s="318">
        <f t="shared" si="75"/>
        <v>0</v>
      </c>
      <c r="AT80" s="318">
        <f t="shared" si="76"/>
        <v>0</v>
      </c>
      <c r="AU80" s="318">
        <f t="shared" si="77"/>
        <v>0</v>
      </c>
      <c r="AV80" s="318">
        <f t="shared" si="78"/>
        <v>0</v>
      </c>
      <c r="AW80" s="318">
        <f t="shared" si="79"/>
        <v>0</v>
      </c>
      <c r="AX80" s="318">
        <f t="shared" si="80"/>
        <v>0</v>
      </c>
      <c r="AY80" s="318">
        <f t="shared" si="81"/>
        <v>0</v>
      </c>
      <c r="AZ80" s="318">
        <f t="shared" si="82"/>
        <v>0</v>
      </c>
      <c r="BA80" s="318">
        <f t="shared" si="83"/>
        <v>0</v>
      </c>
    </row>
    <row r="81" spans="1:53" s="315" customFormat="1" ht="15" customHeight="1">
      <c r="A81" s="63" t="str">
        <f t="array" ref="A81">IF(C81&lt;&gt;0,SUM(($C$11:C81&lt;&gt;0)*1),"")</f>
        <v/>
      </c>
      <c r="B81" s="316"/>
      <c r="C81" s="316"/>
      <c r="D81" s="316"/>
      <c r="E81" s="436"/>
      <c r="F81" s="372"/>
      <c r="G81" s="374"/>
      <c r="H81" s="374"/>
      <c r="I81" s="63" t="str">
        <f t="shared" ref="I81:I144" si="90">A81</f>
        <v/>
      </c>
      <c r="J81" s="318">
        <f t="shared" si="46"/>
        <v>0</v>
      </c>
      <c r="K81" s="318">
        <f t="shared" si="47"/>
        <v>0</v>
      </c>
      <c r="L81" s="318">
        <f t="shared" si="48"/>
        <v>0</v>
      </c>
      <c r="M81" s="318">
        <f t="shared" si="49"/>
        <v>0</v>
      </c>
      <c r="N81" s="318">
        <f t="shared" si="84"/>
        <v>0</v>
      </c>
      <c r="O81" s="318">
        <f t="shared" si="85"/>
        <v>0</v>
      </c>
      <c r="P81" s="318">
        <f t="shared" si="50"/>
        <v>0</v>
      </c>
      <c r="Q81" s="318">
        <f t="shared" si="51"/>
        <v>0</v>
      </c>
      <c r="R81" s="318">
        <f t="shared" si="52"/>
        <v>0</v>
      </c>
      <c r="S81" s="318">
        <f t="shared" si="53"/>
        <v>0</v>
      </c>
      <c r="T81" s="318">
        <f t="shared" si="86"/>
        <v>0</v>
      </c>
      <c r="U81" s="318">
        <f t="shared" si="87"/>
        <v>0</v>
      </c>
      <c r="V81" s="318">
        <f t="shared" si="54"/>
        <v>0</v>
      </c>
      <c r="W81" s="318">
        <f t="shared" si="55"/>
        <v>0</v>
      </c>
      <c r="X81" s="318">
        <f t="shared" si="56"/>
        <v>0</v>
      </c>
      <c r="Y81" s="318">
        <f t="shared" si="57"/>
        <v>0</v>
      </c>
      <c r="Z81" s="318">
        <f t="shared" si="58"/>
        <v>0</v>
      </c>
      <c r="AA81" s="318">
        <f t="shared" si="59"/>
        <v>0</v>
      </c>
      <c r="AB81" s="318">
        <f t="shared" si="60"/>
        <v>0</v>
      </c>
      <c r="AC81" s="318">
        <f t="shared" si="61"/>
        <v>0</v>
      </c>
      <c r="AD81" s="318">
        <f t="shared" si="62"/>
        <v>0</v>
      </c>
      <c r="AE81" s="318">
        <f t="shared" si="63"/>
        <v>0</v>
      </c>
      <c r="AF81" s="318">
        <f t="shared" si="88"/>
        <v>0</v>
      </c>
      <c r="AG81" s="318">
        <f t="shared" si="89"/>
        <v>0</v>
      </c>
      <c r="AH81" s="318">
        <f t="shared" si="64"/>
        <v>0</v>
      </c>
      <c r="AI81" s="318">
        <f t="shared" si="65"/>
        <v>0</v>
      </c>
      <c r="AJ81" s="318">
        <f t="shared" si="66"/>
        <v>0</v>
      </c>
      <c r="AK81" s="318">
        <f t="shared" si="67"/>
        <v>0</v>
      </c>
      <c r="AL81" s="318">
        <f t="shared" si="68"/>
        <v>0</v>
      </c>
      <c r="AM81" s="318">
        <f t="shared" si="69"/>
        <v>0</v>
      </c>
      <c r="AN81" s="318">
        <f t="shared" si="70"/>
        <v>0</v>
      </c>
      <c r="AO81" s="318">
        <f t="shared" si="71"/>
        <v>0</v>
      </c>
      <c r="AP81" s="318">
        <f t="shared" si="72"/>
        <v>0</v>
      </c>
      <c r="AQ81" s="318">
        <f t="shared" si="73"/>
        <v>0</v>
      </c>
      <c r="AR81" s="318">
        <f t="shared" si="74"/>
        <v>0</v>
      </c>
      <c r="AS81" s="318">
        <f t="shared" si="75"/>
        <v>0</v>
      </c>
      <c r="AT81" s="318">
        <f t="shared" si="76"/>
        <v>0</v>
      </c>
      <c r="AU81" s="318">
        <f t="shared" si="77"/>
        <v>0</v>
      </c>
      <c r="AV81" s="318">
        <f t="shared" si="78"/>
        <v>0</v>
      </c>
      <c r="AW81" s="318">
        <f t="shared" si="79"/>
        <v>0</v>
      </c>
      <c r="AX81" s="318">
        <f t="shared" si="80"/>
        <v>0</v>
      </c>
      <c r="AY81" s="318">
        <f t="shared" si="81"/>
        <v>0</v>
      </c>
      <c r="AZ81" s="318">
        <f t="shared" si="82"/>
        <v>0</v>
      </c>
      <c r="BA81" s="318">
        <f t="shared" si="83"/>
        <v>0</v>
      </c>
    </row>
    <row r="82" spans="1:53" s="315" customFormat="1" ht="15" customHeight="1">
      <c r="A82" s="63" t="str">
        <f t="array" ref="A82">IF(C82&lt;&gt;0,SUM(($C$11:C82&lt;&gt;0)*1),"")</f>
        <v/>
      </c>
      <c r="B82" s="316"/>
      <c r="C82" s="316"/>
      <c r="D82" s="316"/>
      <c r="E82" s="436"/>
      <c r="F82" s="372"/>
      <c r="G82" s="374"/>
      <c r="H82" s="374"/>
      <c r="I82" s="63" t="str">
        <f t="shared" si="90"/>
        <v/>
      </c>
      <c r="J82" s="318">
        <f t="shared" si="46"/>
        <v>0</v>
      </c>
      <c r="K82" s="318">
        <f t="shared" si="47"/>
        <v>0</v>
      </c>
      <c r="L82" s="318">
        <f t="shared" si="48"/>
        <v>0</v>
      </c>
      <c r="M82" s="318">
        <f t="shared" si="49"/>
        <v>0</v>
      </c>
      <c r="N82" s="318">
        <f t="shared" si="84"/>
        <v>0</v>
      </c>
      <c r="O82" s="318">
        <f t="shared" si="85"/>
        <v>0</v>
      </c>
      <c r="P82" s="318">
        <f t="shared" si="50"/>
        <v>0</v>
      </c>
      <c r="Q82" s="318">
        <f t="shared" si="51"/>
        <v>0</v>
      </c>
      <c r="R82" s="318">
        <f t="shared" si="52"/>
        <v>0</v>
      </c>
      <c r="S82" s="318">
        <f t="shared" si="53"/>
        <v>0</v>
      </c>
      <c r="T82" s="318">
        <f t="shared" si="86"/>
        <v>0</v>
      </c>
      <c r="U82" s="318">
        <f t="shared" si="87"/>
        <v>0</v>
      </c>
      <c r="V82" s="318">
        <f t="shared" si="54"/>
        <v>0</v>
      </c>
      <c r="W82" s="318">
        <f t="shared" si="55"/>
        <v>0</v>
      </c>
      <c r="X82" s="318">
        <f t="shared" si="56"/>
        <v>0</v>
      </c>
      <c r="Y82" s="318">
        <f t="shared" si="57"/>
        <v>0</v>
      </c>
      <c r="Z82" s="318">
        <f t="shared" si="58"/>
        <v>0</v>
      </c>
      <c r="AA82" s="318">
        <f t="shared" si="59"/>
        <v>0</v>
      </c>
      <c r="AB82" s="318">
        <f t="shared" si="60"/>
        <v>0</v>
      </c>
      <c r="AC82" s="318">
        <f t="shared" si="61"/>
        <v>0</v>
      </c>
      <c r="AD82" s="318">
        <f t="shared" si="62"/>
        <v>0</v>
      </c>
      <c r="AE82" s="318">
        <f t="shared" si="63"/>
        <v>0</v>
      </c>
      <c r="AF82" s="318">
        <f t="shared" si="88"/>
        <v>0</v>
      </c>
      <c r="AG82" s="318">
        <f t="shared" si="89"/>
        <v>0</v>
      </c>
      <c r="AH82" s="318">
        <f t="shared" si="64"/>
        <v>0</v>
      </c>
      <c r="AI82" s="318">
        <f t="shared" si="65"/>
        <v>0</v>
      </c>
      <c r="AJ82" s="318">
        <f t="shared" si="66"/>
        <v>0</v>
      </c>
      <c r="AK82" s="318">
        <f t="shared" si="67"/>
        <v>0</v>
      </c>
      <c r="AL82" s="318">
        <f t="shared" si="68"/>
        <v>0</v>
      </c>
      <c r="AM82" s="318">
        <f t="shared" si="69"/>
        <v>0</v>
      </c>
      <c r="AN82" s="318">
        <f t="shared" si="70"/>
        <v>0</v>
      </c>
      <c r="AO82" s="318">
        <f t="shared" si="71"/>
        <v>0</v>
      </c>
      <c r="AP82" s="318">
        <f t="shared" si="72"/>
        <v>0</v>
      </c>
      <c r="AQ82" s="318">
        <f t="shared" si="73"/>
        <v>0</v>
      </c>
      <c r="AR82" s="318">
        <f t="shared" si="74"/>
        <v>0</v>
      </c>
      <c r="AS82" s="318">
        <f t="shared" si="75"/>
        <v>0</v>
      </c>
      <c r="AT82" s="318">
        <f t="shared" si="76"/>
        <v>0</v>
      </c>
      <c r="AU82" s="318">
        <f t="shared" si="77"/>
        <v>0</v>
      </c>
      <c r="AV82" s="318">
        <f t="shared" si="78"/>
        <v>0</v>
      </c>
      <c r="AW82" s="318">
        <f t="shared" si="79"/>
        <v>0</v>
      </c>
      <c r="AX82" s="318">
        <f t="shared" si="80"/>
        <v>0</v>
      </c>
      <c r="AY82" s="318">
        <f t="shared" si="81"/>
        <v>0</v>
      </c>
      <c r="AZ82" s="318">
        <f t="shared" si="82"/>
        <v>0</v>
      </c>
      <c r="BA82" s="318">
        <f t="shared" si="83"/>
        <v>0</v>
      </c>
    </row>
    <row r="83" spans="1:53" s="315" customFormat="1" ht="15" customHeight="1">
      <c r="A83" s="63" t="str">
        <f t="array" ref="A83">IF(C83&lt;&gt;0,SUM(($C$11:C83&lt;&gt;0)*1),"")</f>
        <v/>
      </c>
      <c r="B83" s="316"/>
      <c r="C83" s="316"/>
      <c r="D83" s="316"/>
      <c r="E83" s="436"/>
      <c r="F83" s="372"/>
      <c r="G83" s="374"/>
      <c r="H83" s="374"/>
      <c r="I83" s="63" t="str">
        <f t="shared" si="90"/>
        <v/>
      </c>
      <c r="J83" s="318">
        <f t="shared" si="46"/>
        <v>0</v>
      </c>
      <c r="K83" s="318">
        <f t="shared" si="47"/>
        <v>0</v>
      </c>
      <c r="L83" s="318">
        <f t="shared" si="48"/>
        <v>0</v>
      </c>
      <c r="M83" s="318">
        <f t="shared" si="49"/>
        <v>0</v>
      </c>
      <c r="N83" s="318">
        <f t="shared" si="84"/>
        <v>0</v>
      </c>
      <c r="O83" s="318">
        <f t="shared" si="85"/>
        <v>0</v>
      </c>
      <c r="P83" s="318">
        <f t="shared" si="50"/>
        <v>0</v>
      </c>
      <c r="Q83" s="318">
        <f t="shared" si="51"/>
        <v>0</v>
      </c>
      <c r="R83" s="318">
        <f t="shared" si="52"/>
        <v>0</v>
      </c>
      <c r="S83" s="318">
        <f t="shared" si="53"/>
        <v>0</v>
      </c>
      <c r="T83" s="318">
        <f t="shared" si="86"/>
        <v>0</v>
      </c>
      <c r="U83" s="318">
        <f t="shared" si="87"/>
        <v>0</v>
      </c>
      <c r="V83" s="318">
        <f t="shared" si="54"/>
        <v>0</v>
      </c>
      <c r="W83" s="318">
        <f t="shared" si="55"/>
        <v>0</v>
      </c>
      <c r="X83" s="318">
        <f t="shared" si="56"/>
        <v>0</v>
      </c>
      <c r="Y83" s="318">
        <f t="shared" si="57"/>
        <v>0</v>
      </c>
      <c r="Z83" s="318">
        <f t="shared" si="58"/>
        <v>0</v>
      </c>
      <c r="AA83" s="318">
        <f t="shared" si="59"/>
        <v>0</v>
      </c>
      <c r="AB83" s="318">
        <f t="shared" si="60"/>
        <v>0</v>
      </c>
      <c r="AC83" s="318">
        <f t="shared" si="61"/>
        <v>0</v>
      </c>
      <c r="AD83" s="318">
        <f t="shared" si="62"/>
        <v>0</v>
      </c>
      <c r="AE83" s="318">
        <f t="shared" si="63"/>
        <v>0</v>
      </c>
      <c r="AF83" s="318">
        <f t="shared" si="88"/>
        <v>0</v>
      </c>
      <c r="AG83" s="318">
        <f t="shared" si="89"/>
        <v>0</v>
      </c>
      <c r="AH83" s="318">
        <f t="shared" si="64"/>
        <v>0</v>
      </c>
      <c r="AI83" s="318">
        <f t="shared" si="65"/>
        <v>0</v>
      </c>
      <c r="AJ83" s="318">
        <f t="shared" si="66"/>
        <v>0</v>
      </c>
      <c r="AK83" s="318">
        <f t="shared" si="67"/>
        <v>0</v>
      </c>
      <c r="AL83" s="318">
        <f t="shared" si="68"/>
        <v>0</v>
      </c>
      <c r="AM83" s="318">
        <f t="shared" si="69"/>
        <v>0</v>
      </c>
      <c r="AN83" s="318">
        <f t="shared" si="70"/>
        <v>0</v>
      </c>
      <c r="AO83" s="318">
        <f t="shared" si="71"/>
        <v>0</v>
      </c>
      <c r="AP83" s="318">
        <f t="shared" si="72"/>
        <v>0</v>
      </c>
      <c r="AQ83" s="318">
        <f t="shared" si="73"/>
        <v>0</v>
      </c>
      <c r="AR83" s="318">
        <f t="shared" si="74"/>
        <v>0</v>
      </c>
      <c r="AS83" s="318">
        <f t="shared" si="75"/>
        <v>0</v>
      </c>
      <c r="AT83" s="318">
        <f t="shared" si="76"/>
        <v>0</v>
      </c>
      <c r="AU83" s="318">
        <f t="shared" si="77"/>
        <v>0</v>
      </c>
      <c r="AV83" s="318">
        <f t="shared" si="78"/>
        <v>0</v>
      </c>
      <c r="AW83" s="318">
        <f t="shared" si="79"/>
        <v>0</v>
      </c>
      <c r="AX83" s="318">
        <f t="shared" si="80"/>
        <v>0</v>
      </c>
      <c r="AY83" s="318">
        <f t="shared" si="81"/>
        <v>0</v>
      </c>
      <c r="AZ83" s="318">
        <f t="shared" si="82"/>
        <v>0</v>
      </c>
      <c r="BA83" s="318">
        <f t="shared" si="83"/>
        <v>0</v>
      </c>
    </row>
    <row r="84" spans="1:53" s="315" customFormat="1" ht="15" customHeight="1">
      <c r="A84" s="63" t="str">
        <f t="array" ref="A84">IF(C84&lt;&gt;0,SUM(($C$11:C84&lt;&gt;0)*1),"")</f>
        <v/>
      </c>
      <c r="B84" s="316"/>
      <c r="C84" s="316"/>
      <c r="D84" s="316"/>
      <c r="E84" s="436"/>
      <c r="F84" s="372"/>
      <c r="G84" s="374"/>
      <c r="H84" s="374"/>
      <c r="I84" s="63" t="str">
        <f t="shared" si="90"/>
        <v/>
      </c>
      <c r="J84" s="318">
        <f t="shared" si="46"/>
        <v>0</v>
      </c>
      <c r="K84" s="318">
        <f t="shared" si="47"/>
        <v>0</v>
      </c>
      <c r="L84" s="318">
        <f t="shared" si="48"/>
        <v>0</v>
      </c>
      <c r="M84" s="318">
        <f t="shared" si="49"/>
        <v>0</v>
      </c>
      <c r="N84" s="318">
        <f t="shared" si="84"/>
        <v>0</v>
      </c>
      <c r="O84" s="318">
        <f t="shared" si="85"/>
        <v>0</v>
      </c>
      <c r="P84" s="318">
        <f t="shared" si="50"/>
        <v>0</v>
      </c>
      <c r="Q84" s="318">
        <f t="shared" si="51"/>
        <v>0</v>
      </c>
      <c r="R84" s="318">
        <f t="shared" si="52"/>
        <v>0</v>
      </c>
      <c r="S84" s="318">
        <f t="shared" si="53"/>
        <v>0</v>
      </c>
      <c r="T84" s="318">
        <f t="shared" si="86"/>
        <v>0</v>
      </c>
      <c r="U84" s="318">
        <f t="shared" si="87"/>
        <v>0</v>
      </c>
      <c r="V84" s="318">
        <f t="shared" si="54"/>
        <v>0</v>
      </c>
      <c r="W84" s="318">
        <f t="shared" si="55"/>
        <v>0</v>
      </c>
      <c r="X84" s="318">
        <f t="shared" si="56"/>
        <v>0</v>
      </c>
      <c r="Y84" s="318">
        <f t="shared" si="57"/>
        <v>0</v>
      </c>
      <c r="Z84" s="318">
        <f t="shared" si="58"/>
        <v>0</v>
      </c>
      <c r="AA84" s="318">
        <f t="shared" si="59"/>
        <v>0</v>
      </c>
      <c r="AB84" s="318">
        <f t="shared" si="60"/>
        <v>0</v>
      </c>
      <c r="AC84" s="318">
        <f t="shared" si="61"/>
        <v>0</v>
      </c>
      <c r="AD84" s="318">
        <f t="shared" si="62"/>
        <v>0</v>
      </c>
      <c r="AE84" s="318">
        <f t="shared" si="63"/>
        <v>0</v>
      </c>
      <c r="AF84" s="318">
        <f t="shared" si="88"/>
        <v>0</v>
      </c>
      <c r="AG84" s="318">
        <f t="shared" si="89"/>
        <v>0</v>
      </c>
      <c r="AH84" s="318">
        <f t="shared" si="64"/>
        <v>0</v>
      </c>
      <c r="AI84" s="318">
        <f t="shared" si="65"/>
        <v>0</v>
      </c>
      <c r="AJ84" s="318">
        <f t="shared" si="66"/>
        <v>0</v>
      </c>
      <c r="AK84" s="318">
        <f t="shared" si="67"/>
        <v>0</v>
      </c>
      <c r="AL84" s="318">
        <f t="shared" si="68"/>
        <v>0</v>
      </c>
      <c r="AM84" s="318">
        <f t="shared" si="69"/>
        <v>0</v>
      </c>
      <c r="AN84" s="318">
        <f t="shared" si="70"/>
        <v>0</v>
      </c>
      <c r="AO84" s="318">
        <f t="shared" si="71"/>
        <v>0</v>
      </c>
      <c r="AP84" s="318">
        <f t="shared" si="72"/>
        <v>0</v>
      </c>
      <c r="AQ84" s="318">
        <f t="shared" si="73"/>
        <v>0</v>
      </c>
      <c r="AR84" s="318">
        <f t="shared" si="74"/>
        <v>0</v>
      </c>
      <c r="AS84" s="318">
        <f t="shared" si="75"/>
        <v>0</v>
      </c>
      <c r="AT84" s="318">
        <f t="shared" si="76"/>
        <v>0</v>
      </c>
      <c r="AU84" s="318">
        <f t="shared" si="77"/>
        <v>0</v>
      </c>
      <c r="AV84" s="318">
        <f t="shared" si="78"/>
        <v>0</v>
      </c>
      <c r="AW84" s="318">
        <f t="shared" si="79"/>
        <v>0</v>
      </c>
      <c r="AX84" s="318">
        <f t="shared" si="80"/>
        <v>0</v>
      </c>
      <c r="AY84" s="318">
        <f t="shared" si="81"/>
        <v>0</v>
      </c>
      <c r="AZ84" s="318">
        <f t="shared" si="82"/>
        <v>0</v>
      </c>
      <c r="BA84" s="318">
        <f t="shared" si="83"/>
        <v>0</v>
      </c>
    </row>
    <row r="85" spans="1:53" s="315" customFormat="1" ht="15" customHeight="1">
      <c r="A85" s="63" t="str">
        <f t="array" ref="A85">IF(C85&lt;&gt;0,SUM(($C$11:C85&lt;&gt;0)*1),"")</f>
        <v/>
      </c>
      <c r="B85" s="316"/>
      <c r="C85" s="316"/>
      <c r="D85" s="316"/>
      <c r="E85" s="436"/>
      <c r="F85" s="372"/>
      <c r="G85" s="374"/>
      <c r="H85" s="374"/>
      <c r="I85" s="63" t="str">
        <f t="shared" si="90"/>
        <v/>
      </c>
      <c r="J85" s="318">
        <f t="shared" si="46"/>
        <v>0</v>
      </c>
      <c r="K85" s="318">
        <f t="shared" si="47"/>
        <v>0</v>
      </c>
      <c r="L85" s="318">
        <f t="shared" si="48"/>
        <v>0</v>
      </c>
      <c r="M85" s="318">
        <f t="shared" si="49"/>
        <v>0</v>
      </c>
      <c r="N85" s="318">
        <f t="shared" si="84"/>
        <v>0</v>
      </c>
      <c r="O85" s="318">
        <f t="shared" si="85"/>
        <v>0</v>
      </c>
      <c r="P85" s="318">
        <f t="shared" si="50"/>
        <v>0</v>
      </c>
      <c r="Q85" s="318">
        <f t="shared" si="51"/>
        <v>0</v>
      </c>
      <c r="R85" s="318">
        <f t="shared" si="52"/>
        <v>0</v>
      </c>
      <c r="S85" s="318">
        <f t="shared" si="53"/>
        <v>0</v>
      </c>
      <c r="T85" s="318">
        <f t="shared" si="86"/>
        <v>0</v>
      </c>
      <c r="U85" s="318">
        <f t="shared" si="87"/>
        <v>0</v>
      </c>
      <c r="V85" s="318">
        <f t="shared" si="54"/>
        <v>0</v>
      </c>
      <c r="W85" s="318">
        <f t="shared" si="55"/>
        <v>0</v>
      </c>
      <c r="X85" s="318">
        <f t="shared" si="56"/>
        <v>0</v>
      </c>
      <c r="Y85" s="318">
        <f t="shared" si="57"/>
        <v>0</v>
      </c>
      <c r="Z85" s="318">
        <f t="shared" si="58"/>
        <v>0</v>
      </c>
      <c r="AA85" s="318">
        <f t="shared" si="59"/>
        <v>0</v>
      </c>
      <c r="AB85" s="318">
        <f t="shared" si="60"/>
        <v>0</v>
      </c>
      <c r="AC85" s="318">
        <f t="shared" si="61"/>
        <v>0</v>
      </c>
      <c r="AD85" s="318">
        <f t="shared" si="62"/>
        <v>0</v>
      </c>
      <c r="AE85" s="318">
        <f t="shared" si="63"/>
        <v>0</v>
      </c>
      <c r="AF85" s="318">
        <f t="shared" si="88"/>
        <v>0</v>
      </c>
      <c r="AG85" s="318">
        <f t="shared" si="89"/>
        <v>0</v>
      </c>
      <c r="AH85" s="318">
        <f t="shared" si="64"/>
        <v>0</v>
      </c>
      <c r="AI85" s="318">
        <f t="shared" si="65"/>
        <v>0</v>
      </c>
      <c r="AJ85" s="318">
        <f t="shared" si="66"/>
        <v>0</v>
      </c>
      <c r="AK85" s="318">
        <f t="shared" si="67"/>
        <v>0</v>
      </c>
      <c r="AL85" s="318">
        <f t="shared" si="68"/>
        <v>0</v>
      </c>
      <c r="AM85" s="318">
        <f t="shared" si="69"/>
        <v>0</v>
      </c>
      <c r="AN85" s="318">
        <f t="shared" si="70"/>
        <v>0</v>
      </c>
      <c r="AO85" s="318">
        <f t="shared" si="71"/>
        <v>0</v>
      </c>
      <c r="AP85" s="318">
        <f t="shared" si="72"/>
        <v>0</v>
      </c>
      <c r="AQ85" s="318">
        <f t="shared" si="73"/>
        <v>0</v>
      </c>
      <c r="AR85" s="318">
        <f t="shared" si="74"/>
        <v>0</v>
      </c>
      <c r="AS85" s="318">
        <f t="shared" si="75"/>
        <v>0</v>
      </c>
      <c r="AT85" s="318">
        <f t="shared" si="76"/>
        <v>0</v>
      </c>
      <c r="AU85" s="318">
        <f t="shared" si="77"/>
        <v>0</v>
      </c>
      <c r="AV85" s="318">
        <f t="shared" si="78"/>
        <v>0</v>
      </c>
      <c r="AW85" s="318">
        <f t="shared" si="79"/>
        <v>0</v>
      </c>
      <c r="AX85" s="318">
        <f t="shared" si="80"/>
        <v>0</v>
      </c>
      <c r="AY85" s="318">
        <f t="shared" si="81"/>
        <v>0</v>
      </c>
      <c r="AZ85" s="318">
        <f t="shared" si="82"/>
        <v>0</v>
      </c>
      <c r="BA85" s="318">
        <f t="shared" si="83"/>
        <v>0</v>
      </c>
    </row>
    <row r="86" spans="1:53" s="315" customFormat="1" ht="15" customHeight="1">
      <c r="A86" s="63" t="str">
        <f t="array" ref="A86">IF(C86&lt;&gt;0,SUM(($C$11:C86&lt;&gt;0)*1),"")</f>
        <v/>
      </c>
      <c r="B86" s="316"/>
      <c r="C86" s="316"/>
      <c r="D86" s="316"/>
      <c r="E86" s="436"/>
      <c r="F86" s="372"/>
      <c r="G86" s="374"/>
      <c r="H86" s="374"/>
      <c r="I86" s="63" t="str">
        <f t="shared" si="90"/>
        <v/>
      </c>
      <c r="J86" s="318">
        <f t="shared" si="46"/>
        <v>0</v>
      </c>
      <c r="K86" s="318">
        <f t="shared" si="47"/>
        <v>0</v>
      </c>
      <c r="L86" s="318">
        <f t="shared" si="48"/>
        <v>0</v>
      </c>
      <c r="M86" s="318">
        <f t="shared" si="49"/>
        <v>0</v>
      </c>
      <c r="N86" s="318">
        <f t="shared" si="84"/>
        <v>0</v>
      </c>
      <c r="O86" s="318">
        <f t="shared" si="85"/>
        <v>0</v>
      </c>
      <c r="P86" s="318">
        <f t="shared" si="50"/>
        <v>0</v>
      </c>
      <c r="Q86" s="318">
        <f t="shared" si="51"/>
        <v>0</v>
      </c>
      <c r="R86" s="318">
        <f t="shared" si="52"/>
        <v>0</v>
      </c>
      <c r="S86" s="318">
        <f t="shared" si="53"/>
        <v>0</v>
      </c>
      <c r="T86" s="318">
        <f t="shared" si="86"/>
        <v>0</v>
      </c>
      <c r="U86" s="318">
        <f t="shared" si="87"/>
        <v>0</v>
      </c>
      <c r="V86" s="318">
        <f t="shared" si="54"/>
        <v>0</v>
      </c>
      <c r="W86" s="318">
        <f t="shared" si="55"/>
        <v>0</v>
      </c>
      <c r="X86" s="318">
        <f t="shared" si="56"/>
        <v>0</v>
      </c>
      <c r="Y86" s="318">
        <f t="shared" si="57"/>
        <v>0</v>
      </c>
      <c r="Z86" s="318">
        <f t="shared" si="58"/>
        <v>0</v>
      </c>
      <c r="AA86" s="318">
        <f t="shared" si="59"/>
        <v>0</v>
      </c>
      <c r="AB86" s="318">
        <f t="shared" si="60"/>
        <v>0</v>
      </c>
      <c r="AC86" s="318">
        <f t="shared" si="61"/>
        <v>0</v>
      </c>
      <c r="AD86" s="318">
        <f t="shared" si="62"/>
        <v>0</v>
      </c>
      <c r="AE86" s="318">
        <f t="shared" si="63"/>
        <v>0</v>
      </c>
      <c r="AF86" s="318">
        <f t="shared" si="88"/>
        <v>0</v>
      </c>
      <c r="AG86" s="318">
        <f t="shared" si="89"/>
        <v>0</v>
      </c>
      <c r="AH86" s="318">
        <f t="shared" si="64"/>
        <v>0</v>
      </c>
      <c r="AI86" s="318">
        <f t="shared" si="65"/>
        <v>0</v>
      </c>
      <c r="AJ86" s="318">
        <f t="shared" si="66"/>
        <v>0</v>
      </c>
      <c r="AK86" s="318">
        <f t="shared" si="67"/>
        <v>0</v>
      </c>
      <c r="AL86" s="318">
        <f t="shared" si="68"/>
        <v>0</v>
      </c>
      <c r="AM86" s="318">
        <f t="shared" si="69"/>
        <v>0</v>
      </c>
      <c r="AN86" s="318">
        <f t="shared" si="70"/>
        <v>0</v>
      </c>
      <c r="AO86" s="318">
        <f t="shared" si="71"/>
        <v>0</v>
      </c>
      <c r="AP86" s="318">
        <f t="shared" si="72"/>
        <v>0</v>
      </c>
      <c r="AQ86" s="318">
        <f t="shared" si="73"/>
        <v>0</v>
      </c>
      <c r="AR86" s="318">
        <f t="shared" si="74"/>
        <v>0</v>
      </c>
      <c r="AS86" s="318">
        <f t="shared" si="75"/>
        <v>0</v>
      </c>
      <c r="AT86" s="318">
        <f t="shared" si="76"/>
        <v>0</v>
      </c>
      <c r="AU86" s="318">
        <f t="shared" si="77"/>
        <v>0</v>
      </c>
      <c r="AV86" s="318">
        <f t="shared" si="78"/>
        <v>0</v>
      </c>
      <c r="AW86" s="318">
        <f t="shared" si="79"/>
        <v>0</v>
      </c>
      <c r="AX86" s="318">
        <f t="shared" si="80"/>
        <v>0</v>
      </c>
      <c r="AY86" s="318">
        <f t="shared" si="81"/>
        <v>0</v>
      </c>
      <c r="AZ86" s="318">
        <f t="shared" si="82"/>
        <v>0</v>
      </c>
      <c r="BA86" s="318">
        <f t="shared" si="83"/>
        <v>0</v>
      </c>
    </row>
    <row r="87" spans="1:53" s="315" customFormat="1" ht="15" customHeight="1">
      <c r="A87" s="63" t="str">
        <f t="array" ref="A87">IF(C87&lt;&gt;0,SUM(($C$11:C87&lt;&gt;0)*1),"")</f>
        <v/>
      </c>
      <c r="B87" s="316"/>
      <c r="C87" s="316"/>
      <c r="D87" s="316"/>
      <c r="E87" s="436"/>
      <c r="F87" s="372"/>
      <c r="G87" s="374"/>
      <c r="H87" s="374"/>
      <c r="I87" s="63" t="str">
        <f t="shared" si="90"/>
        <v/>
      </c>
      <c r="J87" s="318">
        <f t="shared" si="46"/>
        <v>0</v>
      </c>
      <c r="K87" s="318">
        <f t="shared" si="47"/>
        <v>0</v>
      </c>
      <c r="L87" s="318">
        <f t="shared" si="48"/>
        <v>0</v>
      </c>
      <c r="M87" s="318">
        <f t="shared" si="49"/>
        <v>0</v>
      </c>
      <c r="N87" s="318">
        <f t="shared" si="84"/>
        <v>0</v>
      </c>
      <c r="O87" s="318">
        <f t="shared" si="85"/>
        <v>0</v>
      </c>
      <c r="P87" s="318">
        <f t="shared" si="50"/>
        <v>0</v>
      </c>
      <c r="Q87" s="318">
        <f t="shared" si="51"/>
        <v>0</v>
      </c>
      <c r="R87" s="318">
        <f t="shared" si="52"/>
        <v>0</v>
      </c>
      <c r="S87" s="318">
        <f t="shared" si="53"/>
        <v>0</v>
      </c>
      <c r="T87" s="318">
        <f t="shared" si="86"/>
        <v>0</v>
      </c>
      <c r="U87" s="318">
        <f t="shared" si="87"/>
        <v>0</v>
      </c>
      <c r="V87" s="318">
        <f t="shared" si="54"/>
        <v>0</v>
      </c>
      <c r="W87" s="318">
        <f t="shared" si="55"/>
        <v>0</v>
      </c>
      <c r="X87" s="318">
        <f t="shared" si="56"/>
        <v>0</v>
      </c>
      <c r="Y87" s="318">
        <f t="shared" si="57"/>
        <v>0</v>
      </c>
      <c r="Z87" s="318">
        <f t="shared" si="58"/>
        <v>0</v>
      </c>
      <c r="AA87" s="318">
        <f t="shared" si="59"/>
        <v>0</v>
      </c>
      <c r="AB87" s="318">
        <f t="shared" si="60"/>
        <v>0</v>
      </c>
      <c r="AC87" s="318">
        <f t="shared" si="61"/>
        <v>0</v>
      </c>
      <c r="AD87" s="318">
        <f t="shared" si="62"/>
        <v>0</v>
      </c>
      <c r="AE87" s="318">
        <f t="shared" si="63"/>
        <v>0</v>
      </c>
      <c r="AF87" s="318">
        <f t="shared" si="88"/>
        <v>0</v>
      </c>
      <c r="AG87" s="318">
        <f t="shared" si="89"/>
        <v>0</v>
      </c>
      <c r="AH87" s="318">
        <f t="shared" si="64"/>
        <v>0</v>
      </c>
      <c r="AI87" s="318">
        <f t="shared" si="65"/>
        <v>0</v>
      </c>
      <c r="AJ87" s="318">
        <f t="shared" si="66"/>
        <v>0</v>
      </c>
      <c r="AK87" s="318">
        <f t="shared" si="67"/>
        <v>0</v>
      </c>
      <c r="AL87" s="318">
        <f t="shared" si="68"/>
        <v>0</v>
      </c>
      <c r="AM87" s="318">
        <f t="shared" si="69"/>
        <v>0</v>
      </c>
      <c r="AN87" s="318">
        <f t="shared" si="70"/>
        <v>0</v>
      </c>
      <c r="AO87" s="318">
        <f t="shared" si="71"/>
        <v>0</v>
      </c>
      <c r="AP87" s="318">
        <f t="shared" si="72"/>
        <v>0</v>
      </c>
      <c r="AQ87" s="318">
        <f t="shared" si="73"/>
        <v>0</v>
      </c>
      <c r="AR87" s="318">
        <f t="shared" si="74"/>
        <v>0</v>
      </c>
      <c r="AS87" s="318">
        <f t="shared" si="75"/>
        <v>0</v>
      </c>
      <c r="AT87" s="318">
        <f t="shared" si="76"/>
        <v>0</v>
      </c>
      <c r="AU87" s="318">
        <f t="shared" si="77"/>
        <v>0</v>
      </c>
      <c r="AV87" s="318">
        <f t="shared" si="78"/>
        <v>0</v>
      </c>
      <c r="AW87" s="318">
        <f t="shared" si="79"/>
        <v>0</v>
      </c>
      <c r="AX87" s="318">
        <f t="shared" si="80"/>
        <v>0</v>
      </c>
      <c r="AY87" s="318">
        <f t="shared" si="81"/>
        <v>0</v>
      </c>
      <c r="AZ87" s="318">
        <f t="shared" si="82"/>
        <v>0</v>
      </c>
      <c r="BA87" s="318">
        <f t="shared" si="83"/>
        <v>0</v>
      </c>
    </row>
    <row r="88" spans="1:53" s="315" customFormat="1" ht="15" customHeight="1">
      <c r="A88" s="63" t="str">
        <f t="array" ref="A88">IF(C88&lt;&gt;0,SUM(($C$11:C88&lt;&gt;0)*1),"")</f>
        <v/>
      </c>
      <c r="B88" s="316"/>
      <c r="C88" s="316"/>
      <c r="D88" s="316"/>
      <c r="E88" s="436"/>
      <c r="F88" s="372"/>
      <c r="G88" s="374"/>
      <c r="H88" s="374"/>
      <c r="I88" s="63" t="str">
        <f t="shared" si="90"/>
        <v/>
      </c>
      <c r="J88" s="318">
        <f t="shared" si="46"/>
        <v>0</v>
      </c>
      <c r="K88" s="318">
        <f t="shared" si="47"/>
        <v>0</v>
      </c>
      <c r="L88" s="318">
        <f t="shared" si="48"/>
        <v>0</v>
      </c>
      <c r="M88" s="318">
        <f t="shared" si="49"/>
        <v>0</v>
      </c>
      <c r="N88" s="318">
        <f t="shared" si="84"/>
        <v>0</v>
      </c>
      <c r="O88" s="318">
        <f t="shared" si="85"/>
        <v>0</v>
      </c>
      <c r="P88" s="318">
        <f t="shared" si="50"/>
        <v>0</v>
      </c>
      <c r="Q88" s="318">
        <f t="shared" si="51"/>
        <v>0</v>
      </c>
      <c r="R88" s="318">
        <f t="shared" si="52"/>
        <v>0</v>
      </c>
      <c r="S88" s="318">
        <f t="shared" si="53"/>
        <v>0</v>
      </c>
      <c r="T88" s="318">
        <f t="shared" si="86"/>
        <v>0</v>
      </c>
      <c r="U88" s="318">
        <f t="shared" si="87"/>
        <v>0</v>
      </c>
      <c r="V88" s="318">
        <f t="shared" si="54"/>
        <v>0</v>
      </c>
      <c r="W88" s="318">
        <f t="shared" si="55"/>
        <v>0</v>
      </c>
      <c r="X88" s="318">
        <f t="shared" si="56"/>
        <v>0</v>
      </c>
      <c r="Y88" s="318">
        <f t="shared" si="57"/>
        <v>0</v>
      </c>
      <c r="Z88" s="318">
        <f t="shared" si="58"/>
        <v>0</v>
      </c>
      <c r="AA88" s="318">
        <f t="shared" si="59"/>
        <v>0</v>
      </c>
      <c r="AB88" s="318">
        <f t="shared" si="60"/>
        <v>0</v>
      </c>
      <c r="AC88" s="318">
        <f t="shared" si="61"/>
        <v>0</v>
      </c>
      <c r="AD88" s="318">
        <f t="shared" si="62"/>
        <v>0</v>
      </c>
      <c r="AE88" s="318">
        <f t="shared" si="63"/>
        <v>0</v>
      </c>
      <c r="AF88" s="318">
        <f t="shared" si="88"/>
        <v>0</v>
      </c>
      <c r="AG88" s="318">
        <f t="shared" si="89"/>
        <v>0</v>
      </c>
      <c r="AH88" s="318">
        <f t="shared" si="64"/>
        <v>0</v>
      </c>
      <c r="AI88" s="318">
        <f t="shared" si="65"/>
        <v>0</v>
      </c>
      <c r="AJ88" s="318">
        <f t="shared" si="66"/>
        <v>0</v>
      </c>
      <c r="AK88" s="318">
        <f t="shared" si="67"/>
        <v>0</v>
      </c>
      <c r="AL88" s="318">
        <f t="shared" si="68"/>
        <v>0</v>
      </c>
      <c r="AM88" s="318">
        <f t="shared" si="69"/>
        <v>0</v>
      </c>
      <c r="AN88" s="318">
        <f t="shared" si="70"/>
        <v>0</v>
      </c>
      <c r="AO88" s="318">
        <f t="shared" si="71"/>
        <v>0</v>
      </c>
      <c r="AP88" s="318">
        <f t="shared" si="72"/>
        <v>0</v>
      </c>
      <c r="AQ88" s="318">
        <f t="shared" si="73"/>
        <v>0</v>
      </c>
      <c r="AR88" s="318">
        <f t="shared" si="74"/>
        <v>0</v>
      </c>
      <c r="AS88" s="318">
        <f t="shared" si="75"/>
        <v>0</v>
      </c>
      <c r="AT88" s="318">
        <f t="shared" si="76"/>
        <v>0</v>
      </c>
      <c r="AU88" s="318">
        <f t="shared" si="77"/>
        <v>0</v>
      </c>
      <c r="AV88" s="318">
        <f t="shared" si="78"/>
        <v>0</v>
      </c>
      <c r="AW88" s="318">
        <f t="shared" si="79"/>
        <v>0</v>
      </c>
      <c r="AX88" s="318">
        <f t="shared" si="80"/>
        <v>0</v>
      </c>
      <c r="AY88" s="318">
        <f t="shared" si="81"/>
        <v>0</v>
      </c>
      <c r="AZ88" s="318">
        <f t="shared" si="82"/>
        <v>0</v>
      </c>
      <c r="BA88" s="318">
        <f t="shared" si="83"/>
        <v>0</v>
      </c>
    </row>
    <row r="89" spans="1:53" s="315" customFormat="1" ht="15" customHeight="1">
      <c r="A89" s="63" t="str">
        <f t="array" ref="A89">IF(C89&lt;&gt;0,SUM(($C$11:C89&lt;&gt;0)*1),"")</f>
        <v/>
      </c>
      <c r="B89" s="316"/>
      <c r="C89" s="316"/>
      <c r="D89" s="316"/>
      <c r="E89" s="436"/>
      <c r="F89" s="372"/>
      <c r="G89" s="374"/>
      <c r="H89" s="374"/>
      <c r="I89" s="63" t="str">
        <f t="shared" si="90"/>
        <v/>
      </c>
      <c r="J89" s="318">
        <f t="shared" si="46"/>
        <v>0</v>
      </c>
      <c r="K89" s="318">
        <f t="shared" si="47"/>
        <v>0</v>
      </c>
      <c r="L89" s="318">
        <f t="shared" si="48"/>
        <v>0</v>
      </c>
      <c r="M89" s="318">
        <f t="shared" si="49"/>
        <v>0</v>
      </c>
      <c r="N89" s="318">
        <f t="shared" si="84"/>
        <v>0</v>
      </c>
      <c r="O89" s="318">
        <f t="shared" si="85"/>
        <v>0</v>
      </c>
      <c r="P89" s="318">
        <f t="shared" si="50"/>
        <v>0</v>
      </c>
      <c r="Q89" s="318">
        <f t="shared" si="51"/>
        <v>0</v>
      </c>
      <c r="R89" s="318">
        <f t="shared" si="52"/>
        <v>0</v>
      </c>
      <c r="S89" s="318">
        <f t="shared" si="53"/>
        <v>0</v>
      </c>
      <c r="T89" s="318">
        <f t="shared" si="86"/>
        <v>0</v>
      </c>
      <c r="U89" s="318">
        <f t="shared" si="87"/>
        <v>0</v>
      </c>
      <c r="V89" s="318">
        <f t="shared" si="54"/>
        <v>0</v>
      </c>
      <c r="W89" s="318">
        <f t="shared" si="55"/>
        <v>0</v>
      </c>
      <c r="X89" s="318">
        <f t="shared" si="56"/>
        <v>0</v>
      </c>
      <c r="Y89" s="318">
        <f t="shared" si="57"/>
        <v>0</v>
      </c>
      <c r="Z89" s="318">
        <f t="shared" si="58"/>
        <v>0</v>
      </c>
      <c r="AA89" s="318">
        <f t="shared" si="59"/>
        <v>0</v>
      </c>
      <c r="AB89" s="318">
        <f t="shared" si="60"/>
        <v>0</v>
      </c>
      <c r="AC89" s="318">
        <f t="shared" si="61"/>
        <v>0</v>
      </c>
      <c r="AD89" s="318">
        <f t="shared" si="62"/>
        <v>0</v>
      </c>
      <c r="AE89" s="318">
        <f t="shared" si="63"/>
        <v>0</v>
      </c>
      <c r="AF89" s="318">
        <f t="shared" si="88"/>
        <v>0</v>
      </c>
      <c r="AG89" s="318">
        <f t="shared" si="89"/>
        <v>0</v>
      </c>
      <c r="AH89" s="318">
        <f t="shared" si="64"/>
        <v>0</v>
      </c>
      <c r="AI89" s="318">
        <f t="shared" si="65"/>
        <v>0</v>
      </c>
      <c r="AJ89" s="318">
        <f t="shared" si="66"/>
        <v>0</v>
      </c>
      <c r="AK89" s="318">
        <f t="shared" si="67"/>
        <v>0</v>
      </c>
      <c r="AL89" s="318">
        <f t="shared" si="68"/>
        <v>0</v>
      </c>
      <c r="AM89" s="318">
        <f t="shared" si="69"/>
        <v>0</v>
      </c>
      <c r="AN89" s="318">
        <f t="shared" si="70"/>
        <v>0</v>
      </c>
      <c r="AO89" s="318">
        <f t="shared" si="71"/>
        <v>0</v>
      </c>
      <c r="AP89" s="318">
        <f t="shared" si="72"/>
        <v>0</v>
      </c>
      <c r="AQ89" s="318">
        <f t="shared" si="73"/>
        <v>0</v>
      </c>
      <c r="AR89" s="318">
        <f t="shared" si="74"/>
        <v>0</v>
      </c>
      <c r="AS89" s="318">
        <f t="shared" si="75"/>
        <v>0</v>
      </c>
      <c r="AT89" s="318">
        <f t="shared" si="76"/>
        <v>0</v>
      </c>
      <c r="AU89" s="318">
        <f t="shared" si="77"/>
        <v>0</v>
      </c>
      <c r="AV89" s="318">
        <f t="shared" si="78"/>
        <v>0</v>
      </c>
      <c r="AW89" s="318">
        <f t="shared" si="79"/>
        <v>0</v>
      </c>
      <c r="AX89" s="318">
        <f t="shared" si="80"/>
        <v>0</v>
      </c>
      <c r="AY89" s="318">
        <f t="shared" si="81"/>
        <v>0</v>
      </c>
      <c r="AZ89" s="318">
        <f t="shared" si="82"/>
        <v>0</v>
      </c>
      <c r="BA89" s="318">
        <f t="shared" si="83"/>
        <v>0</v>
      </c>
    </row>
    <row r="90" spans="1:53" s="315" customFormat="1" ht="15" customHeight="1">
      <c r="A90" s="63" t="str">
        <f t="array" ref="A90">IF(C90&lt;&gt;0,SUM(($C$11:C90&lt;&gt;0)*1),"")</f>
        <v/>
      </c>
      <c r="B90" s="316"/>
      <c r="C90" s="316"/>
      <c r="D90" s="316"/>
      <c r="E90" s="436"/>
      <c r="F90" s="372"/>
      <c r="G90" s="374"/>
      <c r="H90" s="374"/>
      <c r="I90" s="63" t="str">
        <f t="shared" si="90"/>
        <v/>
      </c>
      <c r="J90" s="318">
        <f t="shared" si="46"/>
        <v>0</v>
      </c>
      <c r="K90" s="318">
        <f t="shared" si="47"/>
        <v>0</v>
      </c>
      <c r="L90" s="318">
        <f t="shared" si="48"/>
        <v>0</v>
      </c>
      <c r="M90" s="318">
        <f t="shared" si="49"/>
        <v>0</v>
      </c>
      <c r="N90" s="318">
        <f t="shared" si="84"/>
        <v>0</v>
      </c>
      <c r="O90" s="318">
        <f t="shared" si="85"/>
        <v>0</v>
      </c>
      <c r="P90" s="318">
        <f t="shared" si="50"/>
        <v>0</v>
      </c>
      <c r="Q90" s="318">
        <f t="shared" si="51"/>
        <v>0</v>
      </c>
      <c r="R90" s="318">
        <f t="shared" si="52"/>
        <v>0</v>
      </c>
      <c r="S90" s="318">
        <f t="shared" si="53"/>
        <v>0</v>
      </c>
      <c r="T90" s="318">
        <f t="shared" si="86"/>
        <v>0</v>
      </c>
      <c r="U90" s="318">
        <f t="shared" si="87"/>
        <v>0</v>
      </c>
      <c r="V90" s="318">
        <f t="shared" si="54"/>
        <v>0</v>
      </c>
      <c r="W90" s="318">
        <f t="shared" si="55"/>
        <v>0</v>
      </c>
      <c r="X90" s="318">
        <f t="shared" si="56"/>
        <v>0</v>
      </c>
      <c r="Y90" s="318">
        <f t="shared" si="57"/>
        <v>0</v>
      </c>
      <c r="Z90" s="318">
        <f t="shared" si="58"/>
        <v>0</v>
      </c>
      <c r="AA90" s="318">
        <f t="shared" si="59"/>
        <v>0</v>
      </c>
      <c r="AB90" s="318">
        <f t="shared" si="60"/>
        <v>0</v>
      </c>
      <c r="AC90" s="318">
        <f t="shared" si="61"/>
        <v>0</v>
      </c>
      <c r="AD90" s="318">
        <f t="shared" si="62"/>
        <v>0</v>
      </c>
      <c r="AE90" s="318">
        <f t="shared" si="63"/>
        <v>0</v>
      </c>
      <c r="AF90" s="318">
        <f t="shared" si="88"/>
        <v>0</v>
      </c>
      <c r="AG90" s="318">
        <f t="shared" si="89"/>
        <v>0</v>
      </c>
      <c r="AH90" s="318">
        <f t="shared" si="64"/>
        <v>0</v>
      </c>
      <c r="AI90" s="318">
        <f t="shared" si="65"/>
        <v>0</v>
      </c>
      <c r="AJ90" s="318">
        <f t="shared" si="66"/>
        <v>0</v>
      </c>
      <c r="AK90" s="318">
        <f t="shared" si="67"/>
        <v>0</v>
      </c>
      <c r="AL90" s="318">
        <f t="shared" si="68"/>
        <v>0</v>
      </c>
      <c r="AM90" s="318">
        <f t="shared" si="69"/>
        <v>0</v>
      </c>
      <c r="AN90" s="318">
        <f t="shared" si="70"/>
        <v>0</v>
      </c>
      <c r="AO90" s="318">
        <f t="shared" si="71"/>
        <v>0</v>
      </c>
      <c r="AP90" s="318">
        <f t="shared" si="72"/>
        <v>0</v>
      </c>
      <c r="AQ90" s="318">
        <f t="shared" si="73"/>
        <v>0</v>
      </c>
      <c r="AR90" s="318">
        <f t="shared" si="74"/>
        <v>0</v>
      </c>
      <c r="AS90" s="318">
        <f t="shared" si="75"/>
        <v>0</v>
      </c>
      <c r="AT90" s="318">
        <f t="shared" si="76"/>
        <v>0</v>
      </c>
      <c r="AU90" s="318">
        <f t="shared" si="77"/>
        <v>0</v>
      </c>
      <c r="AV90" s="318">
        <f t="shared" si="78"/>
        <v>0</v>
      </c>
      <c r="AW90" s="318">
        <f t="shared" si="79"/>
        <v>0</v>
      </c>
      <c r="AX90" s="318">
        <f t="shared" si="80"/>
        <v>0</v>
      </c>
      <c r="AY90" s="318">
        <f t="shared" si="81"/>
        <v>0</v>
      </c>
      <c r="AZ90" s="318">
        <f t="shared" si="82"/>
        <v>0</v>
      </c>
      <c r="BA90" s="318">
        <f t="shared" si="83"/>
        <v>0</v>
      </c>
    </row>
    <row r="91" spans="1:53" s="315" customFormat="1" ht="15" customHeight="1">
      <c r="A91" s="63" t="str">
        <f t="array" ref="A91">IF(C91&lt;&gt;0,SUM(($C$11:C91&lt;&gt;0)*1),"")</f>
        <v/>
      </c>
      <c r="B91" s="316"/>
      <c r="C91" s="316"/>
      <c r="D91" s="316"/>
      <c r="E91" s="436"/>
      <c r="F91" s="372"/>
      <c r="G91" s="374"/>
      <c r="H91" s="374"/>
      <c r="I91" s="63" t="str">
        <f t="shared" si="90"/>
        <v/>
      </c>
      <c r="J91" s="318">
        <f t="shared" si="46"/>
        <v>0</v>
      </c>
      <c r="K91" s="318">
        <f t="shared" si="47"/>
        <v>0</v>
      </c>
      <c r="L91" s="318">
        <f t="shared" si="48"/>
        <v>0</v>
      </c>
      <c r="M91" s="318">
        <f t="shared" si="49"/>
        <v>0</v>
      </c>
      <c r="N91" s="318">
        <f t="shared" si="84"/>
        <v>0</v>
      </c>
      <c r="O91" s="318">
        <f t="shared" si="85"/>
        <v>0</v>
      </c>
      <c r="P91" s="318">
        <f t="shared" si="50"/>
        <v>0</v>
      </c>
      <c r="Q91" s="318">
        <f t="shared" si="51"/>
        <v>0</v>
      </c>
      <c r="R91" s="318">
        <f t="shared" si="52"/>
        <v>0</v>
      </c>
      <c r="S91" s="318">
        <f t="shared" si="53"/>
        <v>0</v>
      </c>
      <c r="T91" s="318">
        <f t="shared" si="86"/>
        <v>0</v>
      </c>
      <c r="U91" s="318">
        <f t="shared" si="87"/>
        <v>0</v>
      </c>
      <c r="V91" s="318">
        <f t="shared" si="54"/>
        <v>0</v>
      </c>
      <c r="W91" s="318">
        <f t="shared" si="55"/>
        <v>0</v>
      </c>
      <c r="X91" s="318">
        <f t="shared" si="56"/>
        <v>0</v>
      </c>
      <c r="Y91" s="318">
        <f t="shared" si="57"/>
        <v>0</v>
      </c>
      <c r="Z91" s="318">
        <f t="shared" si="58"/>
        <v>0</v>
      </c>
      <c r="AA91" s="318">
        <f t="shared" si="59"/>
        <v>0</v>
      </c>
      <c r="AB91" s="318">
        <f t="shared" si="60"/>
        <v>0</v>
      </c>
      <c r="AC91" s="318">
        <f t="shared" si="61"/>
        <v>0</v>
      </c>
      <c r="AD91" s="318">
        <f t="shared" si="62"/>
        <v>0</v>
      </c>
      <c r="AE91" s="318">
        <f t="shared" si="63"/>
        <v>0</v>
      </c>
      <c r="AF91" s="318">
        <f t="shared" si="88"/>
        <v>0</v>
      </c>
      <c r="AG91" s="318">
        <f t="shared" si="89"/>
        <v>0</v>
      </c>
      <c r="AH91" s="318">
        <f t="shared" si="64"/>
        <v>0</v>
      </c>
      <c r="AI91" s="318">
        <f t="shared" si="65"/>
        <v>0</v>
      </c>
      <c r="AJ91" s="318">
        <f t="shared" si="66"/>
        <v>0</v>
      </c>
      <c r="AK91" s="318">
        <f t="shared" si="67"/>
        <v>0</v>
      </c>
      <c r="AL91" s="318">
        <f t="shared" si="68"/>
        <v>0</v>
      </c>
      <c r="AM91" s="318">
        <f t="shared" si="69"/>
        <v>0</v>
      </c>
      <c r="AN91" s="318">
        <f t="shared" si="70"/>
        <v>0</v>
      </c>
      <c r="AO91" s="318">
        <f t="shared" si="71"/>
        <v>0</v>
      </c>
      <c r="AP91" s="318">
        <f t="shared" si="72"/>
        <v>0</v>
      </c>
      <c r="AQ91" s="318">
        <f t="shared" si="73"/>
        <v>0</v>
      </c>
      <c r="AR91" s="318">
        <f t="shared" si="74"/>
        <v>0</v>
      </c>
      <c r="AS91" s="318">
        <f t="shared" si="75"/>
        <v>0</v>
      </c>
      <c r="AT91" s="318">
        <f t="shared" si="76"/>
        <v>0</v>
      </c>
      <c r="AU91" s="318">
        <f t="shared" si="77"/>
        <v>0</v>
      </c>
      <c r="AV91" s="318">
        <f t="shared" si="78"/>
        <v>0</v>
      </c>
      <c r="AW91" s="318">
        <f t="shared" si="79"/>
        <v>0</v>
      </c>
      <c r="AX91" s="318">
        <f t="shared" si="80"/>
        <v>0</v>
      </c>
      <c r="AY91" s="318">
        <f t="shared" si="81"/>
        <v>0</v>
      </c>
      <c r="AZ91" s="318">
        <f t="shared" si="82"/>
        <v>0</v>
      </c>
      <c r="BA91" s="318">
        <f t="shared" si="83"/>
        <v>0</v>
      </c>
    </row>
    <row r="92" spans="1:53" s="315" customFormat="1" ht="15" customHeight="1">
      <c r="A92" s="63" t="str">
        <f t="array" ref="A92">IF(C92&lt;&gt;0,SUM(($C$11:C92&lt;&gt;0)*1),"")</f>
        <v/>
      </c>
      <c r="B92" s="316"/>
      <c r="C92" s="316"/>
      <c r="D92" s="316"/>
      <c r="E92" s="436"/>
      <c r="F92" s="372"/>
      <c r="G92" s="374"/>
      <c r="H92" s="374"/>
      <c r="I92" s="63" t="str">
        <f t="shared" si="90"/>
        <v/>
      </c>
      <c r="J92" s="318">
        <f t="shared" si="46"/>
        <v>0</v>
      </c>
      <c r="K92" s="318">
        <f t="shared" si="47"/>
        <v>0</v>
      </c>
      <c r="L92" s="318">
        <f t="shared" si="48"/>
        <v>0</v>
      </c>
      <c r="M92" s="318">
        <f t="shared" si="49"/>
        <v>0</v>
      </c>
      <c r="N92" s="318">
        <f t="shared" si="84"/>
        <v>0</v>
      </c>
      <c r="O92" s="318">
        <f t="shared" si="85"/>
        <v>0</v>
      </c>
      <c r="P92" s="318">
        <f t="shared" si="50"/>
        <v>0</v>
      </c>
      <c r="Q92" s="318">
        <f t="shared" si="51"/>
        <v>0</v>
      </c>
      <c r="R92" s="318">
        <f t="shared" si="52"/>
        <v>0</v>
      </c>
      <c r="S92" s="318">
        <f t="shared" si="53"/>
        <v>0</v>
      </c>
      <c r="T92" s="318">
        <f t="shared" si="86"/>
        <v>0</v>
      </c>
      <c r="U92" s="318">
        <f t="shared" si="87"/>
        <v>0</v>
      </c>
      <c r="V92" s="318">
        <f t="shared" si="54"/>
        <v>0</v>
      </c>
      <c r="W92" s="318">
        <f t="shared" si="55"/>
        <v>0</v>
      </c>
      <c r="X92" s="318">
        <f t="shared" si="56"/>
        <v>0</v>
      </c>
      <c r="Y92" s="318">
        <f t="shared" si="57"/>
        <v>0</v>
      </c>
      <c r="Z92" s="318">
        <f t="shared" si="58"/>
        <v>0</v>
      </c>
      <c r="AA92" s="318">
        <f t="shared" si="59"/>
        <v>0</v>
      </c>
      <c r="AB92" s="318">
        <f t="shared" si="60"/>
        <v>0</v>
      </c>
      <c r="AC92" s="318">
        <f t="shared" si="61"/>
        <v>0</v>
      </c>
      <c r="AD92" s="318">
        <f t="shared" si="62"/>
        <v>0</v>
      </c>
      <c r="AE92" s="318">
        <f t="shared" si="63"/>
        <v>0</v>
      </c>
      <c r="AF92" s="318">
        <f t="shared" si="88"/>
        <v>0</v>
      </c>
      <c r="AG92" s="318">
        <f t="shared" si="89"/>
        <v>0</v>
      </c>
      <c r="AH92" s="318">
        <f t="shared" si="64"/>
        <v>0</v>
      </c>
      <c r="AI92" s="318">
        <f t="shared" si="65"/>
        <v>0</v>
      </c>
      <c r="AJ92" s="318">
        <f t="shared" si="66"/>
        <v>0</v>
      </c>
      <c r="AK92" s="318">
        <f t="shared" si="67"/>
        <v>0</v>
      </c>
      <c r="AL92" s="318">
        <f t="shared" si="68"/>
        <v>0</v>
      </c>
      <c r="AM92" s="318">
        <f t="shared" si="69"/>
        <v>0</v>
      </c>
      <c r="AN92" s="318">
        <f t="shared" si="70"/>
        <v>0</v>
      </c>
      <c r="AO92" s="318">
        <f t="shared" si="71"/>
        <v>0</v>
      </c>
      <c r="AP92" s="318">
        <f t="shared" si="72"/>
        <v>0</v>
      </c>
      <c r="AQ92" s="318">
        <f t="shared" si="73"/>
        <v>0</v>
      </c>
      <c r="AR92" s="318">
        <f t="shared" si="74"/>
        <v>0</v>
      </c>
      <c r="AS92" s="318">
        <f t="shared" si="75"/>
        <v>0</v>
      </c>
      <c r="AT92" s="318">
        <f t="shared" si="76"/>
        <v>0</v>
      </c>
      <c r="AU92" s="318">
        <f t="shared" si="77"/>
        <v>0</v>
      </c>
      <c r="AV92" s="318">
        <f t="shared" si="78"/>
        <v>0</v>
      </c>
      <c r="AW92" s="318">
        <f t="shared" si="79"/>
        <v>0</v>
      </c>
      <c r="AX92" s="318">
        <f t="shared" si="80"/>
        <v>0</v>
      </c>
      <c r="AY92" s="318">
        <f t="shared" si="81"/>
        <v>0</v>
      </c>
      <c r="AZ92" s="318">
        <f t="shared" si="82"/>
        <v>0</v>
      </c>
      <c r="BA92" s="318">
        <f t="shared" si="83"/>
        <v>0</v>
      </c>
    </row>
    <row r="93" spans="1:53" s="315" customFormat="1" ht="15" customHeight="1">
      <c r="A93" s="63" t="str">
        <f t="array" ref="A93">IF(C93&lt;&gt;0,SUM(($C$11:C93&lt;&gt;0)*1),"")</f>
        <v/>
      </c>
      <c r="B93" s="316"/>
      <c r="C93" s="316"/>
      <c r="D93" s="316"/>
      <c r="E93" s="436"/>
      <c r="F93" s="372"/>
      <c r="G93" s="374"/>
      <c r="H93" s="374"/>
      <c r="I93" s="63" t="str">
        <f t="shared" si="90"/>
        <v/>
      </c>
      <c r="J93" s="318">
        <f t="shared" si="46"/>
        <v>0</v>
      </c>
      <c r="K93" s="318">
        <f t="shared" si="47"/>
        <v>0</v>
      </c>
      <c r="L93" s="318">
        <f t="shared" si="48"/>
        <v>0</v>
      </c>
      <c r="M93" s="318">
        <f t="shared" si="49"/>
        <v>0</v>
      </c>
      <c r="N93" s="318">
        <f t="shared" si="84"/>
        <v>0</v>
      </c>
      <c r="O93" s="318">
        <f t="shared" si="85"/>
        <v>0</v>
      </c>
      <c r="P93" s="318">
        <f t="shared" si="50"/>
        <v>0</v>
      </c>
      <c r="Q93" s="318">
        <f t="shared" si="51"/>
        <v>0</v>
      </c>
      <c r="R93" s="318">
        <f t="shared" si="52"/>
        <v>0</v>
      </c>
      <c r="S93" s="318">
        <f t="shared" si="53"/>
        <v>0</v>
      </c>
      <c r="T93" s="318">
        <f t="shared" si="86"/>
        <v>0</v>
      </c>
      <c r="U93" s="318">
        <f t="shared" si="87"/>
        <v>0</v>
      </c>
      <c r="V93" s="318">
        <f t="shared" si="54"/>
        <v>0</v>
      </c>
      <c r="W93" s="318">
        <f t="shared" si="55"/>
        <v>0</v>
      </c>
      <c r="X93" s="318">
        <f t="shared" si="56"/>
        <v>0</v>
      </c>
      <c r="Y93" s="318">
        <f t="shared" si="57"/>
        <v>0</v>
      </c>
      <c r="Z93" s="318">
        <f t="shared" si="58"/>
        <v>0</v>
      </c>
      <c r="AA93" s="318">
        <f t="shared" si="59"/>
        <v>0</v>
      </c>
      <c r="AB93" s="318">
        <f t="shared" si="60"/>
        <v>0</v>
      </c>
      <c r="AC93" s="318">
        <f t="shared" si="61"/>
        <v>0</v>
      </c>
      <c r="AD93" s="318">
        <f t="shared" si="62"/>
        <v>0</v>
      </c>
      <c r="AE93" s="318">
        <f t="shared" si="63"/>
        <v>0</v>
      </c>
      <c r="AF93" s="318">
        <f t="shared" si="88"/>
        <v>0</v>
      </c>
      <c r="AG93" s="318">
        <f t="shared" si="89"/>
        <v>0</v>
      </c>
      <c r="AH93" s="318">
        <f t="shared" si="64"/>
        <v>0</v>
      </c>
      <c r="AI93" s="318">
        <f t="shared" si="65"/>
        <v>0</v>
      </c>
      <c r="AJ93" s="318">
        <f t="shared" si="66"/>
        <v>0</v>
      </c>
      <c r="AK93" s="318">
        <f t="shared" si="67"/>
        <v>0</v>
      </c>
      <c r="AL93" s="318">
        <f t="shared" si="68"/>
        <v>0</v>
      </c>
      <c r="AM93" s="318">
        <f t="shared" si="69"/>
        <v>0</v>
      </c>
      <c r="AN93" s="318">
        <f t="shared" si="70"/>
        <v>0</v>
      </c>
      <c r="AO93" s="318">
        <f t="shared" si="71"/>
        <v>0</v>
      </c>
      <c r="AP93" s="318">
        <f t="shared" si="72"/>
        <v>0</v>
      </c>
      <c r="AQ93" s="318">
        <f t="shared" si="73"/>
        <v>0</v>
      </c>
      <c r="AR93" s="318">
        <f t="shared" si="74"/>
        <v>0</v>
      </c>
      <c r="AS93" s="318">
        <f t="shared" si="75"/>
        <v>0</v>
      </c>
      <c r="AT93" s="318">
        <f t="shared" si="76"/>
        <v>0</v>
      </c>
      <c r="AU93" s="318">
        <f t="shared" si="77"/>
        <v>0</v>
      </c>
      <c r="AV93" s="318">
        <f t="shared" si="78"/>
        <v>0</v>
      </c>
      <c r="AW93" s="318">
        <f t="shared" si="79"/>
        <v>0</v>
      </c>
      <c r="AX93" s="318">
        <f t="shared" si="80"/>
        <v>0</v>
      </c>
      <c r="AY93" s="318">
        <f t="shared" si="81"/>
        <v>0</v>
      </c>
      <c r="AZ93" s="318">
        <f t="shared" si="82"/>
        <v>0</v>
      </c>
      <c r="BA93" s="318">
        <f t="shared" si="83"/>
        <v>0</v>
      </c>
    </row>
    <row r="94" spans="1:53" s="315" customFormat="1" ht="15" customHeight="1">
      <c r="A94" s="63" t="str">
        <f t="array" ref="A94">IF(C94&lt;&gt;0,SUM(($C$11:C94&lt;&gt;0)*1),"")</f>
        <v/>
      </c>
      <c r="B94" s="316"/>
      <c r="C94" s="316"/>
      <c r="D94" s="316"/>
      <c r="E94" s="436"/>
      <c r="F94" s="372"/>
      <c r="G94" s="374"/>
      <c r="H94" s="374"/>
      <c r="I94" s="63" t="str">
        <f t="shared" si="90"/>
        <v/>
      </c>
      <c r="J94" s="318">
        <f t="shared" si="46"/>
        <v>0</v>
      </c>
      <c r="K94" s="318">
        <f t="shared" si="47"/>
        <v>0</v>
      </c>
      <c r="L94" s="318">
        <f t="shared" si="48"/>
        <v>0</v>
      </c>
      <c r="M94" s="318">
        <f t="shared" si="49"/>
        <v>0</v>
      </c>
      <c r="N94" s="318">
        <f t="shared" si="84"/>
        <v>0</v>
      </c>
      <c r="O94" s="318">
        <f t="shared" si="85"/>
        <v>0</v>
      </c>
      <c r="P94" s="318">
        <f t="shared" si="50"/>
        <v>0</v>
      </c>
      <c r="Q94" s="318">
        <f t="shared" si="51"/>
        <v>0</v>
      </c>
      <c r="R94" s="318">
        <f t="shared" si="52"/>
        <v>0</v>
      </c>
      <c r="S94" s="318">
        <f t="shared" si="53"/>
        <v>0</v>
      </c>
      <c r="T94" s="318">
        <f t="shared" si="86"/>
        <v>0</v>
      </c>
      <c r="U94" s="318">
        <f t="shared" si="87"/>
        <v>0</v>
      </c>
      <c r="V94" s="318">
        <f t="shared" si="54"/>
        <v>0</v>
      </c>
      <c r="W94" s="318">
        <f t="shared" si="55"/>
        <v>0</v>
      </c>
      <c r="X94" s="318">
        <f t="shared" si="56"/>
        <v>0</v>
      </c>
      <c r="Y94" s="318">
        <f t="shared" si="57"/>
        <v>0</v>
      </c>
      <c r="Z94" s="318">
        <f t="shared" si="58"/>
        <v>0</v>
      </c>
      <c r="AA94" s="318">
        <f t="shared" si="59"/>
        <v>0</v>
      </c>
      <c r="AB94" s="318">
        <f t="shared" si="60"/>
        <v>0</v>
      </c>
      <c r="AC94" s="318">
        <f t="shared" si="61"/>
        <v>0</v>
      </c>
      <c r="AD94" s="318">
        <f t="shared" si="62"/>
        <v>0</v>
      </c>
      <c r="AE94" s="318">
        <f t="shared" si="63"/>
        <v>0</v>
      </c>
      <c r="AF94" s="318">
        <f t="shared" si="88"/>
        <v>0</v>
      </c>
      <c r="AG94" s="318">
        <f t="shared" si="89"/>
        <v>0</v>
      </c>
      <c r="AH94" s="318">
        <f t="shared" si="64"/>
        <v>0</v>
      </c>
      <c r="AI94" s="318">
        <f t="shared" si="65"/>
        <v>0</v>
      </c>
      <c r="AJ94" s="318">
        <f t="shared" si="66"/>
        <v>0</v>
      </c>
      <c r="AK94" s="318">
        <f t="shared" si="67"/>
        <v>0</v>
      </c>
      <c r="AL94" s="318">
        <f t="shared" si="68"/>
        <v>0</v>
      </c>
      <c r="AM94" s="318">
        <f t="shared" si="69"/>
        <v>0</v>
      </c>
      <c r="AN94" s="318">
        <f t="shared" si="70"/>
        <v>0</v>
      </c>
      <c r="AO94" s="318">
        <f t="shared" si="71"/>
        <v>0</v>
      </c>
      <c r="AP94" s="318">
        <f t="shared" si="72"/>
        <v>0</v>
      </c>
      <c r="AQ94" s="318">
        <f t="shared" si="73"/>
        <v>0</v>
      </c>
      <c r="AR94" s="318">
        <f t="shared" si="74"/>
        <v>0</v>
      </c>
      <c r="AS94" s="318">
        <f t="shared" si="75"/>
        <v>0</v>
      </c>
      <c r="AT94" s="318">
        <f t="shared" si="76"/>
        <v>0</v>
      </c>
      <c r="AU94" s="318">
        <f t="shared" si="77"/>
        <v>0</v>
      </c>
      <c r="AV94" s="318">
        <f t="shared" si="78"/>
        <v>0</v>
      </c>
      <c r="AW94" s="318">
        <f t="shared" si="79"/>
        <v>0</v>
      </c>
      <c r="AX94" s="318">
        <f t="shared" si="80"/>
        <v>0</v>
      </c>
      <c r="AY94" s="318">
        <f t="shared" si="81"/>
        <v>0</v>
      </c>
      <c r="AZ94" s="318">
        <f t="shared" si="82"/>
        <v>0</v>
      </c>
      <c r="BA94" s="318">
        <f t="shared" si="83"/>
        <v>0</v>
      </c>
    </row>
    <row r="95" spans="1:53" s="315" customFormat="1" ht="15" customHeight="1">
      <c r="A95" s="63" t="str">
        <f t="array" ref="A95">IF(C95&lt;&gt;0,SUM(($C$11:C95&lt;&gt;0)*1),"")</f>
        <v/>
      </c>
      <c r="B95" s="316"/>
      <c r="C95" s="316"/>
      <c r="D95" s="316"/>
      <c r="E95" s="436"/>
      <c r="F95" s="372"/>
      <c r="G95" s="374"/>
      <c r="H95" s="374"/>
      <c r="I95" s="63" t="str">
        <f t="shared" si="90"/>
        <v/>
      </c>
      <c r="J95" s="318">
        <f t="shared" si="46"/>
        <v>0</v>
      </c>
      <c r="K95" s="318">
        <f t="shared" si="47"/>
        <v>0</v>
      </c>
      <c r="L95" s="318">
        <f t="shared" si="48"/>
        <v>0</v>
      </c>
      <c r="M95" s="318">
        <f t="shared" si="49"/>
        <v>0</v>
      </c>
      <c r="N95" s="318">
        <f t="shared" si="84"/>
        <v>0</v>
      </c>
      <c r="O95" s="318">
        <f t="shared" si="85"/>
        <v>0</v>
      </c>
      <c r="P95" s="318">
        <f t="shared" si="50"/>
        <v>0</v>
      </c>
      <c r="Q95" s="318">
        <f t="shared" si="51"/>
        <v>0</v>
      </c>
      <c r="R95" s="318">
        <f t="shared" si="52"/>
        <v>0</v>
      </c>
      <c r="S95" s="318">
        <f t="shared" si="53"/>
        <v>0</v>
      </c>
      <c r="T95" s="318">
        <f t="shared" si="86"/>
        <v>0</v>
      </c>
      <c r="U95" s="318">
        <f t="shared" si="87"/>
        <v>0</v>
      </c>
      <c r="V95" s="318">
        <f t="shared" si="54"/>
        <v>0</v>
      </c>
      <c r="W95" s="318">
        <f t="shared" si="55"/>
        <v>0</v>
      </c>
      <c r="X95" s="318">
        <f t="shared" si="56"/>
        <v>0</v>
      </c>
      <c r="Y95" s="318">
        <f t="shared" si="57"/>
        <v>0</v>
      </c>
      <c r="Z95" s="318">
        <f t="shared" si="58"/>
        <v>0</v>
      </c>
      <c r="AA95" s="318">
        <f t="shared" si="59"/>
        <v>0</v>
      </c>
      <c r="AB95" s="318">
        <f t="shared" si="60"/>
        <v>0</v>
      </c>
      <c r="AC95" s="318">
        <f t="shared" si="61"/>
        <v>0</v>
      </c>
      <c r="AD95" s="318">
        <f t="shared" si="62"/>
        <v>0</v>
      </c>
      <c r="AE95" s="318">
        <f t="shared" si="63"/>
        <v>0</v>
      </c>
      <c r="AF95" s="318">
        <f t="shared" si="88"/>
        <v>0</v>
      </c>
      <c r="AG95" s="318">
        <f t="shared" si="89"/>
        <v>0</v>
      </c>
      <c r="AH95" s="318">
        <f t="shared" si="64"/>
        <v>0</v>
      </c>
      <c r="AI95" s="318">
        <f t="shared" si="65"/>
        <v>0</v>
      </c>
      <c r="AJ95" s="318">
        <f t="shared" si="66"/>
        <v>0</v>
      </c>
      <c r="AK95" s="318">
        <f t="shared" si="67"/>
        <v>0</v>
      </c>
      <c r="AL95" s="318">
        <f t="shared" si="68"/>
        <v>0</v>
      </c>
      <c r="AM95" s="318">
        <f t="shared" si="69"/>
        <v>0</v>
      </c>
      <c r="AN95" s="318">
        <f t="shared" si="70"/>
        <v>0</v>
      </c>
      <c r="AO95" s="318">
        <f t="shared" si="71"/>
        <v>0</v>
      </c>
      <c r="AP95" s="318">
        <f t="shared" si="72"/>
        <v>0</v>
      </c>
      <c r="AQ95" s="318">
        <f t="shared" si="73"/>
        <v>0</v>
      </c>
      <c r="AR95" s="318">
        <f t="shared" si="74"/>
        <v>0</v>
      </c>
      <c r="AS95" s="318">
        <f t="shared" si="75"/>
        <v>0</v>
      </c>
      <c r="AT95" s="318">
        <f t="shared" si="76"/>
        <v>0</v>
      </c>
      <c r="AU95" s="318">
        <f t="shared" si="77"/>
        <v>0</v>
      </c>
      <c r="AV95" s="318">
        <f t="shared" si="78"/>
        <v>0</v>
      </c>
      <c r="AW95" s="318">
        <f t="shared" si="79"/>
        <v>0</v>
      </c>
      <c r="AX95" s="318">
        <f t="shared" si="80"/>
        <v>0</v>
      </c>
      <c r="AY95" s="318">
        <f t="shared" si="81"/>
        <v>0</v>
      </c>
      <c r="AZ95" s="318">
        <f t="shared" si="82"/>
        <v>0</v>
      </c>
      <c r="BA95" s="318">
        <f t="shared" si="83"/>
        <v>0</v>
      </c>
    </row>
    <row r="96" spans="1:53" s="315" customFormat="1" ht="15" customHeight="1">
      <c r="A96" s="63" t="str">
        <f t="array" ref="A96">IF(C96&lt;&gt;0,SUM(($C$11:C96&lt;&gt;0)*1),"")</f>
        <v/>
      </c>
      <c r="B96" s="316"/>
      <c r="C96" s="316"/>
      <c r="D96" s="316"/>
      <c r="E96" s="436"/>
      <c r="F96" s="372"/>
      <c r="G96" s="374"/>
      <c r="H96" s="374"/>
      <c r="I96" s="63" t="str">
        <f t="shared" si="90"/>
        <v/>
      </c>
      <c r="J96" s="318">
        <f t="shared" si="46"/>
        <v>0</v>
      </c>
      <c r="K96" s="318">
        <f t="shared" si="47"/>
        <v>0</v>
      </c>
      <c r="L96" s="318">
        <f t="shared" si="48"/>
        <v>0</v>
      </c>
      <c r="M96" s="318">
        <f t="shared" si="49"/>
        <v>0</v>
      </c>
      <c r="N96" s="318">
        <f t="shared" si="84"/>
        <v>0</v>
      </c>
      <c r="O96" s="318">
        <f t="shared" si="85"/>
        <v>0</v>
      </c>
      <c r="P96" s="318">
        <f t="shared" si="50"/>
        <v>0</v>
      </c>
      <c r="Q96" s="318">
        <f t="shared" si="51"/>
        <v>0</v>
      </c>
      <c r="R96" s="318">
        <f t="shared" si="52"/>
        <v>0</v>
      </c>
      <c r="S96" s="318">
        <f t="shared" si="53"/>
        <v>0</v>
      </c>
      <c r="T96" s="318">
        <f t="shared" si="86"/>
        <v>0</v>
      </c>
      <c r="U96" s="318">
        <f t="shared" si="87"/>
        <v>0</v>
      </c>
      <c r="V96" s="318">
        <f t="shared" si="54"/>
        <v>0</v>
      </c>
      <c r="W96" s="318">
        <f t="shared" si="55"/>
        <v>0</v>
      </c>
      <c r="X96" s="318">
        <f t="shared" si="56"/>
        <v>0</v>
      </c>
      <c r="Y96" s="318">
        <f t="shared" si="57"/>
        <v>0</v>
      </c>
      <c r="Z96" s="318">
        <f t="shared" si="58"/>
        <v>0</v>
      </c>
      <c r="AA96" s="318">
        <f t="shared" si="59"/>
        <v>0</v>
      </c>
      <c r="AB96" s="318">
        <f t="shared" si="60"/>
        <v>0</v>
      </c>
      <c r="AC96" s="318">
        <f t="shared" si="61"/>
        <v>0</v>
      </c>
      <c r="AD96" s="318">
        <f t="shared" si="62"/>
        <v>0</v>
      </c>
      <c r="AE96" s="318">
        <f t="shared" si="63"/>
        <v>0</v>
      </c>
      <c r="AF96" s="318">
        <f t="shared" si="88"/>
        <v>0</v>
      </c>
      <c r="AG96" s="318">
        <f t="shared" si="89"/>
        <v>0</v>
      </c>
      <c r="AH96" s="318">
        <f t="shared" si="64"/>
        <v>0</v>
      </c>
      <c r="AI96" s="318">
        <f t="shared" si="65"/>
        <v>0</v>
      </c>
      <c r="AJ96" s="318">
        <f t="shared" si="66"/>
        <v>0</v>
      </c>
      <c r="AK96" s="318">
        <f t="shared" si="67"/>
        <v>0</v>
      </c>
      <c r="AL96" s="318">
        <f t="shared" si="68"/>
        <v>0</v>
      </c>
      <c r="AM96" s="318">
        <f t="shared" si="69"/>
        <v>0</v>
      </c>
      <c r="AN96" s="318">
        <f t="shared" si="70"/>
        <v>0</v>
      </c>
      <c r="AO96" s="318">
        <f t="shared" si="71"/>
        <v>0</v>
      </c>
      <c r="AP96" s="318">
        <f t="shared" si="72"/>
        <v>0</v>
      </c>
      <c r="AQ96" s="318">
        <f t="shared" si="73"/>
        <v>0</v>
      </c>
      <c r="AR96" s="318">
        <f t="shared" si="74"/>
        <v>0</v>
      </c>
      <c r="AS96" s="318">
        <f t="shared" si="75"/>
        <v>0</v>
      </c>
      <c r="AT96" s="318">
        <f t="shared" si="76"/>
        <v>0</v>
      </c>
      <c r="AU96" s="318">
        <f t="shared" si="77"/>
        <v>0</v>
      </c>
      <c r="AV96" s="318">
        <f t="shared" si="78"/>
        <v>0</v>
      </c>
      <c r="AW96" s="318">
        <f t="shared" si="79"/>
        <v>0</v>
      </c>
      <c r="AX96" s="318">
        <f t="shared" si="80"/>
        <v>0</v>
      </c>
      <c r="AY96" s="318">
        <f t="shared" si="81"/>
        <v>0</v>
      </c>
      <c r="AZ96" s="318">
        <f t="shared" si="82"/>
        <v>0</v>
      </c>
      <c r="BA96" s="318">
        <f t="shared" si="83"/>
        <v>0</v>
      </c>
    </row>
    <row r="97" spans="1:53" s="315" customFormat="1" ht="15" customHeight="1">
      <c r="A97" s="63" t="str">
        <f t="array" ref="A97">IF(C97&lt;&gt;0,SUM(($C$11:C97&lt;&gt;0)*1),"")</f>
        <v/>
      </c>
      <c r="B97" s="316"/>
      <c r="C97" s="316"/>
      <c r="D97" s="316"/>
      <c r="E97" s="436"/>
      <c r="F97" s="372"/>
      <c r="G97" s="374"/>
      <c r="H97" s="374"/>
      <c r="I97" s="63" t="str">
        <f t="shared" si="90"/>
        <v/>
      </c>
      <c r="J97" s="318">
        <f t="shared" si="46"/>
        <v>0</v>
      </c>
      <c r="K97" s="318">
        <f t="shared" si="47"/>
        <v>0</v>
      </c>
      <c r="L97" s="318">
        <f t="shared" si="48"/>
        <v>0</v>
      </c>
      <c r="M97" s="318">
        <f t="shared" si="49"/>
        <v>0</v>
      </c>
      <c r="N97" s="318">
        <f t="shared" si="84"/>
        <v>0</v>
      </c>
      <c r="O97" s="318">
        <f t="shared" si="85"/>
        <v>0</v>
      </c>
      <c r="P97" s="318">
        <f t="shared" si="50"/>
        <v>0</v>
      </c>
      <c r="Q97" s="318">
        <f t="shared" si="51"/>
        <v>0</v>
      </c>
      <c r="R97" s="318">
        <f t="shared" si="52"/>
        <v>0</v>
      </c>
      <c r="S97" s="318">
        <f t="shared" si="53"/>
        <v>0</v>
      </c>
      <c r="T97" s="318">
        <f t="shared" si="86"/>
        <v>0</v>
      </c>
      <c r="U97" s="318">
        <f t="shared" si="87"/>
        <v>0</v>
      </c>
      <c r="V97" s="318">
        <f t="shared" si="54"/>
        <v>0</v>
      </c>
      <c r="W97" s="318">
        <f t="shared" si="55"/>
        <v>0</v>
      </c>
      <c r="X97" s="318">
        <f t="shared" si="56"/>
        <v>0</v>
      </c>
      <c r="Y97" s="318">
        <f t="shared" si="57"/>
        <v>0</v>
      </c>
      <c r="Z97" s="318">
        <f t="shared" si="58"/>
        <v>0</v>
      </c>
      <c r="AA97" s="318">
        <f t="shared" si="59"/>
        <v>0</v>
      </c>
      <c r="AB97" s="318">
        <f t="shared" si="60"/>
        <v>0</v>
      </c>
      <c r="AC97" s="318">
        <f t="shared" si="61"/>
        <v>0</v>
      </c>
      <c r="AD97" s="318">
        <f t="shared" si="62"/>
        <v>0</v>
      </c>
      <c r="AE97" s="318">
        <f t="shared" si="63"/>
        <v>0</v>
      </c>
      <c r="AF97" s="318">
        <f t="shared" si="88"/>
        <v>0</v>
      </c>
      <c r="AG97" s="318">
        <f t="shared" si="89"/>
        <v>0</v>
      </c>
      <c r="AH97" s="318">
        <f t="shared" si="64"/>
        <v>0</v>
      </c>
      <c r="AI97" s="318">
        <f t="shared" si="65"/>
        <v>0</v>
      </c>
      <c r="AJ97" s="318">
        <f t="shared" si="66"/>
        <v>0</v>
      </c>
      <c r="AK97" s="318">
        <f t="shared" si="67"/>
        <v>0</v>
      </c>
      <c r="AL97" s="318">
        <f t="shared" si="68"/>
        <v>0</v>
      </c>
      <c r="AM97" s="318">
        <f t="shared" si="69"/>
        <v>0</v>
      </c>
      <c r="AN97" s="318">
        <f t="shared" si="70"/>
        <v>0</v>
      </c>
      <c r="AO97" s="318">
        <f t="shared" si="71"/>
        <v>0</v>
      </c>
      <c r="AP97" s="318">
        <f t="shared" si="72"/>
        <v>0</v>
      </c>
      <c r="AQ97" s="318">
        <f t="shared" si="73"/>
        <v>0</v>
      </c>
      <c r="AR97" s="318">
        <f t="shared" si="74"/>
        <v>0</v>
      </c>
      <c r="AS97" s="318">
        <f t="shared" si="75"/>
        <v>0</v>
      </c>
      <c r="AT97" s="318">
        <f t="shared" si="76"/>
        <v>0</v>
      </c>
      <c r="AU97" s="318">
        <f t="shared" si="77"/>
        <v>0</v>
      </c>
      <c r="AV97" s="318">
        <f t="shared" si="78"/>
        <v>0</v>
      </c>
      <c r="AW97" s="318">
        <f t="shared" si="79"/>
        <v>0</v>
      </c>
      <c r="AX97" s="318">
        <f t="shared" si="80"/>
        <v>0</v>
      </c>
      <c r="AY97" s="318">
        <f t="shared" si="81"/>
        <v>0</v>
      </c>
      <c r="AZ97" s="318">
        <f t="shared" si="82"/>
        <v>0</v>
      </c>
      <c r="BA97" s="318">
        <f t="shared" si="83"/>
        <v>0</v>
      </c>
    </row>
    <row r="98" spans="1:53" s="315" customFormat="1" ht="15" customHeight="1">
      <c r="A98" s="63" t="str">
        <f t="array" ref="A98">IF(C98&lt;&gt;0,SUM(($C$11:C98&lt;&gt;0)*1),"")</f>
        <v/>
      </c>
      <c r="B98" s="316"/>
      <c r="C98" s="316"/>
      <c r="D98" s="316"/>
      <c r="E98" s="436"/>
      <c r="F98" s="372"/>
      <c r="G98" s="374"/>
      <c r="H98" s="374"/>
      <c r="I98" s="63" t="str">
        <f t="shared" si="90"/>
        <v/>
      </c>
      <c r="J98" s="318">
        <f t="shared" si="46"/>
        <v>0</v>
      </c>
      <c r="K98" s="318">
        <f t="shared" si="47"/>
        <v>0</v>
      </c>
      <c r="L98" s="318">
        <f t="shared" si="48"/>
        <v>0</v>
      </c>
      <c r="M98" s="318">
        <f t="shared" si="49"/>
        <v>0</v>
      </c>
      <c r="N98" s="318">
        <f t="shared" si="84"/>
        <v>0</v>
      </c>
      <c r="O98" s="318">
        <f t="shared" si="85"/>
        <v>0</v>
      </c>
      <c r="P98" s="318">
        <f t="shared" si="50"/>
        <v>0</v>
      </c>
      <c r="Q98" s="318">
        <f t="shared" si="51"/>
        <v>0</v>
      </c>
      <c r="R98" s="318">
        <f t="shared" si="52"/>
        <v>0</v>
      </c>
      <c r="S98" s="318">
        <f t="shared" si="53"/>
        <v>0</v>
      </c>
      <c r="T98" s="318">
        <f t="shared" si="86"/>
        <v>0</v>
      </c>
      <c r="U98" s="318">
        <f t="shared" si="87"/>
        <v>0</v>
      </c>
      <c r="V98" s="318">
        <f t="shared" si="54"/>
        <v>0</v>
      </c>
      <c r="W98" s="318">
        <f t="shared" si="55"/>
        <v>0</v>
      </c>
      <c r="X98" s="318">
        <f t="shared" si="56"/>
        <v>0</v>
      </c>
      <c r="Y98" s="318">
        <f t="shared" si="57"/>
        <v>0</v>
      </c>
      <c r="Z98" s="318">
        <f t="shared" si="58"/>
        <v>0</v>
      </c>
      <c r="AA98" s="318">
        <f t="shared" si="59"/>
        <v>0</v>
      </c>
      <c r="AB98" s="318">
        <f t="shared" si="60"/>
        <v>0</v>
      </c>
      <c r="AC98" s="318">
        <f t="shared" si="61"/>
        <v>0</v>
      </c>
      <c r="AD98" s="318">
        <f t="shared" si="62"/>
        <v>0</v>
      </c>
      <c r="AE98" s="318">
        <f t="shared" si="63"/>
        <v>0</v>
      </c>
      <c r="AF98" s="318">
        <f t="shared" si="88"/>
        <v>0</v>
      </c>
      <c r="AG98" s="318">
        <f t="shared" si="89"/>
        <v>0</v>
      </c>
      <c r="AH98" s="318">
        <f t="shared" si="64"/>
        <v>0</v>
      </c>
      <c r="AI98" s="318">
        <f t="shared" si="65"/>
        <v>0</v>
      </c>
      <c r="AJ98" s="318">
        <f t="shared" si="66"/>
        <v>0</v>
      </c>
      <c r="AK98" s="318">
        <f t="shared" si="67"/>
        <v>0</v>
      </c>
      <c r="AL98" s="318">
        <f t="shared" si="68"/>
        <v>0</v>
      </c>
      <c r="AM98" s="318">
        <f t="shared" si="69"/>
        <v>0</v>
      </c>
      <c r="AN98" s="318">
        <f t="shared" si="70"/>
        <v>0</v>
      </c>
      <c r="AO98" s="318">
        <f t="shared" si="71"/>
        <v>0</v>
      </c>
      <c r="AP98" s="318">
        <f t="shared" si="72"/>
        <v>0</v>
      </c>
      <c r="AQ98" s="318">
        <f t="shared" si="73"/>
        <v>0</v>
      </c>
      <c r="AR98" s="318">
        <f t="shared" si="74"/>
        <v>0</v>
      </c>
      <c r="AS98" s="318">
        <f t="shared" si="75"/>
        <v>0</v>
      </c>
      <c r="AT98" s="318">
        <f t="shared" si="76"/>
        <v>0</v>
      </c>
      <c r="AU98" s="318">
        <f t="shared" si="77"/>
        <v>0</v>
      </c>
      <c r="AV98" s="318">
        <f t="shared" si="78"/>
        <v>0</v>
      </c>
      <c r="AW98" s="318">
        <f t="shared" si="79"/>
        <v>0</v>
      </c>
      <c r="AX98" s="318">
        <f t="shared" si="80"/>
        <v>0</v>
      </c>
      <c r="AY98" s="318">
        <f t="shared" si="81"/>
        <v>0</v>
      </c>
      <c r="AZ98" s="318">
        <f t="shared" si="82"/>
        <v>0</v>
      </c>
      <c r="BA98" s="318">
        <f t="shared" si="83"/>
        <v>0</v>
      </c>
    </row>
    <row r="99" spans="1:53" s="315" customFormat="1" ht="15" customHeight="1">
      <c r="A99" s="63" t="str">
        <f t="array" ref="A99">IF(C99&lt;&gt;0,SUM(($C$11:C99&lt;&gt;0)*1),"")</f>
        <v/>
      </c>
      <c r="B99" s="316"/>
      <c r="C99" s="316"/>
      <c r="D99" s="316"/>
      <c r="E99" s="436"/>
      <c r="F99" s="372"/>
      <c r="G99" s="374"/>
      <c r="H99" s="374"/>
      <c r="I99" s="63" t="str">
        <f t="shared" si="90"/>
        <v/>
      </c>
      <c r="J99" s="318">
        <f t="shared" si="46"/>
        <v>0</v>
      </c>
      <c r="K99" s="318">
        <f t="shared" si="47"/>
        <v>0</v>
      </c>
      <c r="L99" s="318">
        <f t="shared" si="48"/>
        <v>0</v>
      </c>
      <c r="M99" s="318">
        <f t="shared" si="49"/>
        <v>0</v>
      </c>
      <c r="N99" s="318">
        <f t="shared" si="84"/>
        <v>0</v>
      </c>
      <c r="O99" s="318">
        <f t="shared" si="85"/>
        <v>0</v>
      </c>
      <c r="P99" s="318">
        <f t="shared" si="50"/>
        <v>0</v>
      </c>
      <c r="Q99" s="318">
        <f t="shared" si="51"/>
        <v>0</v>
      </c>
      <c r="R99" s="318">
        <f t="shared" si="52"/>
        <v>0</v>
      </c>
      <c r="S99" s="318">
        <f t="shared" si="53"/>
        <v>0</v>
      </c>
      <c r="T99" s="318">
        <f t="shared" si="86"/>
        <v>0</v>
      </c>
      <c r="U99" s="318">
        <f t="shared" si="87"/>
        <v>0</v>
      </c>
      <c r="V99" s="318">
        <f t="shared" si="54"/>
        <v>0</v>
      </c>
      <c r="W99" s="318">
        <f t="shared" si="55"/>
        <v>0</v>
      </c>
      <c r="X99" s="318">
        <f t="shared" si="56"/>
        <v>0</v>
      </c>
      <c r="Y99" s="318">
        <f t="shared" si="57"/>
        <v>0</v>
      </c>
      <c r="Z99" s="318">
        <f t="shared" si="58"/>
        <v>0</v>
      </c>
      <c r="AA99" s="318">
        <f t="shared" si="59"/>
        <v>0</v>
      </c>
      <c r="AB99" s="318">
        <f t="shared" si="60"/>
        <v>0</v>
      </c>
      <c r="AC99" s="318">
        <f t="shared" si="61"/>
        <v>0</v>
      </c>
      <c r="AD99" s="318">
        <f t="shared" si="62"/>
        <v>0</v>
      </c>
      <c r="AE99" s="318">
        <f t="shared" si="63"/>
        <v>0</v>
      </c>
      <c r="AF99" s="318">
        <f t="shared" si="88"/>
        <v>0</v>
      </c>
      <c r="AG99" s="318">
        <f t="shared" si="89"/>
        <v>0</v>
      </c>
      <c r="AH99" s="318">
        <f t="shared" si="64"/>
        <v>0</v>
      </c>
      <c r="AI99" s="318">
        <f t="shared" si="65"/>
        <v>0</v>
      </c>
      <c r="AJ99" s="318">
        <f t="shared" si="66"/>
        <v>0</v>
      </c>
      <c r="AK99" s="318">
        <f t="shared" si="67"/>
        <v>0</v>
      </c>
      <c r="AL99" s="318">
        <f t="shared" si="68"/>
        <v>0</v>
      </c>
      <c r="AM99" s="318">
        <f t="shared" si="69"/>
        <v>0</v>
      </c>
      <c r="AN99" s="318">
        <f t="shared" si="70"/>
        <v>0</v>
      </c>
      <c r="AO99" s="318">
        <f t="shared" si="71"/>
        <v>0</v>
      </c>
      <c r="AP99" s="318">
        <f t="shared" si="72"/>
        <v>0</v>
      </c>
      <c r="AQ99" s="318">
        <f t="shared" si="73"/>
        <v>0</v>
      </c>
      <c r="AR99" s="318">
        <f t="shared" si="74"/>
        <v>0</v>
      </c>
      <c r="AS99" s="318">
        <f t="shared" si="75"/>
        <v>0</v>
      </c>
      <c r="AT99" s="318">
        <f t="shared" si="76"/>
        <v>0</v>
      </c>
      <c r="AU99" s="318">
        <f t="shared" si="77"/>
        <v>0</v>
      </c>
      <c r="AV99" s="318">
        <f t="shared" si="78"/>
        <v>0</v>
      </c>
      <c r="AW99" s="318">
        <f t="shared" si="79"/>
        <v>0</v>
      </c>
      <c r="AX99" s="318">
        <f t="shared" si="80"/>
        <v>0</v>
      </c>
      <c r="AY99" s="318">
        <f t="shared" si="81"/>
        <v>0</v>
      </c>
      <c r="AZ99" s="318">
        <f t="shared" si="82"/>
        <v>0</v>
      </c>
      <c r="BA99" s="318">
        <f t="shared" si="83"/>
        <v>0</v>
      </c>
    </row>
    <row r="100" spans="1:53" s="315" customFormat="1" ht="15" customHeight="1">
      <c r="A100" s="63" t="str">
        <f t="array" ref="A100">IF(C100&lt;&gt;0,SUM(($C$11:C100&lt;&gt;0)*1),"")</f>
        <v/>
      </c>
      <c r="B100" s="316"/>
      <c r="C100" s="316"/>
      <c r="D100" s="316"/>
      <c r="E100" s="436"/>
      <c r="F100" s="372"/>
      <c r="G100" s="374"/>
      <c r="H100" s="374"/>
      <c r="I100" s="63" t="str">
        <f t="shared" si="90"/>
        <v/>
      </c>
      <c r="J100" s="318">
        <f t="shared" si="46"/>
        <v>0</v>
      </c>
      <c r="K100" s="318">
        <f t="shared" si="47"/>
        <v>0</v>
      </c>
      <c r="L100" s="318">
        <f t="shared" si="48"/>
        <v>0</v>
      </c>
      <c r="M100" s="318">
        <f t="shared" si="49"/>
        <v>0</v>
      </c>
      <c r="N100" s="318">
        <f t="shared" si="84"/>
        <v>0</v>
      </c>
      <c r="O100" s="318">
        <f t="shared" si="85"/>
        <v>0</v>
      </c>
      <c r="P100" s="318">
        <f t="shared" si="50"/>
        <v>0</v>
      </c>
      <c r="Q100" s="318">
        <f t="shared" si="51"/>
        <v>0</v>
      </c>
      <c r="R100" s="318">
        <f t="shared" si="52"/>
        <v>0</v>
      </c>
      <c r="S100" s="318">
        <f t="shared" si="53"/>
        <v>0</v>
      </c>
      <c r="T100" s="318">
        <f t="shared" si="86"/>
        <v>0</v>
      </c>
      <c r="U100" s="318">
        <f t="shared" si="87"/>
        <v>0</v>
      </c>
      <c r="V100" s="318">
        <f t="shared" si="54"/>
        <v>0</v>
      </c>
      <c r="W100" s="318">
        <f t="shared" si="55"/>
        <v>0</v>
      </c>
      <c r="X100" s="318">
        <f t="shared" si="56"/>
        <v>0</v>
      </c>
      <c r="Y100" s="318">
        <f t="shared" si="57"/>
        <v>0</v>
      </c>
      <c r="Z100" s="318">
        <f t="shared" si="58"/>
        <v>0</v>
      </c>
      <c r="AA100" s="318">
        <f t="shared" si="59"/>
        <v>0</v>
      </c>
      <c r="AB100" s="318">
        <f t="shared" si="60"/>
        <v>0</v>
      </c>
      <c r="AC100" s="318">
        <f t="shared" si="61"/>
        <v>0</v>
      </c>
      <c r="AD100" s="318">
        <f t="shared" si="62"/>
        <v>0</v>
      </c>
      <c r="AE100" s="318">
        <f t="shared" si="63"/>
        <v>0</v>
      </c>
      <c r="AF100" s="318">
        <f t="shared" si="88"/>
        <v>0</v>
      </c>
      <c r="AG100" s="318">
        <f t="shared" si="89"/>
        <v>0</v>
      </c>
      <c r="AH100" s="318">
        <f t="shared" si="64"/>
        <v>0</v>
      </c>
      <c r="AI100" s="318">
        <f t="shared" si="65"/>
        <v>0</v>
      </c>
      <c r="AJ100" s="318">
        <f t="shared" si="66"/>
        <v>0</v>
      </c>
      <c r="AK100" s="318">
        <f t="shared" si="67"/>
        <v>0</v>
      </c>
      <c r="AL100" s="318">
        <f t="shared" si="68"/>
        <v>0</v>
      </c>
      <c r="AM100" s="318">
        <f t="shared" si="69"/>
        <v>0</v>
      </c>
      <c r="AN100" s="318">
        <f t="shared" si="70"/>
        <v>0</v>
      </c>
      <c r="AO100" s="318">
        <f t="shared" si="71"/>
        <v>0</v>
      </c>
      <c r="AP100" s="318">
        <f t="shared" si="72"/>
        <v>0</v>
      </c>
      <c r="AQ100" s="318">
        <f t="shared" si="73"/>
        <v>0</v>
      </c>
      <c r="AR100" s="318">
        <f t="shared" si="74"/>
        <v>0</v>
      </c>
      <c r="AS100" s="318">
        <f t="shared" si="75"/>
        <v>0</v>
      </c>
      <c r="AT100" s="318">
        <f t="shared" si="76"/>
        <v>0</v>
      </c>
      <c r="AU100" s="318">
        <f t="shared" si="77"/>
        <v>0</v>
      </c>
      <c r="AV100" s="318">
        <f t="shared" si="78"/>
        <v>0</v>
      </c>
      <c r="AW100" s="318">
        <f t="shared" si="79"/>
        <v>0</v>
      </c>
      <c r="AX100" s="318">
        <f t="shared" si="80"/>
        <v>0</v>
      </c>
      <c r="AY100" s="318">
        <f t="shared" si="81"/>
        <v>0</v>
      </c>
      <c r="AZ100" s="318">
        <f t="shared" si="82"/>
        <v>0</v>
      </c>
      <c r="BA100" s="318">
        <f t="shared" si="83"/>
        <v>0</v>
      </c>
    </row>
    <row r="101" spans="1:53" s="315" customFormat="1" ht="15" customHeight="1">
      <c r="A101" s="63" t="str">
        <f t="array" ref="A101">IF(C101&lt;&gt;0,SUM(($C$11:C101&lt;&gt;0)*1),"")</f>
        <v/>
      </c>
      <c r="B101" s="316"/>
      <c r="C101" s="316"/>
      <c r="D101" s="316"/>
      <c r="E101" s="436"/>
      <c r="F101" s="372"/>
      <c r="G101" s="374"/>
      <c r="H101" s="374"/>
      <c r="I101" s="63" t="str">
        <f t="shared" si="90"/>
        <v/>
      </c>
      <c r="J101" s="318">
        <f t="shared" si="46"/>
        <v>0</v>
      </c>
      <c r="K101" s="318">
        <f t="shared" si="47"/>
        <v>0</v>
      </c>
      <c r="L101" s="318">
        <f t="shared" si="48"/>
        <v>0</v>
      </c>
      <c r="M101" s="318">
        <f t="shared" si="49"/>
        <v>0</v>
      </c>
      <c r="N101" s="318">
        <f t="shared" si="84"/>
        <v>0</v>
      </c>
      <c r="O101" s="318">
        <f t="shared" si="85"/>
        <v>0</v>
      </c>
      <c r="P101" s="318">
        <f t="shared" si="50"/>
        <v>0</v>
      </c>
      <c r="Q101" s="318">
        <f t="shared" si="51"/>
        <v>0</v>
      </c>
      <c r="R101" s="318">
        <f t="shared" si="52"/>
        <v>0</v>
      </c>
      <c r="S101" s="318">
        <f t="shared" si="53"/>
        <v>0</v>
      </c>
      <c r="T101" s="318">
        <f t="shared" si="86"/>
        <v>0</v>
      </c>
      <c r="U101" s="318">
        <f t="shared" si="87"/>
        <v>0</v>
      </c>
      <c r="V101" s="318">
        <f t="shared" si="54"/>
        <v>0</v>
      </c>
      <c r="W101" s="318">
        <f t="shared" si="55"/>
        <v>0</v>
      </c>
      <c r="X101" s="318">
        <f t="shared" si="56"/>
        <v>0</v>
      </c>
      <c r="Y101" s="318">
        <f t="shared" si="57"/>
        <v>0</v>
      </c>
      <c r="Z101" s="318">
        <f t="shared" si="58"/>
        <v>0</v>
      </c>
      <c r="AA101" s="318">
        <f t="shared" si="59"/>
        <v>0</v>
      </c>
      <c r="AB101" s="318">
        <f t="shared" si="60"/>
        <v>0</v>
      </c>
      <c r="AC101" s="318">
        <f t="shared" si="61"/>
        <v>0</v>
      </c>
      <c r="AD101" s="318">
        <f t="shared" si="62"/>
        <v>0</v>
      </c>
      <c r="AE101" s="318">
        <f t="shared" si="63"/>
        <v>0</v>
      </c>
      <c r="AF101" s="318">
        <f t="shared" si="88"/>
        <v>0</v>
      </c>
      <c r="AG101" s="318">
        <f t="shared" si="89"/>
        <v>0</v>
      </c>
      <c r="AH101" s="318">
        <f t="shared" si="64"/>
        <v>0</v>
      </c>
      <c r="AI101" s="318">
        <f t="shared" si="65"/>
        <v>0</v>
      </c>
      <c r="AJ101" s="318">
        <f t="shared" si="66"/>
        <v>0</v>
      </c>
      <c r="AK101" s="318">
        <f t="shared" si="67"/>
        <v>0</v>
      </c>
      <c r="AL101" s="318">
        <f t="shared" si="68"/>
        <v>0</v>
      </c>
      <c r="AM101" s="318">
        <f t="shared" si="69"/>
        <v>0</v>
      </c>
      <c r="AN101" s="318">
        <f t="shared" si="70"/>
        <v>0</v>
      </c>
      <c r="AO101" s="318">
        <f t="shared" si="71"/>
        <v>0</v>
      </c>
      <c r="AP101" s="318">
        <f t="shared" si="72"/>
        <v>0</v>
      </c>
      <c r="AQ101" s="318">
        <f t="shared" si="73"/>
        <v>0</v>
      </c>
      <c r="AR101" s="318">
        <f t="shared" si="74"/>
        <v>0</v>
      </c>
      <c r="AS101" s="318">
        <f t="shared" si="75"/>
        <v>0</v>
      </c>
      <c r="AT101" s="318">
        <f t="shared" si="76"/>
        <v>0</v>
      </c>
      <c r="AU101" s="318">
        <f t="shared" si="77"/>
        <v>0</v>
      </c>
      <c r="AV101" s="318">
        <f t="shared" si="78"/>
        <v>0</v>
      </c>
      <c r="AW101" s="318">
        <f t="shared" si="79"/>
        <v>0</v>
      </c>
      <c r="AX101" s="318">
        <f t="shared" si="80"/>
        <v>0</v>
      </c>
      <c r="AY101" s="318">
        <f t="shared" si="81"/>
        <v>0</v>
      </c>
      <c r="AZ101" s="318">
        <f t="shared" si="82"/>
        <v>0</v>
      </c>
      <c r="BA101" s="318">
        <f t="shared" si="83"/>
        <v>0</v>
      </c>
    </row>
    <row r="102" spans="1:53" s="315" customFormat="1" ht="15" customHeight="1">
      <c r="A102" s="63" t="str">
        <f t="array" ref="A102">IF(C102&lt;&gt;0,SUM(($C$11:C102&lt;&gt;0)*1),"")</f>
        <v/>
      </c>
      <c r="B102" s="316"/>
      <c r="C102" s="316"/>
      <c r="D102" s="316"/>
      <c r="E102" s="436"/>
      <c r="F102" s="372"/>
      <c r="G102" s="374"/>
      <c r="H102" s="374"/>
      <c r="I102" s="63" t="str">
        <f t="shared" si="90"/>
        <v/>
      </c>
      <c r="J102" s="318">
        <f t="shared" si="46"/>
        <v>0</v>
      </c>
      <c r="K102" s="318">
        <f t="shared" si="47"/>
        <v>0</v>
      </c>
      <c r="L102" s="318">
        <f t="shared" si="48"/>
        <v>0</v>
      </c>
      <c r="M102" s="318">
        <f t="shared" si="49"/>
        <v>0</v>
      </c>
      <c r="N102" s="318">
        <f t="shared" si="84"/>
        <v>0</v>
      </c>
      <c r="O102" s="318">
        <f t="shared" si="85"/>
        <v>0</v>
      </c>
      <c r="P102" s="318">
        <f t="shared" si="50"/>
        <v>0</v>
      </c>
      <c r="Q102" s="318">
        <f t="shared" si="51"/>
        <v>0</v>
      </c>
      <c r="R102" s="318">
        <f t="shared" si="52"/>
        <v>0</v>
      </c>
      <c r="S102" s="318">
        <f t="shared" si="53"/>
        <v>0</v>
      </c>
      <c r="T102" s="318">
        <f t="shared" si="86"/>
        <v>0</v>
      </c>
      <c r="U102" s="318">
        <f t="shared" si="87"/>
        <v>0</v>
      </c>
      <c r="V102" s="318">
        <f t="shared" si="54"/>
        <v>0</v>
      </c>
      <c r="W102" s="318">
        <f t="shared" si="55"/>
        <v>0</v>
      </c>
      <c r="X102" s="318">
        <f t="shared" si="56"/>
        <v>0</v>
      </c>
      <c r="Y102" s="318">
        <f t="shared" si="57"/>
        <v>0</v>
      </c>
      <c r="Z102" s="318">
        <f t="shared" si="58"/>
        <v>0</v>
      </c>
      <c r="AA102" s="318">
        <f t="shared" si="59"/>
        <v>0</v>
      </c>
      <c r="AB102" s="318">
        <f t="shared" si="60"/>
        <v>0</v>
      </c>
      <c r="AC102" s="318">
        <f t="shared" si="61"/>
        <v>0</v>
      </c>
      <c r="AD102" s="318">
        <f t="shared" si="62"/>
        <v>0</v>
      </c>
      <c r="AE102" s="318">
        <f t="shared" si="63"/>
        <v>0</v>
      </c>
      <c r="AF102" s="318">
        <f t="shared" si="88"/>
        <v>0</v>
      </c>
      <c r="AG102" s="318">
        <f t="shared" si="89"/>
        <v>0</v>
      </c>
      <c r="AH102" s="318">
        <f t="shared" si="64"/>
        <v>0</v>
      </c>
      <c r="AI102" s="318">
        <f t="shared" si="65"/>
        <v>0</v>
      </c>
      <c r="AJ102" s="318">
        <f t="shared" si="66"/>
        <v>0</v>
      </c>
      <c r="AK102" s="318">
        <f t="shared" si="67"/>
        <v>0</v>
      </c>
      <c r="AL102" s="318">
        <f t="shared" si="68"/>
        <v>0</v>
      </c>
      <c r="AM102" s="318">
        <f t="shared" si="69"/>
        <v>0</v>
      </c>
      <c r="AN102" s="318">
        <f t="shared" si="70"/>
        <v>0</v>
      </c>
      <c r="AO102" s="318">
        <f t="shared" si="71"/>
        <v>0</v>
      </c>
      <c r="AP102" s="318">
        <f t="shared" si="72"/>
        <v>0</v>
      </c>
      <c r="AQ102" s="318">
        <f t="shared" si="73"/>
        <v>0</v>
      </c>
      <c r="AR102" s="318">
        <f t="shared" si="74"/>
        <v>0</v>
      </c>
      <c r="AS102" s="318">
        <f t="shared" si="75"/>
        <v>0</v>
      </c>
      <c r="AT102" s="318">
        <f t="shared" si="76"/>
        <v>0</v>
      </c>
      <c r="AU102" s="318">
        <f t="shared" si="77"/>
        <v>0</v>
      </c>
      <c r="AV102" s="318">
        <f t="shared" si="78"/>
        <v>0</v>
      </c>
      <c r="AW102" s="318">
        <f t="shared" si="79"/>
        <v>0</v>
      </c>
      <c r="AX102" s="318">
        <f t="shared" si="80"/>
        <v>0</v>
      </c>
      <c r="AY102" s="318">
        <f t="shared" si="81"/>
        <v>0</v>
      </c>
      <c r="AZ102" s="318">
        <f t="shared" si="82"/>
        <v>0</v>
      </c>
      <c r="BA102" s="318">
        <f t="shared" si="83"/>
        <v>0</v>
      </c>
    </row>
    <row r="103" spans="1:53" s="315" customFormat="1" ht="15" customHeight="1">
      <c r="A103" s="63" t="str">
        <f t="array" ref="A103">IF(C103&lt;&gt;0,SUM(($C$11:C103&lt;&gt;0)*1),"")</f>
        <v/>
      </c>
      <c r="B103" s="316"/>
      <c r="C103" s="316"/>
      <c r="D103" s="316"/>
      <c r="E103" s="436"/>
      <c r="F103" s="372"/>
      <c r="G103" s="374"/>
      <c r="H103" s="374"/>
      <c r="I103" s="63" t="str">
        <f t="shared" si="90"/>
        <v/>
      </c>
      <c r="J103" s="318">
        <f t="shared" si="46"/>
        <v>0</v>
      </c>
      <c r="K103" s="318">
        <f t="shared" si="47"/>
        <v>0</v>
      </c>
      <c r="L103" s="318">
        <f t="shared" si="48"/>
        <v>0</v>
      </c>
      <c r="M103" s="318">
        <f t="shared" si="49"/>
        <v>0</v>
      </c>
      <c r="N103" s="318">
        <f t="shared" si="84"/>
        <v>0</v>
      </c>
      <c r="O103" s="318">
        <f t="shared" si="85"/>
        <v>0</v>
      </c>
      <c r="P103" s="318">
        <f t="shared" si="50"/>
        <v>0</v>
      </c>
      <c r="Q103" s="318">
        <f t="shared" si="51"/>
        <v>0</v>
      </c>
      <c r="R103" s="318">
        <f t="shared" si="52"/>
        <v>0</v>
      </c>
      <c r="S103" s="318">
        <f t="shared" si="53"/>
        <v>0</v>
      </c>
      <c r="T103" s="318">
        <f t="shared" si="86"/>
        <v>0</v>
      </c>
      <c r="U103" s="318">
        <f t="shared" si="87"/>
        <v>0</v>
      </c>
      <c r="V103" s="318">
        <f t="shared" si="54"/>
        <v>0</v>
      </c>
      <c r="W103" s="318">
        <f t="shared" si="55"/>
        <v>0</v>
      </c>
      <c r="X103" s="318">
        <f t="shared" si="56"/>
        <v>0</v>
      </c>
      <c r="Y103" s="318">
        <f t="shared" si="57"/>
        <v>0</v>
      </c>
      <c r="Z103" s="318">
        <f t="shared" si="58"/>
        <v>0</v>
      </c>
      <c r="AA103" s="318">
        <f t="shared" si="59"/>
        <v>0</v>
      </c>
      <c r="AB103" s="318">
        <f t="shared" si="60"/>
        <v>0</v>
      </c>
      <c r="AC103" s="318">
        <f t="shared" si="61"/>
        <v>0</v>
      </c>
      <c r="AD103" s="318">
        <f t="shared" si="62"/>
        <v>0</v>
      </c>
      <c r="AE103" s="318">
        <f t="shared" si="63"/>
        <v>0</v>
      </c>
      <c r="AF103" s="318">
        <f t="shared" si="88"/>
        <v>0</v>
      </c>
      <c r="AG103" s="318">
        <f t="shared" si="89"/>
        <v>0</v>
      </c>
      <c r="AH103" s="318">
        <f t="shared" si="64"/>
        <v>0</v>
      </c>
      <c r="AI103" s="318">
        <f t="shared" si="65"/>
        <v>0</v>
      </c>
      <c r="AJ103" s="318">
        <f t="shared" si="66"/>
        <v>0</v>
      </c>
      <c r="AK103" s="318">
        <f t="shared" si="67"/>
        <v>0</v>
      </c>
      <c r="AL103" s="318">
        <f t="shared" si="68"/>
        <v>0</v>
      </c>
      <c r="AM103" s="318">
        <f t="shared" si="69"/>
        <v>0</v>
      </c>
      <c r="AN103" s="318">
        <f t="shared" si="70"/>
        <v>0</v>
      </c>
      <c r="AO103" s="318">
        <f t="shared" si="71"/>
        <v>0</v>
      </c>
      <c r="AP103" s="318">
        <f t="shared" si="72"/>
        <v>0</v>
      </c>
      <c r="AQ103" s="318">
        <f t="shared" si="73"/>
        <v>0</v>
      </c>
      <c r="AR103" s="318">
        <f t="shared" si="74"/>
        <v>0</v>
      </c>
      <c r="AS103" s="318">
        <f t="shared" si="75"/>
        <v>0</v>
      </c>
      <c r="AT103" s="318">
        <f t="shared" si="76"/>
        <v>0</v>
      </c>
      <c r="AU103" s="318">
        <f t="shared" si="77"/>
        <v>0</v>
      </c>
      <c r="AV103" s="318">
        <f t="shared" si="78"/>
        <v>0</v>
      </c>
      <c r="AW103" s="318">
        <f t="shared" si="79"/>
        <v>0</v>
      </c>
      <c r="AX103" s="318">
        <f t="shared" si="80"/>
        <v>0</v>
      </c>
      <c r="AY103" s="318">
        <f t="shared" si="81"/>
        <v>0</v>
      </c>
      <c r="AZ103" s="318">
        <f t="shared" si="82"/>
        <v>0</v>
      </c>
      <c r="BA103" s="318">
        <f t="shared" si="83"/>
        <v>0</v>
      </c>
    </row>
    <row r="104" spans="1:53" s="315" customFormat="1" ht="15" customHeight="1">
      <c r="A104" s="63" t="str">
        <f t="array" ref="A104">IF(C104&lt;&gt;0,SUM(($C$11:C104&lt;&gt;0)*1),"")</f>
        <v/>
      </c>
      <c r="B104" s="316"/>
      <c r="C104" s="316"/>
      <c r="D104" s="316"/>
      <c r="E104" s="436"/>
      <c r="F104" s="372"/>
      <c r="G104" s="374"/>
      <c r="H104" s="374"/>
      <c r="I104" s="63" t="str">
        <f t="shared" si="90"/>
        <v/>
      </c>
      <c r="J104" s="318">
        <f t="shared" si="46"/>
        <v>0</v>
      </c>
      <c r="K104" s="318">
        <f t="shared" si="47"/>
        <v>0</v>
      </c>
      <c r="L104" s="318">
        <f t="shared" si="48"/>
        <v>0</v>
      </c>
      <c r="M104" s="318">
        <f t="shared" si="49"/>
        <v>0</v>
      </c>
      <c r="N104" s="318">
        <f t="shared" si="84"/>
        <v>0</v>
      </c>
      <c r="O104" s="318">
        <f t="shared" si="85"/>
        <v>0</v>
      </c>
      <c r="P104" s="318">
        <f t="shared" si="50"/>
        <v>0</v>
      </c>
      <c r="Q104" s="318">
        <f t="shared" si="51"/>
        <v>0</v>
      </c>
      <c r="R104" s="318">
        <f t="shared" si="52"/>
        <v>0</v>
      </c>
      <c r="S104" s="318">
        <f t="shared" si="53"/>
        <v>0</v>
      </c>
      <c r="T104" s="318">
        <f t="shared" si="86"/>
        <v>0</v>
      </c>
      <c r="U104" s="318">
        <f t="shared" si="87"/>
        <v>0</v>
      </c>
      <c r="V104" s="318">
        <f t="shared" si="54"/>
        <v>0</v>
      </c>
      <c r="W104" s="318">
        <f t="shared" si="55"/>
        <v>0</v>
      </c>
      <c r="X104" s="318">
        <f t="shared" si="56"/>
        <v>0</v>
      </c>
      <c r="Y104" s="318">
        <f t="shared" si="57"/>
        <v>0</v>
      </c>
      <c r="Z104" s="318">
        <f t="shared" si="58"/>
        <v>0</v>
      </c>
      <c r="AA104" s="318">
        <f t="shared" si="59"/>
        <v>0</v>
      </c>
      <c r="AB104" s="318">
        <f t="shared" si="60"/>
        <v>0</v>
      </c>
      <c r="AC104" s="318">
        <f t="shared" si="61"/>
        <v>0</v>
      </c>
      <c r="AD104" s="318">
        <f t="shared" si="62"/>
        <v>0</v>
      </c>
      <c r="AE104" s="318">
        <f t="shared" si="63"/>
        <v>0</v>
      </c>
      <c r="AF104" s="318">
        <f t="shared" si="88"/>
        <v>0</v>
      </c>
      <c r="AG104" s="318">
        <f t="shared" si="89"/>
        <v>0</v>
      </c>
      <c r="AH104" s="318">
        <f t="shared" si="64"/>
        <v>0</v>
      </c>
      <c r="AI104" s="318">
        <f t="shared" si="65"/>
        <v>0</v>
      </c>
      <c r="AJ104" s="318">
        <f t="shared" si="66"/>
        <v>0</v>
      </c>
      <c r="AK104" s="318">
        <f t="shared" si="67"/>
        <v>0</v>
      </c>
      <c r="AL104" s="318">
        <f t="shared" si="68"/>
        <v>0</v>
      </c>
      <c r="AM104" s="318">
        <f t="shared" si="69"/>
        <v>0</v>
      </c>
      <c r="AN104" s="318">
        <f t="shared" si="70"/>
        <v>0</v>
      </c>
      <c r="AO104" s="318">
        <f t="shared" si="71"/>
        <v>0</v>
      </c>
      <c r="AP104" s="318">
        <f t="shared" si="72"/>
        <v>0</v>
      </c>
      <c r="AQ104" s="318">
        <f t="shared" si="73"/>
        <v>0</v>
      </c>
      <c r="AR104" s="318">
        <f t="shared" si="74"/>
        <v>0</v>
      </c>
      <c r="AS104" s="318">
        <f t="shared" si="75"/>
        <v>0</v>
      </c>
      <c r="AT104" s="318">
        <f t="shared" si="76"/>
        <v>0</v>
      </c>
      <c r="AU104" s="318">
        <f t="shared" si="77"/>
        <v>0</v>
      </c>
      <c r="AV104" s="318">
        <f t="shared" si="78"/>
        <v>0</v>
      </c>
      <c r="AW104" s="318">
        <f t="shared" si="79"/>
        <v>0</v>
      </c>
      <c r="AX104" s="318">
        <f t="shared" si="80"/>
        <v>0</v>
      </c>
      <c r="AY104" s="318">
        <f t="shared" si="81"/>
        <v>0</v>
      </c>
      <c r="AZ104" s="318">
        <f t="shared" si="82"/>
        <v>0</v>
      </c>
      <c r="BA104" s="318">
        <f t="shared" si="83"/>
        <v>0</v>
      </c>
    </row>
    <row r="105" spans="1:53" s="315" customFormat="1" ht="15" customHeight="1">
      <c r="A105" s="63" t="str">
        <f t="array" ref="A105">IF(C105&lt;&gt;0,SUM(($C$11:C105&lt;&gt;0)*1),"")</f>
        <v/>
      </c>
      <c r="B105" s="316"/>
      <c r="C105" s="316"/>
      <c r="D105" s="316"/>
      <c r="E105" s="436"/>
      <c r="F105" s="372"/>
      <c r="G105" s="374"/>
      <c r="H105" s="374"/>
      <c r="I105" s="63" t="str">
        <f t="shared" si="90"/>
        <v/>
      </c>
      <c r="J105" s="318">
        <f t="shared" si="46"/>
        <v>0</v>
      </c>
      <c r="K105" s="318">
        <f t="shared" si="47"/>
        <v>0</v>
      </c>
      <c r="L105" s="318">
        <f t="shared" si="48"/>
        <v>0</v>
      </c>
      <c r="M105" s="318">
        <f t="shared" si="49"/>
        <v>0</v>
      </c>
      <c r="N105" s="318">
        <f t="shared" si="84"/>
        <v>0</v>
      </c>
      <c r="O105" s="318">
        <f t="shared" si="85"/>
        <v>0</v>
      </c>
      <c r="P105" s="318">
        <f t="shared" si="50"/>
        <v>0</v>
      </c>
      <c r="Q105" s="318">
        <f t="shared" si="51"/>
        <v>0</v>
      </c>
      <c r="R105" s="318">
        <f t="shared" si="52"/>
        <v>0</v>
      </c>
      <c r="S105" s="318">
        <f t="shared" si="53"/>
        <v>0</v>
      </c>
      <c r="T105" s="318">
        <f t="shared" si="86"/>
        <v>0</v>
      </c>
      <c r="U105" s="318">
        <f t="shared" si="87"/>
        <v>0</v>
      </c>
      <c r="V105" s="318">
        <f t="shared" si="54"/>
        <v>0</v>
      </c>
      <c r="W105" s="318">
        <f t="shared" si="55"/>
        <v>0</v>
      </c>
      <c r="X105" s="318">
        <f t="shared" si="56"/>
        <v>0</v>
      </c>
      <c r="Y105" s="318">
        <f t="shared" si="57"/>
        <v>0</v>
      </c>
      <c r="Z105" s="318">
        <f t="shared" si="58"/>
        <v>0</v>
      </c>
      <c r="AA105" s="318">
        <f t="shared" si="59"/>
        <v>0</v>
      </c>
      <c r="AB105" s="318">
        <f t="shared" si="60"/>
        <v>0</v>
      </c>
      <c r="AC105" s="318">
        <f t="shared" si="61"/>
        <v>0</v>
      </c>
      <c r="AD105" s="318">
        <f t="shared" si="62"/>
        <v>0</v>
      </c>
      <c r="AE105" s="318">
        <f t="shared" si="63"/>
        <v>0</v>
      </c>
      <c r="AF105" s="318">
        <f t="shared" si="88"/>
        <v>0</v>
      </c>
      <c r="AG105" s="318">
        <f t="shared" si="89"/>
        <v>0</v>
      </c>
      <c r="AH105" s="318">
        <f t="shared" si="64"/>
        <v>0</v>
      </c>
      <c r="AI105" s="318">
        <f t="shared" si="65"/>
        <v>0</v>
      </c>
      <c r="AJ105" s="318">
        <f t="shared" si="66"/>
        <v>0</v>
      </c>
      <c r="AK105" s="318">
        <f t="shared" si="67"/>
        <v>0</v>
      </c>
      <c r="AL105" s="318">
        <f t="shared" si="68"/>
        <v>0</v>
      </c>
      <c r="AM105" s="318">
        <f t="shared" si="69"/>
        <v>0</v>
      </c>
      <c r="AN105" s="318">
        <f t="shared" si="70"/>
        <v>0</v>
      </c>
      <c r="AO105" s="318">
        <f t="shared" si="71"/>
        <v>0</v>
      </c>
      <c r="AP105" s="318">
        <f t="shared" si="72"/>
        <v>0</v>
      </c>
      <c r="AQ105" s="318">
        <f t="shared" si="73"/>
        <v>0</v>
      </c>
      <c r="AR105" s="318">
        <f t="shared" si="74"/>
        <v>0</v>
      </c>
      <c r="AS105" s="318">
        <f t="shared" si="75"/>
        <v>0</v>
      </c>
      <c r="AT105" s="318">
        <f t="shared" si="76"/>
        <v>0</v>
      </c>
      <c r="AU105" s="318">
        <f t="shared" si="77"/>
        <v>0</v>
      </c>
      <c r="AV105" s="318">
        <f t="shared" si="78"/>
        <v>0</v>
      </c>
      <c r="AW105" s="318">
        <f t="shared" si="79"/>
        <v>0</v>
      </c>
      <c r="AX105" s="318">
        <f t="shared" si="80"/>
        <v>0</v>
      </c>
      <c r="AY105" s="318">
        <f t="shared" si="81"/>
        <v>0</v>
      </c>
      <c r="AZ105" s="318">
        <f t="shared" si="82"/>
        <v>0</v>
      </c>
      <c r="BA105" s="318">
        <f t="shared" si="83"/>
        <v>0</v>
      </c>
    </row>
    <row r="106" spans="1:53" s="315" customFormat="1" ht="15" customHeight="1">
      <c r="A106" s="63" t="str">
        <f t="array" ref="A106">IF(C106&lt;&gt;0,SUM(($C$11:C106&lt;&gt;0)*1),"")</f>
        <v/>
      </c>
      <c r="B106" s="316"/>
      <c r="C106" s="316"/>
      <c r="D106" s="316"/>
      <c r="E106" s="436"/>
      <c r="F106" s="372"/>
      <c r="G106" s="374"/>
      <c r="H106" s="374"/>
      <c r="I106" s="63" t="str">
        <f t="shared" si="90"/>
        <v/>
      </c>
      <c r="J106" s="318">
        <f t="shared" si="46"/>
        <v>0</v>
      </c>
      <c r="K106" s="318">
        <f t="shared" si="47"/>
        <v>0</v>
      </c>
      <c r="L106" s="318">
        <f t="shared" si="48"/>
        <v>0</v>
      </c>
      <c r="M106" s="318">
        <f t="shared" si="49"/>
        <v>0</v>
      </c>
      <c r="N106" s="318">
        <f t="shared" si="84"/>
        <v>0</v>
      </c>
      <c r="O106" s="318">
        <f t="shared" si="85"/>
        <v>0</v>
      </c>
      <c r="P106" s="318">
        <f t="shared" si="50"/>
        <v>0</v>
      </c>
      <c r="Q106" s="318">
        <f t="shared" si="51"/>
        <v>0</v>
      </c>
      <c r="R106" s="318">
        <f t="shared" si="52"/>
        <v>0</v>
      </c>
      <c r="S106" s="318">
        <f t="shared" si="53"/>
        <v>0</v>
      </c>
      <c r="T106" s="318">
        <f t="shared" si="86"/>
        <v>0</v>
      </c>
      <c r="U106" s="318">
        <f t="shared" si="87"/>
        <v>0</v>
      </c>
      <c r="V106" s="318">
        <f t="shared" si="54"/>
        <v>0</v>
      </c>
      <c r="W106" s="318">
        <f t="shared" si="55"/>
        <v>0</v>
      </c>
      <c r="X106" s="318">
        <f t="shared" si="56"/>
        <v>0</v>
      </c>
      <c r="Y106" s="318">
        <f t="shared" si="57"/>
        <v>0</v>
      </c>
      <c r="Z106" s="318">
        <f t="shared" si="58"/>
        <v>0</v>
      </c>
      <c r="AA106" s="318">
        <f t="shared" si="59"/>
        <v>0</v>
      </c>
      <c r="AB106" s="318">
        <f t="shared" si="60"/>
        <v>0</v>
      </c>
      <c r="AC106" s="318">
        <f t="shared" si="61"/>
        <v>0</v>
      </c>
      <c r="AD106" s="318">
        <f t="shared" si="62"/>
        <v>0</v>
      </c>
      <c r="AE106" s="318">
        <f t="shared" si="63"/>
        <v>0</v>
      </c>
      <c r="AF106" s="318">
        <f t="shared" si="88"/>
        <v>0</v>
      </c>
      <c r="AG106" s="318">
        <f t="shared" si="89"/>
        <v>0</v>
      </c>
      <c r="AH106" s="318">
        <f t="shared" si="64"/>
        <v>0</v>
      </c>
      <c r="AI106" s="318">
        <f t="shared" si="65"/>
        <v>0</v>
      </c>
      <c r="AJ106" s="318">
        <f t="shared" si="66"/>
        <v>0</v>
      </c>
      <c r="AK106" s="318">
        <f t="shared" si="67"/>
        <v>0</v>
      </c>
      <c r="AL106" s="318">
        <f t="shared" si="68"/>
        <v>0</v>
      </c>
      <c r="AM106" s="318">
        <f t="shared" si="69"/>
        <v>0</v>
      </c>
      <c r="AN106" s="318">
        <f t="shared" si="70"/>
        <v>0</v>
      </c>
      <c r="AO106" s="318">
        <f t="shared" si="71"/>
        <v>0</v>
      </c>
      <c r="AP106" s="318">
        <f t="shared" si="72"/>
        <v>0</v>
      </c>
      <c r="AQ106" s="318">
        <f t="shared" si="73"/>
        <v>0</v>
      </c>
      <c r="AR106" s="318">
        <f t="shared" si="74"/>
        <v>0</v>
      </c>
      <c r="AS106" s="318">
        <f t="shared" si="75"/>
        <v>0</v>
      </c>
      <c r="AT106" s="318">
        <f t="shared" si="76"/>
        <v>0</v>
      </c>
      <c r="AU106" s="318">
        <f t="shared" si="77"/>
        <v>0</v>
      </c>
      <c r="AV106" s="318">
        <f t="shared" si="78"/>
        <v>0</v>
      </c>
      <c r="AW106" s="318">
        <f t="shared" si="79"/>
        <v>0</v>
      </c>
      <c r="AX106" s="318">
        <f t="shared" si="80"/>
        <v>0</v>
      </c>
      <c r="AY106" s="318">
        <f t="shared" si="81"/>
        <v>0</v>
      </c>
      <c r="AZ106" s="318">
        <f t="shared" si="82"/>
        <v>0</v>
      </c>
      <c r="BA106" s="318">
        <f t="shared" si="83"/>
        <v>0</v>
      </c>
    </row>
    <row r="107" spans="1:53" s="315" customFormat="1" ht="15" customHeight="1">
      <c r="A107" s="63" t="str">
        <f t="array" ref="A107">IF(C107&lt;&gt;0,SUM(($C$11:C107&lt;&gt;0)*1),"")</f>
        <v/>
      </c>
      <c r="B107" s="316"/>
      <c r="C107" s="316"/>
      <c r="D107" s="316"/>
      <c r="E107" s="436"/>
      <c r="F107" s="372"/>
      <c r="G107" s="374"/>
      <c r="H107" s="374"/>
      <c r="I107" s="63" t="str">
        <f t="shared" si="90"/>
        <v/>
      </c>
      <c r="J107" s="318">
        <f t="shared" si="46"/>
        <v>0</v>
      </c>
      <c r="K107" s="318">
        <f t="shared" si="47"/>
        <v>0</v>
      </c>
      <c r="L107" s="318">
        <f t="shared" si="48"/>
        <v>0</v>
      </c>
      <c r="M107" s="318">
        <f t="shared" si="49"/>
        <v>0</v>
      </c>
      <c r="N107" s="318">
        <f t="shared" si="84"/>
        <v>0</v>
      </c>
      <c r="O107" s="318">
        <f t="shared" si="85"/>
        <v>0</v>
      </c>
      <c r="P107" s="318">
        <f t="shared" si="50"/>
        <v>0</v>
      </c>
      <c r="Q107" s="318">
        <f t="shared" si="51"/>
        <v>0</v>
      </c>
      <c r="R107" s="318">
        <f t="shared" si="52"/>
        <v>0</v>
      </c>
      <c r="S107" s="318">
        <f t="shared" si="53"/>
        <v>0</v>
      </c>
      <c r="T107" s="318">
        <f t="shared" si="86"/>
        <v>0</v>
      </c>
      <c r="U107" s="318">
        <f t="shared" si="87"/>
        <v>0</v>
      </c>
      <c r="V107" s="318">
        <f t="shared" si="54"/>
        <v>0</v>
      </c>
      <c r="W107" s="318">
        <f t="shared" si="55"/>
        <v>0</v>
      </c>
      <c r="X107" s="318">
        <f t="shared" si="56"/>
        <v>0</v>
      </c>
      <c r="Y107" s="318">
        <f t="shared" si="57"/>
        <v>0</v>
      </c>
      <c r="Z107" s="318">
        <f t="shared" si="58"/>
        <v>0</v>
      </c>
      <c r="AA107" s="318">
        <f t="shared" si="59"/>
        <v>0</v>
      </c>
      <c r="AB107" s="318">
        <f t="shared" si="60"/>
        <v>0</v>
      </c>
      <c r="AC107" s="318">
        <f t="shared" si="61"/>
        <v>0</v>
      </c>
      <c r="AD107" s="318">
        <f t="shared" si="62"/>
        <v>0</v>
      </c>
      <c r="AE107" s="318">
        <f t="shared" si="63"/>
        <v>0</v>
      </c>
      <c r="AF107" s="318">
        <f t="shared" si="88"/>
        <v>0</v>
      </c>
      <c r="AG107" s="318">
        <f t="shared" si="89"/>
        <v>0</v>
      </c>
      <c r="AH107" s="318">
        <f t="shared" si="64"/>
        <v>0</v>
      </c>
      <c r="AI107" s="318">
        <f t="shared" si="65"/>
        <v>0</v>
      </c>
      <c r="AJ107" s="318">
        <f t="shared" si="66"/>
        <v>0</v>
      </c>
      <c r="AK107" s="318">
        <f t="shared" si="67"/>
        <v>0</v>
      </c>
      <c r="AL107" s="318">
        <f t="shared" si="68"/>
        <v>0</v>
      </c>
      <c r="AM107" s="318">
        <f t="shared" si="69"/>
        <v>0</v>
      </c>
      <c r="AN107" s="318">
        <f t="shared" si="70"/>
        <v>0</v>
      </c>
      <c r="AO107" s="318">
        <f t="shared" si="71"/>
        <v>0</v>
      </c>
      <c r="AP107" s="318">
        <f t="shared" si="72"/>
        <v>0</v>
      </c>
      <c r="AQ107" s="318">
        <f t="shared" si="73"/>
        <v>0</v>
      </c>
      <c r="AR107" s="318">
        <f t="shared" si="74"/>
        <v>0</v>
      </c>
      <c r="AS107" s="318">
        <f t="shared" si="75"/>
        <v>0</v>
      </c>
      <c r="AT107" s="318">
        <f t="shared" si="76"/>
        <v>0</v>
      </c>
      <c r="AU107" s="318">
        <f t="shared" si="77"/>
        <v>0</v>
      </c>
      <c r="AV107" s="318">
        <f t="shared" si="78"/>
        <v>0</v>
      </c>
      <c r="AW107" s="318">
        <f t="shared" si="79"/>
        <v>0</v>
      </c>
      <c r="AX107" s="318">
        <f t="shared" si="80"/>
        <v>0</v>
      </c>
      <c r="AY107" s="318">
        <f t="shared" si="81"/>
        <v>0</v>
      </c>
      <c r="AZ107" s="318">
        <f t="shared" si="82"/>
        <v>0</v>
      </c>
      <c r="BA107" s="318">
        <f t="shared" si="83"/>
        <v>0</v>
      </c>
    </row>
    <row r="108" spans="1:53" s="315" customFormat="1" ht="15" customHeight="1">
      <c r="A108" s="63" t="str">
        <f t="array" ref="A108">IF(C108&lt;&gt;0,SUM(($C$11:C108&lt;&gt;0)*1),"")</f>
        <v/>
      </c>
      <c r="B108" s="316"/>
      <c r="C108" s="316"/>
      <c r="D108" s="316"/>
      <c r="E108" s="436"/>
      <c r="F108" s="372"/>
      <c r="G108" s="374"/>
      <c r="H108" s="374"/>
      <c r="I108" s="63" t="str">
        <f t="shared" si="90"/>
        <v/>
      </c>
      <c r="J108" s="318">
        <f t="shared" si="46"/>
        <v>0</v>
      </c>
      <c r="K108" s="318">
        <f t="shared" si="47"/>
        <v>0</v>
      </c>
      <c r="L108" s="318">
        <f t="shared" si="48"/>
        <v>0</v>
      </c>
      <c r="M108" s="318">
        <f t="shared" si="49"/>
        <v>0</v>
      </c>
      <c r="N108" s="318">
        <f t="shared" si="84"/>
        <v>0</v>
      </c>
      <c r="O108" s="318">
        <f t="shared" si="85"/>
        <v>0</v>
      </c>
      <c r="P108" s="318">
        <f t="shared" si="50"/>
        <v>0</v>
      </c>
      <c r="Q108" s="318">
        <f t="shared" si="51"/>
        <v>0</v>
      </c>
      <c r="R108" s="318">
        <f t="shared" si="52"/>
        <v>0</v>
      </c>
      <c r="S108" s="318">
        <f t="shared" si="53"/>
        <v>0</v>
      </c>
      <c r="T108" s="318">
        <f t="shared" si="86"/>
        <v>0</v>
      </c>
      <c r="U108" s="318">
        <f t="shared" si="87"/>
        <v>0</v>
      </c>
      <c r="V108" s="318">
        <f t="shared" si="54"/>
        <v>0</v>
      </c>
      <c r="W108" s="318">
        <f t="shared" si="55"/>
        <v>0</v>
      </c>
      <c r="X108" s="318">
        <f t="shared" si="56"/>
        <v>0</v>
      </c>
      <c r="Y108" s="318">
        <f t="shared" si="57"/>
        <v>0</v>
      </c>
      <c r="Z108" s="318">
        <f t="shared" si="58"/>
        <v>0</v>
      </c>
      <c r="AA108" s="318">
        <f t="shared" si="59"/>
        <v>0</v>
      </c>
      <c r="AB108" s="318">
        <f t="shared" si="60"/>
        <v>0</v>
      </c>
      <c r="AC108" s="318">
        <f t="shared" si="61"/>
        <v>0</v>
      </c>
      <c r="AD108" s="318">
        <f t="shared" si="62"/>
        <v>0</v>
      </c>
      <c r="AE108" s="318">
        <f t="shared" si="63"/>
        <v>0</v>
      </c>
      <c r="AF108" s="318">
        <f t="shared" si="88"/>
        <v>0</v>
      </c>
      <c r="AG108" s="318">
        <f t="shared" si="89"/>
        <v>0</v>
      </c>
      <c r="AH108" s="318">
        <f t="shared" si="64"/>
        <v>0</v>
      </c>
      <c r="AI108" s="318">
        <f t="shared" si="65"/>
        <v>0</v>
      </c>
      <c r="AJ108" s="318">
        <f t="shared" si="66"/>
        <v>0</v>
      </c>
      <c r="AK108" s="318">
        <f t="shared" si="67"/>
        <v>0</v>
      </c>
      <c r="AL108" s="318">
        <f t="shared" si="68"/>
        <v>0</v>
      </c>
      <c r="AM108" s="318">
        <f t="shared" si="69"/>
        <v>0</v>
      </c>
      <c r="AN108" s="318">
        <f t="shared" si="70"/>
        <v>0</v>
      </c>
      <c r="AO108" s="318">
        <f t="shared" si="71"/>
        <v>0</v>
      </c>
      <c r="AP108" s="318">
        <f t="shared" si="72"/>
        <v>0</v>
      </c>
      <c r="AQ108" s="318">
        <f t="shared" si="73"/>
        <v>0</v>
      </c>
      <c r="AR108" s="318">
        <f t="shared" si="74"/>
        <v>0</v>
      </c>
      <c r="AS108" s="318">
        <f t="shared" si="75"/>
        <v>0</v>
      </c>
      <c r="AT108" s="318">
        <f t="shared" si="76"/>
        <v>0</v>
      </c>
      <c r="AU108" s="318">
        <f t="shared" si="77"/>
        <v>0</v>
      </c>
      <c r="AV108" s="318">
        <f t="shared" si="78"/>
        <v>0</v>
      </c>
      <c r="AW108" s="318">
        <f t="shared" si="79"/>
        <v>0</v>
      </c>
      <c r="AX108" s="318">
        <f t="shared" si="80"/>
        <v>0</v>
      </c>
      <c r="AY108" s="318">
        <f t="shared" si="81"/>
        <v>0</v>
      </c>
      <c r="AZ108" s="318">
        <f t="shared" si="82"/>
        <v>0</v>
      </c>
      <c r="BA108" s="318">
        <f t="shared" si="83"/>
        <v>0</v>
      </c>
    </row>
    <row r="109" spans="1:53" s="315" customFormat="1" ht="15" customHeight="1">
      <c r="A109" s="63" t="str">
        <f t="array" ref="A109">IF(C109&lt;&gt;0,SUM(($C$11:C109&lt;&gt;0)*1),"")</f>
        <v/>
      </c>
      <c r="B109" s="316"/>
      <c r="C109" s="316"/>
      <c r="D109" s="316"/>
      <c r="E109" s="436"/>
      <c r="F109" s="372"/>
      <c r="G109" s="374"/>
      <c r="H109" s="374"/>
      <c r="I109" s="63" t="str">
        <f t="shared" si="90"/>
        <v/>
      </c>
      <c r="J109" s="318">
        <f t="shared" si="46"/>
        <v>0</v>
      </c>
      <c r="K109" s="318">
        <f t="shared" si="47"/>
        <v>0</v>
      </c>
      <c r="L109" s="318">
        <f t="shared" si="48"/>
        <v>0</v>
      </c>
      <c r="M109" s="318">
        <f t="shared" si="49"/>
        <v>0</v>
      </c>
      <c r="N109" s="318">
        <f t="shared" si="84"/>
        <v>0</v>
      </c>
      <c r="O109" s="318">
        <f t="shared" si="85"/>
        <v>0</v>
      </c>
      <c r="P109" s="318">
        <f t="shared" si="50"/>
        <v>0</v>
      </c>
      <c r="Q109" s="318">
        <f t="shared" si="51"/>
        <v>0</v>
      </c>
      <c r="R109" s="318">
        <f t="shared" si="52"/>
        <v>0</v>
      </c>
      <c r="S109" s="318">
        <f t="shared" si="53"/>
        <v>0</v>
      </c>
      <c r="T109" s="318">
        <f t="shared" si="86"/>
        <v>0</v>
      </c>
      <c r="U109" s="318">
        <f t="shared" si="87"/>
        <v>0</v>
      </c>
      <c r="V109" s="318">
        <f t="shared" si="54"/>
        <v>0</v>
      </c>
      <c r="W109" s="318">
        <f t="shared" si="55"/>
        <v>0</v>
      </c>
      <c r="X109" s="318">
        <f t="shared" si="56"/>
        <v>0</v>
      </c>
      <c r="Y109" s="318">
        <f t="shared" si="57"/>
        <v>0</v>
      </c>
      <c r="Z109" s="318">
        <f t="shared" si="58"/>
        <v>0</v>
      </c>
      <c r="AA109" s="318">
        <f t="shared" si="59"/>
        <v>0</v>
      </c>
      <c r="AB109" s="318">
        <f t="shared" si="60"/>
        <v>0</v>
      </c>
      <c r="AC109" s="318">
        <f t="shared" si="61"/>
        <v>0</v>
      </c>
      <c r="AD109" s="318">
        <f t="shared" si="62"/>
        <v>0</v>
      </c>
      <c r="AE109" s="318">
        <f t="shared" si="63"/>
        <v>0</v>
      </c>
      <c r="AF109" s="318">
        <f t="shared" si="88"/>
        <v>0</v>
      </c>
      <c r="AG109" s="318">
        <f t="shared" si="89"/>
        <v>0</v>
      </c>
      <c r="AH109" s="318">
        <f t="shared" si="64"/>
        <v>0</v>
      </c>
      <c r="AI109" s="318">
        <f t="shared" si="65"/>
        <v>0</v>
      </c>
      <c r="AJ109" s="318">
        <f t="shared" si="66"/>
        <v>0</v>
      </c>
      <c r="AK109" s="318">
        <f t="shared" si="67"/>
        <v>0</v>
      </c>
      <c r="AL109" s="318">
        <f t="shared" si="68"/>
        <v>0</v>
      </c>
      <c r="AM109" s="318">
        <f t="shared" si="69"/>
        <v>0</v>
      </c>
      <c r="AN109" s="318">
        <f t="shared" si="70"/>
        <v>0</v>
      </c>
      <c r="AO109" s="318">
        <f t="shared" si="71"/>
        <v>0</v>
      </c>
      <c r="AP109" s="318">
        <f t="shared" si="72"/>
        <v>0</v>
      </c>
      <c r="AQ109" s="318">
        <f t="shared" si="73"/>
        <v>0</v>
      </c>
      <c r="AR109" s="318">
        <f t="shared" si="74"/>
        <v>0</v>
      </c>
      <c r="AS109" s="318">
        <f t="shared" si="75"/>
        <v>0</v>
      </c>
      <c r="AT109" s="318">
        <f t="shared" si="76"/>
        <v>0</v>
      </c>
      <c r="AU109" s="318">
        <f t="shared" si="77"/>
        <v>0</v>
      </c>
      <c r="AV109" s="318">
        <f t="shared" si="78"/>
        <v>0</v>
      </c>
      <c r="AW109" s="318">
        <f t="shared" si="79"/>
        <v>0</v>
      </c>
      <c r="AX109" s="318">
        <f t="shared" si="80"/>
        <v>0</v>
      </c>
      <c r="AY109" s="318">
        <f t="shared" si="81"/>
        <v>0</v>
      </c>
      <c r="AZ109" s="318">
        <f t="shared" si="82"/>
        <v>0</v>
      </c>
      <c r="BA109" s="318">
        <f t="shared" si="83"/>
        <v>0</v>
      </c>
    </row>
    <row r="110" spans="1:53" s="315" customFormat="1" ht="15" customHeight="1">
      <c r="A110" s="63" t="str">
        <f t="array" ref="A110">IF(C110&lt;&gt;0,SUM(($C$11:C110&lt;&gt;0)*1),"")</f>
        <v/>
      </c>
      <c r="B110" s="316"/>
      <c r="C110" s="316"/>
      <c r="D110" s="316"/>
      <c r="E110" s="436"/>
      <c r="F110" s="372"/>
      <c r="G110" s="374"/>
      <c r="H110" s="374"/>
      <c r="I110" s="63" t="str">
        <f t="shared" si="90"/>
        <v/>
      </c>
      <c r="J110" s="318">
        <f t="shared" si="46"/>
        <v>0</v>
      </c>
      <c r="K110" s="318">
        <f t="shared" si="47"/>
        <v>0</v>
      </c>
      <c r="L110" s="318">
        <f t="shared" si="48"/>
        <v>0</v>
      </c>
      <c r="M110" s="318">
        <f t="shared" si="49"/>
        <v>0</v>
      </c>
      <c r="N110" s="318">
        <f t="shared" si="84"/>
        <v>0</v>
      </c>
      <c r="O110" s="318">
        <f t="shared" si="85"/>
        <v>0</v>
      </c>
      <c r="P110" s="318">
        <f t="shared" si="50"/>
        <v>0</v>
      </c>
      <c r="Q110" s="318">
        <f t="shared" si="51"/>
        <v>0</v>
      </c>
      <c r="R110" s="318">
        <f t="shared" si="52"/>
        <v>0</v>
      </c>
      <c r="S110" s="318">
        <f t="shared" si="53"/>
        <v>0</v>
      </c>
      <c r="T110" s="318">
        <f t="shared" si="86"/>
        <v>0</v>
      </c>
      <c r="U110" s="318">
        <f t="shared" si="87"/>
        <v>0</v>
      </c>
      <c r="V110" s="318">
        <f t="shared" si="54"/>
        <v>0</v>
      </c>
      <c r="W110" s="318">
        <f t="shared" si="55"/>
        <v>0</v>
      </c>
      <c r="X110" s="318">
        <f t="shared" si="56"/>
        <v>0</v>
      </c>
      <c r="Y110" s="318">
        <f t="shared" si="57"/>
        <v>0</v>
      </c>
      <c r="Z110" s="318">
        <f t="shared" si="58"/>
        <v>0</v>
      </c>
      <c r="AA110" s="318">
        <f t="shared" si="59"/>
        <v>0</v>
      </c>
      <c r="AB110" s="318">
        <f t="shared" si="60"/>
        <v>0</v>
      </c>
      <c r="AC110" s="318">
        <f t="shared" si="61"/>
        <v>0</v>
      </c>
      <c r="AD110" s="318">
        <f t="shared" si="62"/>
        <v>0</v>
      </c>
      <c r="AE110" s="318">
        <f t="shared" si="63"/>
        <v>0</v>
      </c>
      <c r="AF110" s="318">
        <f t="shared" si="88"/>
        <v>0</v>
      </c>
      <c r="AG110" s="318">
        <f t="shared" si="89"/>
        <v>0</v>
      </c>
      <c r="AH110" s="318">
        <f t="shared" si="64"/>
        <v>0</v>
      </c>
      <c r="AI110" s="318">
        <f t="shared" si="65"/>
        <v>0</v>
      </c>
      <c r="AJ110" s="318">
        <f t="shared" si="66"/>
        <v>0</v>
      </c>
      <c r="AK110" s="318">
        <f t="shared" si="67"/>
        <v>0</v>
      </c>
      <c r="AL110" s="318">
        <f t="shared" si="68"/>
        <v>0</v>
      </c>
      <c r="AM110" s="318">
        <f t="shared" si="69"/>
        <v>0</v>
      </c>
      <c r="AN110" s="318">
        <f t="shared" si="70"/>
        <v>0</v>
      </c>
      <c r="AO110" s="318">
        <f t="shared" si="71"/>
        <v>0</v>
      </c>
      <c r="AP110" s="318">
        <f t="shared" si="72"/>
        <v>0</v>
      </c>
      <c r="AQ110" s="318">
        <f t="shared" si="73"/>
        <v>0</v>
      </c>
      <c r="AR110" s="318">
        <f t="shared" si="74"/>
        <v>0</v>
      </c>
      <c r="AS110" s="318">
        <f t="shared" si="75"/>
        <v>0</v>
      </c>
      <c r="AT110" s="318">
        <f t="shared" si="76"/>
        <v>0</v>
      </c>
      <c r="AU110" s="318">
        <f t="shared" si="77"/>
        <v>0</v>
      </c>
      <c r="AV110" s="318">
        <f t="shared" si="78"/>
        <v>0</v>
      </c>
      <c r="AW110" s="318">
        <f t="shared" si="79"/>
        <v>0</v>
      </c>
      <c r="AX110" s="318">
        <f t="shared" si="80"/>
        <v>0</v>
      </c>
      <c r="AY110" s="318">
        <f t="shared" si="81"/>
        <v>0</v>
      </c>
      <c r="AZ110" s="318">
        <f t="shared" si="82"/>
        <v>0</v>
      </c>
      <c r="BA110" s="318">
        <f t="shared" si="83"/>
        <v>0</v>
      </c>
    </row>
    <row r="111" spans="1:53" s="315" customFormat="1" ht="15" customHeight="1">
      <c r="A111" s="63" t="str">
        <f t="array" ref="A111">IF(C111&lt;&gt;0,SUM(($C$11:C111&lt;&gt;0)*1),"")</f>
        <v/>
      </c>
      <c r="B111" s="316"/>
      <c r="C111" s="316"/>
      <c r="D111" s="316"/>
      <c r="E111" s="436"/>
      <c r="F111" s="372"/>
      <c r="G111" s="374"/>
      <c r="H111" s="374"/>
      <c r="I111" s="63" t="str">
        <f t="shared" si="90"/>
        <v/>
      </c>
      <c r="J111" s="318">
        <f t="shared" si="46"/>
        <v>0</v>
      </c>
      <c r="K111" s="318">
        <f t="shared" si="47"/>
        <v>0</v>
      </c>
      <c r="L111" s="318">
        <f t="shared" si="48"/>
        <v>0</v>
      </c>
      <c r="M111" s="318">
        <f t="shared" si="49"/>
        <v>0</v>
      </c>
      <c r="N111" s="318">
        <f t="shared" si="84"/>
        <v>0</v>
      </c>
      <c r="O111" s="318">
        <f t="shared" si="85"/>
        <v>0</v>
      </c>
      <c r="P111" s="318">
        <f t="shared" si="50"/>
        <v>0</v>
      </c>
      <c r="Q111" s="318">
        <f t="shared" si="51"/>
        <v>0</v>
      </c>
      <c r="R111" s="318">
        <f t="shared" si="52"/>
        <v>0</v>
      </c>
      <c r="S111" s="318">
        <f t="shared" si="53"/>
        <v>0</v>
      </c>
      <c r="T111" s="318">
        <f t="shared" si="86"/>
        <v>0</v>
      </c>
      <c r="U111" s="318">
        <f t="shared" si="87"/>
        <v>0</v>
      </c>
      <c r="V111" s="318">
        <f t="shared" si="54"/>
        <v>0</v>
      </c>
      <c r="W111" s="318">
        <f t="shared" si="55"/>
        <v>0</v>
      </c>
      <c r="X111" s="318">
        <f t="shared" si="56"/>
        <v>0</v>
      </c>
      <c r="Y111" s="318">
        <f t="shared" si="57"/>
        <v>0</v>
      </c>
      <c r="Z111" s="318">
        <f t="shared" si="58"/>
        <v>0</v>
      </c>
      <c r="AA111" s="318">
        <f t="shared" si="59"/>
        <v>0</v>
      </c>
      <c r="AB111" s="318">
        <f t="shared" si="60"/>
        <v>0</v>
      </c>
      <c r="AC111" s="318">
        <f t="shared" si="61"/>
        <v>0</v>
      </c>
      <c r="AD111" s="318">
        <f t="shared" si="62"/>
        <v>0</v>
      </c>
      <c r="AE111" s="318">
        <f t="shared" si="63"/>
        <v>0</v>
      </c>
      <c r="AF111" s="318">
        <f t="shared" si="88"/>
        <v>0</v>
      </c>
      <c r="AG111" s="318">
        <f t="shared" si="89"/>
        <v>0</v>
      </c>
      <c r="AH111" s="318">
        <f t="shared" si="64"/>
        <v>0</v>
      </c>
      <c r="AI111" s="318">
        <f t="shared" si="65"/>
        <v>0</v>
      </c>
      <c r="AJ111" s="318">
        <f t="shared" si="66"/>
        <v>0</v>
      </c>
      <c r="AK111" s="318">
        <f t="shared" si="67"/>
        <v>0</v>
      </c>
      <c r="AL111" s="318">
        <f t="shared" si="68"/>
        <v>0</v>
      </c>
      <c r="AM111" s="318">
        <f t="shared" si="69"/>
        <v>0</v>
      </c>
      <c r="AN111" s="318">
        <f t="shared" si="70"/>
        <v>0</v>
      </c>
      <c r="AO111" s="318">
        <f t="shared" si="71"/>
        <v>0</v>
      </c>
      <c r="AP111" s="318">
        <f t="shared" si="72"/>
        <v>0</v>
      </c>
      <c r="AQ111" s="318">
        <f t="shared" si="73"/>
        <v>0</v>
      </c>
      <c r="AR111" s="318">
        <f t="shared" si="74"/>
        <v>0</v>
      </c>
      <c r="AS111" s="318">
        <f t="shared" si="75"/>
        <v>0</v>
      </c>
      <c r="AT111" s="318">
        <f t="shared" si="76"/>
        <v>0</v>
      </c>
      <c r="AU111" s="318">
        <f t="shared" si="77"/>
        <v>0</v>
      </c>
      <c r="AV111" s="318">
        <f t="shared" si="78"/>
        <v>0</v>
      </c>
      <c r="AW111" s="318">
        <f t="shared" si="79"/>
        <v>0</v>
      </c>
      <c r="AX111" s="318">
        <f t="shared" si="80"/>
        <v>0</v>
      </c>
      <c r="AY111" s="318">
        <f t="shared" si="81"/>
        <v>0</v>
      </c>
      <c r="AZ111" s="318">
        <f t="shared" si="82"/>
        <v>0</v>
      </c>
      <c r="BA111" s="318">
        <f t="shared" si="83"/>
        <v>0</v>
      </c>
    </row>
    <row r="112" spans="1:53" s="315" customFormat="1" ht="15" customHeight="1">
      <c r="A112" s="63" t="str">
        <f t="array" ref="A112">IF(C112&lt;&gt;0,SUM(($C$11:C112&lt;&gt;0)*1),"")</f>
        <v/>
      </c>
      <c r="B112" s="316"/>
      <c r="C112" s="316"/>
      <c r="D112" s="316"/>
      <c r="E112" s="436"/>
      <c r="F112" s="372"/>
      <c r="G112" s="374"/>
      <c r="H112" s="374"/>
      <c r="I112" s="63" t="str">
        <f t="shared" si="90"/>
        <v/>
      </c>
      <c r="J112" s="318">
        <f t="shared" si="46"/>
        <v>0</v>
      </c>
      <c r="K112" s="318">
        <f t="shared" si="47"/>
        <v>0</v>
      </c>
      <c r="L112" s="318">
        <f t="shared" si="48"/>
        <v>0</v>
      </c>
      <c r="M112" s="318">
        <f t="shared" si="49"/>
        <v>0</v>
      </c>
      <c r="N112" s="318">
        <f t="shared" si="84"/>
        <v>0</v>
      </c>
      <c r="O112" s="318">
        <f t="shared" si="85"/>
        <v>0</v>
      </c>
      <c r="P112" s="318">
        <f t="shared" si="50"/>
        <v>0</v>
      </c>
      <c r="Q112" s="318">
        <f t="shared" si="51"/>
        <v>0</v>
      </c>
      <c r="R112" s="318">
        <f t="shared" si="52"/>
        <v>0</v>
      </c>
      <c r="S112" s="318">
        <f t="shared" si="53"/>
        <v>0</v>
      </c>
      <c r="T112" s="318">
        <f t="shared" si="86"/>
        <v>0</v>
      </c>
      <c r="U112" s="318">
        <f t="shared" si="87"/>
        <v>0</v>
      </c>
      <c r="V112" s="318">
        <f t="shared" si="54"/>
        <v>0</v>
      </c>
      <c r="W112" s="318">
        <f t="shared" si="55"/>
        <v>0</v>
      </c>
      <c r="X112" s="318">
        <f t="shared" si="56"/>
        <v>0</v>
      </c>
      <c r="Y112" s="318">
        <f t="shared" si="57"/>
        <v>0</v>
      </c>
      <c r="Z112" s="318">
        <f t="shared" si="58"/>
        <v>0</v>
      </c>
      <c r="AA112" s="318">
        <f t="shared" si="59"/>
        <v>0</v>
      </c>
      <c r="AB112" s="318">
        <f t="shared" si="60"/>
        <v>0</v>
      </c>
      <c r="AC112" s="318">
        <f t="shared" si="61"/>
        <v>0</v>
      </c>
      <c r="AD112" s="318">
        <f t="shared" si="62"/>
        <v>0</v>
      </c>
      <c r="AE112" s="318">
        <f t="shared" si="63"/>
        <v>0</v>
      </c>
      <c r="AF112" s="318">
        <f t="shared" si="88"/>
        <v>0</v>
      </c>
      <c r="AG112" s="318">
        <f t="shared" si="89"/>
        <v>0</v>
      </c>
      <c r="AH112" s="318">
        <f t="shared" si="64"/>
        <v>0</v>
      </c>
      <c r="AI112" s="318">
        <f t="shared" si="65"/>
        <v>0</v>
      </c>
      <c r="AJ112" s="318">
        <f t="shared" si="66"/>
        <v>0</v>
      </c>
      <c r="AK112" s="318">
        <f t="shared" si="67"/>
        <v>0</v>
      </c>
      <c r="AL112" s="318">
        <f t="shared" si="68"/>
        <v>0</v>
      </c>
      <c r="AM112" s="318">
        <f t="shared" si="69"/>
        <v>0</v>
      </c>
      <c r="AN112" s="318">
        <f t="shared" si="70"/>
        <v>0</v>
      </c>
      <c r="AO112" s="318">
        <f t="shared" si="71"/>
        <v>0</v>
      </c>
      <c r="AP112" s="318">
        <f t="shared" si="72"/>
        <v>0</v>
      </c>
      <c r="AQ112" s="318">
        <f t="shared" si="73"/>
        <v>0</v>
      </c>
      <c r="AR112" s="318">
        <f t="shared" si="74"/>
        <v>0</v>
      </c>
      <c r="AS112" s="318">
        <f t="shared" si="75"/>
        <v>0</v>
      </c>
      <c r="AT112" s="318">
        <f t="shared" si="76"/>
        <v>0</v>
      </c>
      <c r="AU112" s="318">
        <f t="shared" si="77"/>
        <v>0</v>
      </c>
      <c r="AV112" s="318">
        <f t="shared" si="78"/>
        <v>0</v>
      </c>
      <c r="AW112" s="318">
        <f t="shared" si="79"/>
        <v>0</v>
      </c>
      <c r="AX112" s="318">
        <f t="shared" si="80"/>
        <v>0</v>
      </c>
      <c r="AY112" s="318">
        <f t="shared" si="81"/>
        <v>0</v>
      </c>
      <c r="AZ112" s="318">
        <f t="shared" si="82"/>
        <v>0</v>
      </c>
      <c r="BA112" s="318">
        <f t="shared" si="83"/>
        <v>0</v>
      </c>
    </row>
    <row r="113" spans="1:53" s="315" customFormat="1" ht="15" customHeight="1">
      <c r="A113" s="63" t="str">
        <f t="array" ref="A113">IF(C113&lt;&gt;0,SUM(($C$11:C113&lt;&gt;0)*1),"")</f>
        <v/>
      </c>
      <c r="B113" s="316"/>
      <c r="C113" s="316"/>
      <c r="D113" s="316"/>
      <c r="E113" s="436"/>
      <c r="F113" s="372"/>
      <c r="G113" s="374"/>
      <c r="H113" s="374"/>
      <c r="I113" s="63" t="str">
        <f t="shared" si="90"/>
        <v/>
      </c>
      <c r="J113" s="318">
        <f t="shared" si="46"/>
        <v>0</v>
      </c>
      <c r="K113" s="318">
        <f t="shared" si="47"/>
        <v>0</v>
      </c>
      <c r="L113" s="318">
        <f t="shared" si="48"/>
        <v>0</v>
      </c>
      <c r="M113" s="318">
        <f t="shared" si="49"/>
        <v>0</v>
      </c>
      <c r="N113" s="318">
        <f t="shared" si="84"/>
        <v>0</v>
      </c>
      <c r="O113" s="318">
        <f t="shared" si="85"/>
        <v>0</v>
      </c>
      <c r="P113" s="318">
        <f t="shared" si="50"/>
        <v>0</v>
      </c>
      <c r="Q113" s="318">
        <f t="shared" si="51"/>
        <v>0</v>
      </c>
      <c r="R113" s="318">
        <f t="shared" si="52"/>
        <v>0</v>
      </c>
      <c r="S113" s="318">
        <f t="shared" si="53"/>
        <v>0</v>
      </c>
      <c r="T113" s="318">
        <f t="shared" si="86"/>
        <v>0</v>
      </c>
      <c r="U113" s="318">
        <f t="shared" si="87"/>
        <v>0</v>
      </c>
      <c r="V113" s="318">
        <f t="shared" si="54"/>
        <v>0</v>
      </c>
      <c r="W113" s="318">
        <f t="shared" si="55"/>
        <v>0</v>
      </c>
      <c r="X113" s="318">
        <f t="shared" si="56"/>
        <v>0</v>
      </c>
      <c r="Y113" s="318">
        <f t="shared" si="57"/>
        <v>0</v>
      </c>
      <c r="Z113" s="318">
        <f t="shared" si="58"/>
        <v>0</v>
      </c>
      <c r="AA113" s="318">
        <f t="shared" si="59"/>
        <v>0</v>
      </c>
      <c r="AB113" s="318">
        <f t="shared" si="60"/>
        <v>0</v>
      </c>
      <c r="AC113" s="318">
        <f t="shared" si="61"/>
        <v>0</v>
      </c>
      <c r="AD113" s="318">
        <f t="shared" si="62"/>
        <v>0</v>
      </c>
      <c r="AE113" s="318">
        <f t="shared" si="63"/>
        <v>0</v>
      </c>
      <c r="AF113" s="318">
        <f t="shared" si="88"/>
        <v>0</v>
      </c>
      <c r="AG113" s="318">
        <f t="shared" si="89"/>
        <v>0</v>
      </c>
      <c r="AH113" s="318">
        <f t="shared" si="64"/>
        <v>0</v>
      </c>
      <c r="AI113" s="318">
        <f t="shared" si="65"/>
        <v>0</v>
      </c>
      <c r="AJ113" s="318">
        <f t="shared" si="66"/>
        <v>0</v>
      </c>
      <c r="AK113" s="318">
        <f t="shared" si="67"/>
        <v>0</v>
      </c>
      <c r="AL113" s="318">
        <f t="shared" si="68"/>
        <v>0</v>
      </c>
      <c r="AM113" s="318">
        <f t="shared" si="69"/>
        <v>0</v>
      </c>
      <c r="AN113" s="318">
        <f t="shared" si="70"/>
        <v>0</v>
      </c>
      <c r="AO113" s="318">
        <f t="shared" si="71"/>
        <v>0</v>
      </c>
      <c r="AP113" s="318">
        <f t="shared" si="72"/>
        <v>0</v>
      </c>
      <c r="AQ113" s="318">
        <f t="shared" si="73"/>
        <v>0</v>
      </c>
      <c r="AR113" s="318">
        <f t="shared" si="74"/>
        <v>0</v>
      </c>
      <c r="AS113" s="318">
        <f t="shared" si="75"/>
        <v>0</v>
      </c>
      <c r="AT113" s="318">
        <f t="shared" si="76"/>
        <v>0</v>
      </c>
      <c r="AU113" s="318">
        <f t="shared" si="77"/>
        <v>0</v>
      </c>
      <c r="AV113" s="318">
        <f t="shared" si="78"/>
        <v>0</v>
      </c>
      <c r="AW113" s="318">
        <f t="shared" si="79"/>
        <v>0</v>
      </c>
      <c r="AX113" s="318">
        <f t="shared" si="80"/>
        <v>0</v>
      </c>
      <c r="AY113" s="318">
        <f t="shared" si="81"/>
        <v>0</v>
      </c>
      <c r="AZ113" s="318">
        <f t="shared" si="82"/>
        <v>0</v>
      </c>
      <c r="BA113" s="318">
        <f t="shared" si="83"/>
        <v>0</v>
      </c>
    </row>
    <row r="114" spans="1:53" s="315" customFormat="1" ht="15" customHeight="1">
      <c r="A114" s="63" t="str">
        <f t="array" ref="A114">IF(C114&lt;&gt;0,SUM(($C$11:C114&lt;&gt;0)*1),"")</f>
        <v/>
      </c>
      <c r="B114" s="316"/>
      <c r="C114" s="316"/>
      <c r="D114" s="316"/>
      <c r="E114" s="436"/>
      <c r="F114" s="372"/>
      <c r="G114" s="374"/>
      <c r="H114" s="374"/>
      <c r="I114" s="63" t="str">
        <f t="shared" si="90"/>
        <v/>
      </c>
      <c r="J114" s="318">
        <f t="shared" si="46"/>
        <v>0</v>
      </c>
      <c r="K114" s="318">
        <f t="shared" si="47"/>
        <v>0</v>
      </c>
      <c r="L114" s="318">
        <f t="shared" si="48"/>
        <v>0</v>
      </c>
      <c r="M114" s="318">
        <f t="shared" si="49"/>
        <v>0</v>
      </c>
      <c r="N114" s="318">
        <f t="shared" si="84"/>
        <v>0</v>
      </c>
      <c r="O114" s="318">
        <f t="shared" si="85"/>
        <v>0</v>
      </c>
      <c r="P114" s="318">
        <f t="shared" si="50"/>
        <v>0</v>
      </c>
      <c r="Q114" s="318">
        <f t="shared" si="51"/>
        <v>0</v>
      </c>
      <c r="R114" s="318">
        <f t="shared" si="52"/>
        <v>0</v>
      </c>
      <c r="S114" s="318">
        <f t="shared" si="53"/>
        <v>0</v>
      </c>
      <c r="T114" s="318">
        <f t="shared" si="86"/>
        <v>0</v>
      </c>
      <c r="U114" s="318">
        <f t="shared" si="87"/>
        <v>0</v>
      </c>
      <c r="V114" s="318">
        <f t="shared" si="54"/>
        <v>0</v>
      </c>
      <c r="W114" s="318">
        <f t="shared" si="55"/>
        <v>0</v>
      </c>
      <c r="X114" s="318">
        <f t="shared" si="56"/>
        <v>0</v>
      </c>
      <c r="Y114" s="318">
        <f t="shared" si="57"/>
        <v>0</v>
      </c>
      <c r="Z114" s="318">
        <f t="shared" si="58"/>
        <v>0</v>
      </c>
      <c r="AA114" s="318">
        <f t="shared" si="59"/>
        <v>0</v>
      </c>
      <c r="AB114" s="318">
        <f t="shared" si="60"/>
        <v>0</v>
      </c>
      <c r="AC114" s="318">
        <f t="shared" si="61"/>
        <v>0</v>
      </c>
      <c r="AD114" s="318">
        <f t="shared" si="62"/>
        <v>0</v>
      </c>
      <c r="AE114" s="318">
        <f t="shared" si="63"/>
        <v>0</v>
      </c>
      <c r="AF114" s="318">
        <f t="shared" si="88"/>
        <v>0</v>
      </c>
      <c r="AG114" s="318">
        <f t="shared" si="89"/>
        <v>0</v>
      </c>
      <c r="AH114" s="318">
        <f t="shared" si="64"/>
        <v>0</v>
      </c>
      <c r="AI114" s="318">
        <f t="shared" si="65"/>
        <v>0</v>
      </c>
      <c r="AJ114" s="318">
        <f t="shared" si="66"/>
        <v>0</v>
      </c>
      <c r="AK114" s="318">
        <f t="shared" si="67"/>
        <v>0</v>
      </c>
      <c r="AL114" s="318">
        <f t="shared" si="68"/>
        <v>0</v>
      </c>
      <c r="AM114" s="318">
        <f t="shared" si="69"/>
        <v>0</v>
      </c>
      <c r="AN114" s="318">
        <f t="shared" si="70"/>
        <v>0</v>
      </c>
      <c r="AO114" s="318">
        <f t="shared" si="71"/>
        <v>0</v>
      </c>
      <c r="AP114" s="318">
        <f t="shared" si="72"/>
        <v>0</v>
      </c>
      <c r="AQ114" s="318">
        <f t="shared" si="73"/>
        <v>0</v>
      </c>
      <c r="AR114" s="318">
        <f t="shared" si="74"/>
        <v>0</v>
      </c>
      <c r="AS114" s="318">
        <f t="shared" si="75"/>
        <v>0</v>
      </c>
      <c r="AT114" s="318">
        <f t="shared" si="76"/>
        <v>0</v>
      </c>
      <c r="AU114" s="318">
        <f t="shared" si="77"/>
        <v>0</v>
      </c>
      <c r="AV114" s="318">
        <f t="shared" si="78"/>
        <v>0</v>
      </c>
      <c r="AW114" s="318">
        <f t="shared" si="79"/>
        <v>0</v>
      </c>
      <c r="AX114" s="318">
        <f t="shared" si="80"/>
        <v>0</v>
      </c>
      <c r="AY114" s="318">
        <f t="shared" si="81"/>
        <v>0</v>
      </c>
      <c r="AZ114" s="318">
        <f t="shared" si="82"/>
        <v>0</v>
      </c>
      <c r="BA114" s="318">
        <f t="shared" si="83"/>
        <v>0</v>
      </c>
    </row>
    <row r="115" spans="1:53" s="315" customFormat="1" ht="15" customHeight="1">
      <c r="A115" s="63" t="str">
        <f t="array" ref="A115">IF(C115&lt;&gt;0,SUM(($C$11:C115&lt;&gt;0)*1),"")</f>
        <v/>
      </c>
      <c r="B115" s="316"/>
      <c r="C115" s="316"/>
      <c r="D115" s="316"/>
      <c r="E115" s="436"/>
      <c r="F115" s="372"/>
      <c r="G115" s="374"/>
      <c r="H115" s="374"/>
      <c r="I115" s="63" t="str">
        <f t="shared" si="90"/>
        <v/>
      </c>
      <c r="J115" s="318">
        <f t="shared" si="46"/>
        <v>0</v>
      </c>
      <c r="K115" s="318">
        <f t="shared" si="47"/>
        <v>0</v>
      </c>
      <c r="L115" s="318">
        <f t="shared" si="48"/>
        <v>0</v>
      </c>
      <c r="M115" s="318">
        <f t="shared" si="49"/>
        <v>0</v>
      </c>
      <c r="N115" s="318">
        <f t="shared" si="84"/>
        <v>0</v>
      </c>
      <c r="O115" s="318">
        <f t="shared" si="85"/>
        <v>0</v>
      </c>
      <c r="P115" s="318">
        <f t="shared" si="50"/>
        <v>0</v>
      </c>
      <c r="Q115" s="318">
        <f t="shared" si="51"/>
        <v>0</v>
      </c>
      <c r="R115" s="318">
        <f t="shared" si="52"/>
        <v>0</v>
      </c>
      <c r="S115" s="318">
        <f t="shared" si="53"/>
        <v>0</v>
      </c>
      <c r="T115" s="318">
        <f t="shared" si="86"/>
        <v>0</v>
      </c>
      <c r="U115" s="318">
        <f t="shared" si="87"/>
        <v>0</v>
      </c>
      <c r="V115" s="318">
        <f t="shared" si="54"/>
        <v>0</v>
      </c>
      <c r="W115" s="318">
        <f t="shared" si="55"/>
        <v>0</v>
      </c>
      <c r="X115" s="318">
        <f t="shared" si="56"/>
        <v>0</v>
      </c>
      <c r="Y115" s="318">
        <f t="shared" si="57"/>
        <v>0</v>
      </c>
      <c r="Z115" s="318">
        <f t="shared" si="58"/>
        <v>0</v>
      </c>
      <c r="AA115" s="318">
        <f t="shared" si="59"/>
        <v>0</v>
      </c>
      <c r="AB115" s="318">
        <f t="shared" si="60"/>
        <v>0</v>
      </c>
      <c r="AC115" s="318">
        <f t="shared" si="61"/>
        <v>0</v>
      </c>
      <c r="AD115" s="318">
        <f t="shared" si="62"/>
        <v>0</v>
      </c>
      <c r="AE115" s="318">
        <f t="shared" si="63"/>
        <v>0</v>
      </c>
      <c r="AF115" s="318">
        <f t="shared" si="88"/>
        <v>0</v>
      </c>
      <c r="AG115" s="318">
        <f t="shared" si="89"/>
        <v>0</v>
      </c>
      <c r="AH115" s="318">
        <f t="shared" si="64"/>
        <v>0</v>
      </c>
      <c r="AI115" s="318">
        <f t="shared" si="65"/>
        <v>0</v>
      </c>
      <c r="AJ115" s="318">
        <f t="shared" si="66"/>
        <v>0</v>
      </c>
      <c r="AK115" s="318">
        <f t="shared" si="67"/>
        <v>0</v>
      </c>
      <c r="AL115" s="318">
        <f t="shared" si="68"/>
        <v>0</v>
      </c>
      <c r="AM115" s="318">
        <f t="shared" si="69"/>
        <v>0</v>
      </c>
      <c r="AN115" s="318">
        <f t="shared" si="70"/>
        <v>0</v>
      </c>
      <c r="AO115" s="318">
        <f t="shared" si="71"/>
        <v>0</v>
      </c>
      <c r="AP115" s="318">
        <f t="shared" si="72"/>
        <v>0</v>
      </c>
      <c r="AQ115" s="318">
        <f t="shared" si="73"/>
        <v>0</v>
      </c>
      <c r="AR115" s="318">
        <f t="shared" si="74"/>
        <v>0</v>
      </c>
      <c r="AS115" s="318">
        <f t="shared" si="75"/>
        <v>0</v>
      </c>
      <c r="AT115" s="318">
        <f t="shared" si="76"/>
        <v>0</v>
      </c>
      <c r="AU115" s="318">
        <f t="shared" si="77"/>
        <v>0</v>
      </c>
      <c r="AV115" s="318">
        <f t="shared" si="78"/>
        <v>0</v>
      </c>
      <c r="AW115" s="318">
        <f t="shared" si="79"/>
        <v>0</v>
      </c>
      <c r="AX115" s="318">
        <f t="shared" si="80"/>
        <v>0</v>
      </c>
      <c r="AY115" s="318">
        <f t="shared" si="81"/>
        <v>0</v>
      </c>
      <c r="AZ115" s="318">
        <f t="shared" si="82"/>
        <v>0</v>
      </c>
      <c r="BA115" s="318">
        <f t="shared" si="83"/>
        <v>0</v>
      </c>
    </row>
    <row r="116" spans="1:53" s="315" customFormat="1" ht="15" customHeight="1">
      <c r="A116" s="63" t="str">
        <f t="array" ref="A116">IF(C116&lt;&gt;0,SUM(($C$11:C116&lt;&gt;0)*1),"")</f>
        <v/>
      </c>
      <c r="B116" s="316"/>
      <c r="C116" s="316"/>
      <c r="D116" s="316"/>
      <c r="E116" s="436"/>
      <c r="F116" s="372"/>
      <c r="G116" s="374"/>
      <c r="H116" s="374"/>
      <c r="I116" s="63" t="str">
        <f t="shared" si="90"/>
        <v/>
      </c>
      <c r="J116" s="318">
        <f t="shared" si="46"/>
        <v>0</v>
      </c>
      <c r="K116" s="318">
        <f t="shared" si="47"/>
        <v>0</v>
      </c>
      <c r="L116" s="318">
        <f t="shared" si="48"/>
        <v>0</v>
      </c>
      <c r="M116" s="318">
        <f t="shared" si="49"/>
        <v>0</v>
      </c>
      <c r="N116" s="318">
        <f t="shared" si="84"/>
        <v>0</v>
      </c>
      <c r="O116" s="318">
        <f t="shared" si="85"/>
        <v>0</v>
      </c>
      <c r="P116" s="318">
        <f t="shared" si="50"/>
        <v>0</v>
      </c>
      <c r="Q116" s="318">
        <f t="shared" si="51"/>
        <v>0</v>
      </c>
      <c r="R116" s="318">
        <f t="shared" si="52"/>
        <v>0</v>
      </c>
      <c r="S116" s="318">
        <f t="shared" si="53"/>
        <v>0</v>
      </c>
      <c r="T116" s="318">
        <f t="shared" si="86"/>
        <v>0</v>
      </c>
      <c r="U116" s="318">
        <f t="shared" si="87"/>
        <v>0</v>
      </c>
      <c r="V116" s="318">
        <f t="shared" si="54"/>
        <v>0</v>
      </c>
      <c r="W116" s="318">
        <f t="shared" si="55"/>
        <v>0</v>
      </c>
      <c r="X116" s="318">
        <f t="shared" si="56"/>
        <v>0</v>
      </c>
      <c r="Y116" s="318">
        <f t="shared" si="57"/>
        <v>0</v>
      </c>
      <c r="Z116" s="318">
        <f t="shared" si="58"/>
        <v>0</v>
      </c>
      <c r="AA116" s="318">
        <f t="shared" si="59"/>
        <v>0</v>
      </c>
      <c r="AB116" s="318">
        <f t="shared" si="60"/>
        <v>0</v>
      </c>
      <c r="AC116" s="318">
        <f t="shared" si="61"/>
        <v>0</v>
      </c>
      <c r="AD116" s="318">
        <f t="shared" si="62"/>
        <v>0</v>
      </c>
      <c r="AE116" s="318">
        <f t="shared" si="63"/>
        <v>0</v>
      </c>
      <c r="AF116" s="318">
        <f t="shared" si="88"/>
        <v>0</v>
      </c>
      <c r="AG116" s="318">
        <f t="shared" si="89"/>
        <v>0</v>
      </c>
      <c r="AH116" s="318">
        <f t="shared" si="64"/>
        <v>0</v>
      </c>
      <c r="AI116" s="318">
        <f t="shared" si="65"/>
        <v>0</v>
      </c>
      <c r="AJ116" s="318">
        <f t="shared" si="66"/>
        <v>0</v>
      </c>
      <c r="AK116" s="318">
        <f t="shared" si="67"/>
        <v>0</v>
      </c>
      <c r="AL116" s="318">
        <f t="shared" si="68"/>
        <v>0</v>
      </c>
      <c r="AM116" s="318">
        <f t="shared" si="69"/>
        <v>0</v>
      </c>
      <c r="AN116" s="318">
        <f t="shared" si="70"/>
        <v>0</v>
      </c>
      <c r="AO116" s="318">
        <f t="shared" si="71"/>
        <v>0</v>
      </c>
      <c r="AP116" s="318">
        <f t="shared" si="72"/>
        <v>0</v>
      </c>
      <c r="AQ116" s="318">
        <f t="shared" si="73"/>
        <v>0</v>
      </c>
      <c r="AR116" s="318">
        <f t="shared" si="74"/>
        <v>0</v>
      </c>
      <c r="AS116" s="318">
        <f t="shared" si="75"/>
        <v>0</v>
      </c>
      <c r="AT116" s="318">
        <f t="shared" si="76"/>
        <v>0</v>
      </c>
      <c r="AU116" s="318">
        <f t="shared" si="77"/>
        <v>0</v>
      </c>
      <c r="AV116" s="318">
        <f t="shared" si="78"/>
        <v>0</v>
      </c>
      <c r="AW116" s="318">
        <f t="shared" si="79"/>
        <v>0</v>
      </c>
      <c r="AX116" s="318">
        <f t="shared" si="80"/>
        <v>0</v>
      </c>
      <c r="AY116" s="318">
        <f t="shared" si="81"/>
        <v>0</v>
      </c>
      <c r="AZ116" s="318">
        <f t="shared" si="82"/>
        <v>0</v>
      </c>
      <c r="BA116" s="318">
        <f t="shared" si="83"/>
        <v>0</v>
      </c>
    </row>
    <row r="117" spans="1:53" s="315" customFormat="1" ht="15" customHeight="1">
      <c r="A117" s="63" t="str">
        <f t="array" ref="A117">IF(C117&lt;&gt;0,SUM(($C$11:C117&lt;&gt;0)*1),"")</f>
        <v/>
      </c>
      <c r="B117" s="316"/>
      <c r="C117" s="316"/>
      <c r="D117" s="316"/>
      <c r="E117" s="436"/>
      <c r="F117" s="372"/>
      <c r="G117" s="374"/>
      <c r="H117" s="374"/>
      <c r="I117" s="63" t="str">
        <f t="shared" si="90"/>
        <v/>
      </c>
      <c r="J117" s="318">
        <f t="shared" si="46"/>
        <v>0</v>
      </c>
      <c r="K117" s="318">
        <f t="shared" si="47"/>
        <v>0</v>
      </c>
      <c r="L117" s="318">
        <f t="shared" si="48"/>
        <v>0</v>
      </c>
      <c r="M117" s="318">
        <f t="shared" si="49"/>
        <v>0</v>
      </c>
      <c r="N117" s="318">
        <f t="shared" si="84"/>
        <v>0</v>
      </c>
      <c r="O117" s="318">
        <f t="shared" si="85"/>
        <v>0</v>
      </c>
      <c r="P117" s="318">
        <f t="shared" si="50"/>
        <v>0</v>
      </c>
      <c r="Q117" s="318">
        <f t="shared" si="51"/>
        <v>0</v>
      </c>
      <c r="R117" s="318">
        <f t="shared" si="52"/>
        <v>0</v>
      </c>
      <c r="S117" s="318">
        <f t="shared" si="53"/>
        <v>0</v>
      </c>
      <c r="T117" s="318">
        <f t="shared" si="86"/>
        <v>0</v>
      </c>
      <c r="U117" s="318">
        <f t="shared" si="87"/>
        <v>0</v>
      </c>
      <c r="V117" s="318">
        <f t="shared" si="54"/>
        <v>0</v>
      </c>
      <c r="W117" s="318">
        <f t="shared" si="55"/>
        <v>0</v>
      </c>
      <c r="X117" s="318">
        <f t="shared" si="56"/>
        <v>0</v>
      </c>
      <c r="Y117" s="318">
        <f t="shared" si="57"/>
        <v>0</v>
      </c>
      <c r="Z117" s="318">
        <f t="shared" si="58"/>
        <v>0</v>
      </c>
      <c r="AA117" s="318">
        <f t="shared" si="59"/>
        <v>0</v>
      </c>
      <c r="AB117" s="318">
        <f t="shared" si="60"/>
        <v>0</v>
      </c>
      <c r="AC117" s="318">
        <f t="shared" si="61"/>
        <v>0</v>
      </c>
      <c r="AD117" s="318">
        <f t="shared" si="62"/>
        <v>0</v>
      </c>
      <c r="AE117" s="318">
        <f t="shared" si="63"/>
        <v>0</v>
      </c>
      <c r="AF117" s="318">
        <f t="shared" si="88"/>
        <v>0</v>
      </c>
      <c r="AG117" s="318">
        <f t="shared" si="89"/>
        <v>0</v>
      </c>
      <c r="AH117" s="318">
        <f t="shared" si="64"/>
        <v>0</v>
      </c>
      <c r="AI117" s="318">
        <f t="shared" si="65"/>
        <v>0</v>
      </c>
      <c r="AJ117" s="318">
        <f t="shared" si="66"/>
        <v>0</v>
      </c>
      <c r="AK117" s="318">
        <f t="shared" si="67"/>
        <v>0</v>
      </c>
      <c r="AL117" s="318">
        <f t="shared" si="68"/>
        <v>0</v>
      </c>
      <c r="AM117" s="318">
        <f t="shared" si="69"/>
        <v>0</v>
      </c>
      <c r="AN117" s="318">
        <f t="shared" si="70"/>
        <v>0</v>
      </c>
      <c r="AO117" s="318">
        <f t="shared" si="71"/>
        <v>0</v>
      </c>
      <c r="AP117" s="318">
        <f t="shared" si="72"/>
        <v>0</v>
      </c>
      <c r="AQ117" s="318">
        <f t="shared" si="73"/>
        <v>0</v>
      </c>
      <c r="AR117" s="318">
        <f t="shared" si="74"/>
        <v>0</v>
      </c>
      <c r="AS117" s="318">
        <f t="shared" si="75"/>
        <v>0</v>
      </c>
      <c r="AT117" s="318">
        <f t="shared" si="76"/>
        <v>0</v>
      </c>
      <c r="AU117" s="318">
        <f t="shared" si="77"/>
        <v>0</v>
      </c>
      <c r="AV117" s="318">
        <f t="shared" si="78"/>
        <v>0</v>
      </c>
      <c r="AW117" s="318">
        <f t="shared" si="79"/>
        <v>0</v>
      </c>
      <c r="AX117" s="318">
        <f t="shared" si="80"/>
        <v>0</v>
      </c>
      <c r="AY117" s="318">
        <f t="shared" si="81"/>
        <v>0</v>
      </c>
      <c r="AZ117" s="318">
        <f t="shared" si="82"/>
        <v>0</v>
      </c>
      <c r="BA117" s="318">
        <f t="shared" si="83"/>
        <v>0</v>
      </c>
    </row>
    <row r="118" spans="1:53" s="315" customFormat="1" ht="15" customHeight="1">
      <c r="A118" s="63" t="str">
        <f t="array" ref="A118">IF(C118&lt;&gt;0,SUM(($C$11:C118&lt;&gt;0)*1),"")</f>
        <v/>
      </c>
      <c r="B118" s="316"/>
      <c r="C118" s="316"/>
      <c r="D118" s="316"/>
      <c r="E118" s="436"/>
      <c r="F118" s="372"/>
      <c r="G118" s="374"/>
      <c r="H118" s="374"/>
      <c r="I118" s="63" t="str">
        <f t="shared" si="90"/>
        <v/>
      </c>
      <c r="J118" s="318">
        <f t="shared" si="46"/>
        <v>0</v>
      </c>
      <c r="K118" s="318">
        <f t="shared" si="47"/>
        <v>0</v>
      </c>
      <c r="L118" s="318">
        <f t="shared" si="48"/>
        <v>0</v>
      </c>
      <c r="M118" s="318">
        <f t="shared" si="49"/>
        <v>0</v>
      </c>
      <c r="N118" s="318">
        <f t="shared" si="84"/>
        <v>0</v>
      </c>
      <c r="O118" s="318">
        <f t="shared" si="85"/>
        <v>0</v>
      </c>
      <c r="P118" s="318">
        <f t="shared" si="50"/>
        <v>0</v>
      </c>
      <c r="Q118" s="318">
        <f t="shared" si="51"/>
        <v>0</v>
      </c>
      <c r="R118" s="318">
        <f t="shared" si="52"/>
        <v>0</v>
      </c>
      <c r="S118" s="318">
        <f t="shared" si="53"/>
        <v>0</v>
      </c>
      <c r="T118" s="318">
        <f t="shared" si="86"/>
        <v>0</v>
      </c>
      <c r="U118" s="318">
        <f t="shared" si="87"/>
        <v>0</v>
      </c>
      <c r="V118" s="318">
        <f t="shared" si="54"/>
        <v>0</v>
      </c>
      <c r="W118" s="318">
        <f t="shared" si="55"/>
        <v>0</v>
      </c>
      <c r="X118" s="318">
        <f t="shared" si="56"/>
        <v>0</v>
      </c>
      <c r="Y118" s="318">
        <f t="shared" si="57"/>
        <v>0</v>
      </c>
      <c r="Z118" s="318">
        <f t="shared" si="58"/>
        <v>0</v>
      </c>
      <c r="AA118" s="318">
        <f t="shared" si="59"/>
        <v>0</v>
      </c>
      <c r="AB118" s="318">
        <f t="shared" si="60"/>
        <v>0</v>
      </c>
      <c r="AC118" s="318">
        <f t="shared" si="61"/>
        <v>0</v>
      </c>
      <c r="AD118" s="318">
        <f t="shared" si="62"/>
        <v>0</v>
      </c>
      <c r="AE118" s="318">
        <f t="shared" si="63"/>
        <v>0</v>
      </c>
      <c r="AF118" s="318">
        <f t="shared" si="88"/>
        <v>0</v>
      </c>
      <c r="AG118" s="318">
        <f t="shared" si="89"/>
        <v>0</v>
      </c>
      <c r="AH118" s="318">
        <f t="shared" si="64"/>
        <v>0</v>
      </c>
      <c r="AI118" s="318">
        <f t="shared" si="65"/>
        <v>0</v>
      </c>
      <c r="AJ118" s="318">
        <f t="shared" si="66"/>
        <v>0</v>
      </c>
      <c r="AK118" s="318">
        <f t="shared" si="67"/>
        <v>0</v>
      </c>
      <c r="AL118" s="318">
        <f t="shared" si="68"/>
        <v>0</v>
      </c>
      <c r="AM118" s="318">
        <f t="shared" si="69"/>
        <v>0</v>
      </c>
      <c r="AN118" s="318">
        <f t="shared" si="70"/>
        <v>0</v>
      </c>
      <c r="AO118" s="318">
        <f t="shared" si="71"/>
        <v>0</v>
      </c>
      <c r="AP118" s="318">
        <f t="shared" si="72"/>
        <v>0</v>
      </c>
      <c r="AQ118" s="318">
        <f t="shared" si="73"/>
        <v>0</v>
      </c>
      <c r="AR118" s="318">
        <f t="shared" si="74"/>
        <v>0</v>
      </c>
      <c r="AS118" s="318">
        <f t="shared" si="75"/>
        <v>0</v>
      </c>
      <c r="AT118" s="318">
        <f t="shared" si="76"/>
        <v>0</v>
      </c>
      <c r="AU118" s="318">
        <f t="shared" si="77"/>
        <v>0</v>
      </c>
      <c r="AV118" s="318">
        <f t="shared" si="78"/>
        <v>0</v>
      </c>
      <c r="AW118" s="318">
        <f t="shared" si="79"/>
        <v>0</v>
      </c>
      <c r="AX118" s="318">
        <f t="shared" si="80"/>
        <v>0</v>
      </c>
      <c r="AY118" s="318">
        <f t="shared" si="81"/>
        <v>0</v>
      </c>
      <c r="AZ118" s="318">
        <f t="shared" si="82"/>
        <v>0</v>
      </c>
      <c r="BA118" s="318">
        <f t="shared" si="83"/>
        <v>0</v>
      </c>
    </row>
    <row r="119" spans="1:53" s="315" customFormat="1" ht="15" customHeight="1">
      <c r="A119" s="63" t="str">
        <f t="array" ref="A119">IF(C119&lt;&gt;0,SUM(($C$11:C119&lt;&gt;0)*1),"")</f>
        <v/>
      </c>
      <c r="B119" s="316"/>
      <c r="C119" s="316"/>
      <c r="D119" s="316"/>
      <c r="E119" s="436"/>
      <c r="F119" s="372"/>
      <c r="G119" s="374"/>
      <c r="H119" s="374"/>
      <c r="I119" s="63" t="str">
        <f t="shared" si="90"/>
        <v/>
      </c>
      <c r="J119" s="318">
        <f t="shared" si="46"/>
        <v>0</v>
      </c>
      <c r="K119" s="318">
        <f t="shared" si="47"/>
        <v>0</v>
      </c>
      <c r="L119" s="318">
        <f t="shared" si="48"/>
        <v>0</v>
      </c>
      <c r="M119" s="318">
        <f t="shared" si="49"/>
        <v>0</v>
      </c>
      <c r="N119" s="318">
        <f t="shared" si="84"/>
        <v>0</v>
      </c>
      <c r="O119" s="318">
        <f t="shared" si="85"/>
        <v>0</v>
      </c>
      <c r="P119" s="318">
        <f t="shared" si="50"/>
        <v>0</v>
      </c>
      <c r="Q119" s="318">
        <f t="shared" si="51"/>
        <v>0</v>
      </c>
      <c r="R119" s="318">
        <f t="shared" si="52"/>
        <v>0</v>
      </c>
      <c r="S119" s="318">
        <f t="shared" si="53"/>
        <v>0</v>
      </c>
      <c r="T119" s="318">
        <f t="shared" si="86"/>
        <v>0</v>
      </c>
      <c r="U119" s="318">
        <f t="shared" si="87"/>
        <v>0</v>
      </c>
      <c r="V119" s="318">
        <f t="shared" si="54"/>
        <v>0</v>
      </c>
      <c r="W119" s="318">
        <f t="shared" si="55"/>
        <v>0</v>
      </c>
      <c r="X119" s="318">
        <f t="shared" si="56"/>
        <v>0</v>
      </c>
      <c r="Y119" s="318">
        <f t="shared" si="57"/>
        <v>0</v>
      </c>
      <c r="Z119" s="318">
        <f t="shared" si="58"/>
        <v>0</v>
      </c>
      <c r="AA119" s="318">
        <f t="shared" si="59"/>
        <v>0</v>
      </c>
      <c r="AB119" s="318">
        <f t="shared" si="60"/>
        <v>0</v>
      </c>
      <c r="AC119" s="318">
        <f t="shared" si="61"/>
        <v>0</v>
      </c>
      <c r="AD119" s="318">
        <f t="shared" si="62"/>
        <v>0</v>
      </c>
      <c r="AE119" s="318">
        <f t="shared" si="63"/>
        <v>0</v>
      </c>
      <c r="AF119" s="318">
        <f t="shared" si="88"/>
        <v>0</v>
      </c>
      <c r="AG119" s="318">
        <f t="shared" si="89"/>
        <v>0</v>
      </c>
      <c r="AH119" s="318">
        <f t="shared" si="64"/>
        <v>0</v>
      </c>
      <c r="AI119" s="318">
        <f t="shared" si="65"/>
        <v>0</v>
      </c>
      <c r="AJ119" s="318">
        <f t="shared" si="66"/>
        <v>0</v>
      </c>
      <c r="AK119" s="318">
        <f t="shared" si="67"/>
        <v>0</v>
      </c>
      <c r="AL119" s="318">
        <f t="shared" si="68"/>
        <v>0</v>
      </c>
      <c r="AM119" s="318">
        <f t="shared" si="69"/>
        <v>0</v>
      </c>
      <c r="AN119" s="318">
        <f t="shared" si="70"/>
        <v>0</v>
      </c>
      <c r="AO119" s="318">
        <f t="shared" si="71"/>
        <v>0</v>
      </c>
      <c r="AP119" s="318">
        <f t="shared" si="72"/>
        <v>0</v>
      </c>
      <c r="AQ119" s="318">
        <f t="shared" si="73"/>
        <v>0</v>
      </c>
      <c r="AR119" s="318">
        <f t="shared" si="74"/>
        <v>0</v>
      </c>
      <c r="AS119" s="318">
        <f t="shared" si="75"/>
        <v>0</v>
      </c>
      <c r="AT119" s="318">
        <f t="shared" si="76"/>
        <v>0</v>
      </c>
      <c r="AU119" s="318">
        <f t="shared" si="77"/>
        <v>0</v>
      </c>
      <c r="AV119" s="318">
        <f t="shared" si="78"/>
        <v>0</v>
      </c>
      <c r="AW119" s="318">
        <f t="shared" si="79"/>
        <v>0</v>
      </c>
      <c r="AX119" s="318">
        <f t="shared" si="80"/>
        <v>0</v>
      </c>
      <c r="AY119" s="318">
        <f t="shared" si="81"/>
        <v>0</v>
      </c>
      <c r="AZ119" s="318">
        <f t="shared" si="82"/>
        <v>0</v>
      </c>
      <c r="BA119" s="318">
        <f t="shared" si="83"/>
        <v>0</v>
      </c>
    </row>
    <row r="120" spans="1:53" s="315" customFormat="1" ht="15" customHeight="1">
      <c r="A120" s="63" t="str">
        <f t="array" ref="A120">IF(C120&lt;&gt;0,SUM(($C$11:C120&lt;&gt;0)*1),"")</f>
        <v/>
      </c>
      <c r="B120" s="316"/>
      <c r="C120" s="316"/>
      <c r="D120" s="316"/>
      <c r="E120" s="436"/>
      <c r="F120" s="372"/>
      <c r="G120" s="374"/>
      <c r="H120" s="374"/>
      <c r="I120" s="63" t="str">
        <f t="shared" si="90"/>
        <v/>
      </c>
      <c r="J120" s="318">
        <f t="shared" si="46"/>
        <v>0</v>
      </c>
      <c r="K120" s="318">
        <f t="shared" si="47"/>
        <v>0</v>
      </c>
      <c r="L120" s="318">
        <f t="shared" si="48"/>
        <v>0</v>
      </c>
      <c r="M120" s="318">
        <f t="shared" si="49"/>
        <v>0</v>
      </c>
      <c r="N120" s="318">
        <f t="shared" si="84"/>
        <v>0</v>
      </c>
      <c r="O120" s="318">
        <f t="shared" si="85"/>
        <v>0</v>
      </c>
      <c r="P120" s="318">
        <f t="shared" si="50"/>
        <v>0</v>
      </c>
      <c r="Q120" s="318">
        <f t="shared" si="51"/>
        <v>0</v>
      </c>
      <c r="R120" s="318">
        <f t="shared" si="52"/>
        <v>0</v>
      </c>
      <c r="S120" s="318">
        <f t="shared" si="53"/>
        <v>0</v>
      </c>
      <c r="T120" s="318">
        <f t="shared" si="86"/>
        <v>0</v>
      </c>
      <c r="U120" s="318">
        <f t="shared" si="87"/>
        <v>0</v>
      </c>
      <c r="V120" s="318">
        <f t="shared" si="54"/>
        <v>0</v>
      </c>
      <c r="W120" s="318">
        <f t="shared" si="55"/>
        <v>0</v>
      </c>
      <c r="X120" s="318">
        <f t="shared" si="56"/>
        <v>0</v>
      </c>
      <c r="Y120" s="318">
        <f t="shared" si="57"/>
        <v>0</v>
      </c>
      <c r="Z120" s="318">
        <f t="shared" si="58"/>
        <v>0</v>
      </c>
      <c r="AA120" s="318">
        <f t="shared" si="59"/>
        <v>0</v>
      </c>
      <c r="AB120" s="318">
        <f t="shared" si="60"/>
        <v>0</v>
      </c>
      <c r="AC120" s="318">
        <f t="shared" si="61"/>
        <v>0</v>
      </c>
      <c r="AD120" s="318">
        <f t="shared" si="62"/>
        <v>0</v>
      </c>
      <c r="AE120" s="318">
        <f t="shared" si="63"/>
        <v>0</v>
      </c>
      <c r="AF120" s="318">
        <f t="shared" si="88"/>
        <v>0</v>
      </c>
      <c r="AG120" s="318">
        <f t="shared" si="89"/>
        <v>0</v>
      </c>
      <c r="AH120" s="318">
        <f t="shared" si="64"/>
        <v>0</v>
      </c>
      <c r="AI120" s="318">
        <f t="shared" si="65"/>
        <v>0</v>
      </c>
      <c r="AJ120" s="318">
        <f t="shared" si="66"/>
        <v>0</v>
      </c>
      <c r="AK120" s="318">
        <f t="shared" si="67"/>
        <v>0</v>
      </c>
      <c r="AL120" s="318">
        <f t="shared" si="68"/>
        <v>0</v>
      </c>
      <c r="AM120" s="318">
        <f t="shared" si="69"/>
        <v>0</v>
      </c>
      <c r="AN120" s="318">
        <f t="shared" si="70"/>
        <v>0</v>
      </c>
      <c r="AO120" s="318">
        <f t="shared" si="71"/>
        <v>0</v>
      </c>
      <c r="AP120" s="318">
        <f t="shared" si="72"/>
        <v>0</v>
      </c>
      <c r="AQ120" s="318">
        <f t="shared" si="73"/>
        <v>0</v>
      </c>
      <c r="AR120" s="318">
        <f t="shared" si="74"/>
        <v>0</v>
      </c>
      <c r="AS120" s="318">
        <f t="shared" si="75"/>
        <v>0</v>
      </c>
      <c r="AT120" s="318">
        <f t="shared" si="76"/>
        <v>0</v>
      </c>
      <c r="AU120" s="318">
        <f t="shared" si="77"/>
        <v>0</v>
      </c>
      <c r="AV120" s="318">
        <f t="shared" si="78"/>
        <v>0</v>
      </c>
      <c r="AW120" s="318">
        <f t="shared" si="79"/>
        <v>0</v>
      </c>
      <c r="AX120" s="318">
        <f t="shared" si="80"/>
        <v>0</v>
      </c>
      <c r="AY120" s="318">
        <f t="shared" si="81"/>
        <v>0</v>
      </c>
      <c r="AZ120" s="318">
        <f t="shared" si="82"/>
        <v>0</v>
      </c>
      <c r="BA120" s="318">
        <f t="shared" si="83"/>
        <v>0</v>
      </c>
    </row>
    <row r="121" spans="1:53" s="315" customFormat="1" ht="15" customHeight="1">
      <c r="A121" s="63" t="str">
        <f t="array" ref="A121">IF(C121&lt;&gt;0,SUM(($C$11:C121&lt;&gt;0)*1),"")</f>
        <v/>
      </c>
      <c r="B121" s="316"/>
      <c r="C121" s="316"/>
      <c r="D121" s="316"/>
      <c r="E121" s="436"/>
      <c r="F121" s="372"/>
      <c r="G121" s="374"/>
      <c r="H121" s="374"/>
      <c r="I121" s="63" t="str">
        <f t="shared" si="90"/>
        <v/>
      </c>
      <c r="J121" s="318">
        <f t="shared" si="46"/>
        <v>0</v>
      </c>
      <c r="K121" s="318">
        <f t="shared" si="47"/>
        <v>0</v>
      </c>
      <c r="L121" s="318">
        <f t="shared" si="48"/>
        <v>0</v>
      </c>
      <c r="M121" s="318">
        <f t="shared" si="49"/>
        <v>0</v>
      </c>
      <c r="N121" s="318">
        <f t="shared" si="84"/>
        <v>0</v>
      </c>
      <c r="O121" s="318">
        <f t="shared" si="85"/>
        <v>0</v>
      </c>
      <c r="P121" s="318">
        <f t="shared" si="50"/>
        <v>0</v>
      </c>
      <c r="Q121" s="318">
        <f t="shared" si="51"/>
        <v>0</v>
      </c>
      <c r="R121" s="318">
        <f t="shared" si="52"/>
        <v>0</v>
      </c>
      <c r="S121" s="318">
        <f t="shared" si="53"/>
        <v>0</v>
      </c>
      <c r="T121" s="318">
        <f t="shared" si="86"/>
        <v>0</v>
      </c>
      <c r="U121" s="318">
        <f t="shared" si="87"/>
        <v>0</v>
      </c>
      <c r="V121" s="318">
        <f t="shared" si="54"/>
        <v>0</v>
      </c>
      <c r="W121" s="318">
        <f t="shared" si="55"/>
        <v>0</v>
      </c>
      <c r="X121" s="318">
        <f t="shared" si="56"/>
        <v>0</v>
      </c>
      <c r="Y121" s="318">
        <f t="shared" si="57"/>
        <v>0</v>
      </c>
      <c r="Z121" s="318">
        <f t="shared" si="58"/>
        <v>0</v>
      </c>
      <c r="AA121" s="318">
        <f t="shared" si="59"/>
        <v>0</v>
      </c>
      <c r="AB121" s="318">
        <f t="shared" si="60"/>
        <v>0</v>
      </c>
      <c r="AC121" s="318">
        <f t="shared" si="61"/>
        <v>0</v>
      </c>
      <c r="AD121" s="318">
        <f t="shared" si="62"/>
        <v>0</v>
      </c>
      <c r="AE121" s="318">
        <f t="shared" si="63"/>
        <v>0</v>
      </c>
      <c r="AF121" s="318">
        <f t="shared" si="88"/>
        <v>0</v>
      </c>
      <c r="AG121" s="318">
        <f t="shared" si="89"/>
        <v>0</v>
      </c>
      <c r="AH121" s="318">
        <f t="shared" si="64"/>
        <v>0</v>
      </c>
      <c r="AI121" s="318">
        <f t="shared" si="65"/>
        <v>0</v>
      </c>
      <c r="AJ121" s="318">
        <f t="shared" si="66"/>
        <v>0</v>
      </c>
      <c r="AK121" s="318">
        <f t="shared" si="67"/>
        <v>0</v>
      </c>
      <c r="AL121" s="318">
        <f t="shared" si="68"/>
        <v>0</v>
      </c>
      <c r="AM121" s="318">
        <f t="shared" si="69"/>
        <v>0</v>
      </c>
      <c r="AN121" s="318">
        <f t="shared" si="70"/>
        <v>0</v>
      </c>
      <c r="AO121" s="318">
        <f t="shared" si="71"/>
        <v>0</v>
      </c>
      <c r="AP121" s="318">
        <f t="shared" si="72"/>
        <v>0</v>
      </c>
      <c r="AQ121" s="318">
        <f t="shared" si="73"/>
        <v>0</v>
      </c>
      <c r="AR121" s="318">
        <f t="shared" si="74"/>
        <v>0</v>
      </c>
      <c r="AS121" s="318">
        <f t="shared" si="75"/>
        <v>0</v>
      </c>
      <c r="AT121" s="318">
        <f t="shared" si="76"/>
        <v>0</v>
      </c>
      <c r="AU121" s="318">
        <f t="shared" si="77"/>
        <v>0</v>
      </c>
      <c r="AV121" s="318">
        <f t="shared" si="78"/>
        <v>0</v>
      </c>
      <c r="AW121" s="318">
        <f t="shared" si="79"/>
        <v>0</v>
      </c>
      <c r="AX121" s="318">
        <f t="shared" si="80"/>
        <v>0</v>
      </c>
      <c r="AY121" s="318">
        <f t="shared" si="81"/>
        <v>0</v>
      </c>
      <c r="AZ121" s="318">
        <f t="shared" si="82"/>
        <v>0</v>
      </c>
      <c r="BA121" s="318">
        <f t="shared" si="83"/>
        <v>0</v>
      </c>
    </row>
    <row r="122" spans="1:53" s="315" customFormat="1" ht="15" customHeight="1">
      <c r="A122" s="63" t="str">
        <f t="array" ref="A122">IF(C122&lt;&gt;0,SUM(($C$11:C122&lt;&gt;0)*1),"")</f>
        <v/>
      </c>
      <c r="B122" s="316"/>
      <c r="C122" s="316"/>
      <c r="D122" s="316"/>
      <c r="E122" s="436"/>
      <c r="F122" s="372"/>
      <c r="G122" s="374"/>
      <c r="H122" s="374"/>
      <c r="I122" s="63" t="str">
        <f t="shared" si="90"/>
        <v/>
      </c>
      <c r="J122" s="318">
        <f t="shared" si="46"/>
        <v>0</v>
      </c>
      <c r="K122" s="318">
        <f t="shared" si="47"/>
        <v>0</v>
      </c>
      <c r="L122" s="318">
        <f t="shared" si="48"/>
        <v>0</v>
      </c>
      <c r="M122" s="318">
        <f t="shared" si="49"/>
        <v>0</v>
      </c>
      <c r="N122" s="318">
        <f t="shared" si="84"/>
        <v>0</v>
      </c>
      <c r="O122" s="318">
        <f t="shared" si="85"/>
        <v>0</v>
      </c>
      <c r="P122" s="318">
        <f t="shared" si="50"/>
        <v>0</v>
      </c>
      <c r="Q122" s="318">
        <f t="shared" si="51"/>
        <v>0</v>
      </c>
      <c r="R122" s="318">
        <f t="shared" si="52"/>
        <v>0</v>
      </c>
      <c r="S122" s="318">
        <f t="shared" si="53"/>
        <v>0</v>
      </c>
      <c r="T122" s="318">
        <f t="shared" si="86"/>
        <v>0</v>
      </c>
      <c r="U122" s="318">
        <f t="shared" si="87"/>
        <v>0</v>
      </c>
      <c r="V122" s="318">
        <f t="shared" si="54"/>
        <v>0</v>
      </c>
      <c r="W122" s="318">
        <f t="shared" si="55"/>
        <v>0</v>
      </c>
      <c r="X122" s="318">
        <f t="shared" si="56"/>
        <v>0</v>
      </c>
      <c r="Y122" s="318">
        <f t="shared" si="57"/>
        <v>0</v>
      </c>
      <c r="Z122" s="318">
        <f t="shared" si="58"/>
        <v>0</v>
      </c>
      <c r="AA122" s="318">
        <f t="shared" si="59"/>
        <v>0</v>
      </c>
      <c r="AB122" s="318">
        <f t="shared" si="60"/>
        <v>0</v>
      </c>
      <c r="AC122" s="318">
        <f t="shared" si="61"/>
        <v>0</v>
      </c>
      <c r="AD122" s="318">
        <f t="shared" si="62"/>
        <v>0</v>
      </c>
      <c r="AE122" s="318">
        <f t="shared" si="63"/>
        <v>0</v>
      </c>
      <c r="AF122" s="318">
        <f t="shared" si="88"/>
        <v>0</v>
      </c>
      <c r="AG122" s="318">
        <f t="shared" si="89"/>
        <v>0</v>
      </c>
      <c r="AH122" s="318">
        <f t="shared" si="64"/>
        <v>0</v>
      </c>
      <c r="AI122" s="318">
        <f t="shared" si="65"/>
        <v>0</v>
      </c>
      <c r="AJ122" s="318">
        <f t="shared" si="66"/>
        <v>0</v>
      </c>
      <c r="AK122" s="318">
        <f t="shared" si="67"/>
        <v>0</v>
      </c>
      <c r="AL122" s="318">
        <f t="shared" si="68"/>
        <v>0</v>
      </c>
      <c r="AM122" s="318">
        <f t="shared" si="69"/>
        <v>0</v>
      </c>
      <c r="AN122" s="318">
        <f t="shared" si="70"/>
        <v>0</v>
      </c>
      <c r="AO122" s="318">
        <f t="shared" si="71"/>
        <v>0</v>
      </c>
      <c r="AP122" s="318">
        <f t="shared" si="72"/>
        <v>0</v>
      </c>
      <c r="AQ122" s="318">
        <f t="shared" si="73"/>
        <v>0</v>
      </c>
      <c r="AR122" s="318">
        <f t="shared" si="74"/>
        <v>0</v>
      </c>
      <c r="AS122" s="318">
        <f t="shared" si="75"/>
        <v>0</v>
      </c>
      <c r="AT122" s="318">
        <f t="shared" si="76"/>
        <v>0</v>
      </c>
      <c r="AU122" s="318">
        <f t="shared" si="77"/>
        <v>0</v>
      </c>
      <c r="AV122" s="318">
        <f t="shared" si="78"/>
        <v>0</v>
      </c>
      <c r="AW122" s="318">
        <f t="shared" si="79"/>
        <v>0</v>
      </c>
      <c r="AX122" s="318">
        <f t="shared" si="80"/>
        <v>0</v>
      </c>
      <c r="AY122" s="318">
        <f t="shared" si="81"/>
        <v>0</v>
      </c>
      <c r="AZ122" s="318">
        <f t="shared" si="82"/>
        <v>0</v>
      </c>
      <c r="BA122" s="318">
        <f t="shared" si="83"/>
        <v>0</v>
      </c>
    </row>
    <row r="123" spans="1:53" s="315" customFormat="1" ht="15" customHeight="1">
      <c r="A123" s="63" t="str">
        <f t="array" ref="A123">IF(C123&lt;&gt;0,SUM(($C$11:C123&lt;&gt;0)*1),"")</f>
        <v/>
      </c>
      <c r="B123" s="316"/>
      <c r="C123" s="316"/>
      <c r="D123" s="316"/>
      <c r="E123" s="436"/>
      <c r="F123" s="372"/>
      <c r="G123" s="374"/>
      <c r="H123" s="374"/>
      <c r="I123" s="63" t="str">
        <f t="shared" si="90"/>
        <v/>
      </c>
      <c r="J123" s="318">
        <f t="shared" si="46"/>
        <v>0</v>
      </c>
      <c r="K123" s="318">
        <f t="shared" si="47"/>
        <v>0</v>
      </c>
      <c r="L123" s="318">
        <f t="shared" si="48"/>
        <v>0</v>
      </c>
      <c r="M123" s="318">
        <f t="shared" si="49"/>
        <v>0</v>
      </c>
      <c r="N123" s="318">
        <f t="shared" si="84"/>
        <v>0</v>
      </c>
      <c r="O123" s="318">
        <f t="shared" si="85"/>
        <v>0</v>
      </c>
      <c r="P123" s="318">
        <f t="shared" si="50"/>
        <v>0</v>
      </c>
      <c r="Q123" s="318">
        <f t="shared" si="51"/>
        <v>0</v>
      </c>
      <c r="R123" s="318">
        <f t="shared" si="52"/>
        <v>0</v>
      </c>
      <c r="S123" s="318">
        <f t="shared" si="53"/>
        <v>0</v>
      </c>
      <c r="T123" s="318">
        <f t="shared" si="86"/>
        <v>0</v>
      </c>
      <c r="U123" s="318">
        <f t="shared" si="87"/>
        <v>0</v>
      </c>
      <c r="V123" s="318">
        <f t="shared" si="54"/>
        <v>0</v>
      </c>
      <c r="W123" s="318">
        <f t="shared" si="55"/>
        <v>0</v>
      </c>
      <c r="X123" s="318">
        <f t="shared" si="56"/>
        <v>0</v>
      </c>
      <c r="Y123" s="318">
        <f t="shared" si="57"/>
        <v>0</v>
      </c>
      <c r="Z123" s="318">
        <f t="shared" si="58"/>
        <v>0</v>
      </c>
      <c r="AA123" s="318">
        <f t="shared" si="59"/>
        <v>0</v>
      </c>
      <c r="AB123" s="318">
        <f t="shared" si="60"/>
        <v>0</v>
      </c>
      <c r="AC123" s="318">
        <f t="shared" si="61"/>
        <v>0</v>
      </c>
      <c r="AD123" s="318">
        <f t="shared" si="62"/>
        <v>0</v>
      </c>
      <c r="AE123" s="318">
        <f t="shared" si="63"/>
        <v>0</v>
      </c>
      <c r="AF123" s="318">
        <f t="shared" si="88"/>
        <v>0</v>
      </c>
      <c r="AG123" s="318">
        <f t="shared" si="89"/>
        <v>0</v>
      </c>
      <c r="AH123" s="318">
        <f t="shared" si="64"/>
        <v>0</v>
      </c>
      <c r="AI123" s="318">
        <f t="shared" si="65"/>
        <v>0</v>
      </c>
      <c r="AJ123" s="318">
        <f t="shared" si="66"/>
        <v>0</v>
      </c>
      <c r="AK123" s="318">
        <f t="shared" si="67"/>
        <v>0</v>
      </c>
      <c r="AL123" s="318">
        <f t="shared" si="68"/>
        <v>0</v>
      </c>
      <c r="AM123" s="318">
        <f t="shared" si="69"/>
        <v>0</v>
      </c>
      <c r="AN123" s="318">
        <f t="shared" si="70"/>
        <v>0</v>
      </c>
      <c r="AO123" s="318">
        <f t="shared" si="71"/>
        <v>0</v>
      </c>
      <c r="AP123" s="318">
        <f t="shared" si="72"/>
        <v>0</v>
      </c>
      <c r="AQ123" s="318">
        <f t="shared" si="73"/>
        <v>0</v>
      </c>
      <c r="AR123" s="318">
        <f t="shared" si="74"/>
        <v>0</v>
      </c>
      <c r="AS123" s="318">
        <f t="shared" si="75"/>
        <v>0</v>
      </c>
      <c r="AT123" s="318">
        <f t="shared" si="76"/>
        <v>0</v>
      </c>
      <c r="AU123" s="318">
        <f t="shared" si="77"/>
        <v>0</v>
      </c>
      <c r="AV123" s="318">
        <f t="shared" si="78"/>
        <v>0</v>
      </c>
      <c r="AW123" s="318">
        <f t="shared" si="79"/>
        <v>0</v>
      </c>
      <c r="AX123" s="318">
        <f t="shared" si="80"/>
        <v>0</v>
      </c>
      <c r="AY123" s="318">
        <f t="shared" si="81"/>
        <v>0</v>
      </c>
      <c r="AZ123" s="318">
        <f t="shared" si="82"/>
        <v>0</v>
      </c>
      <c r="BA123" s="318">
        <f t="shared" si="83"/>
        <v>0</v>
      </c>
    </row>
    <row r="124" spans="1:53" s="315" customFormat="1" ht="15" customHeight="1">
      <c r="A124" s="63" t="str">
        <f t="array" ref="A124">IF(C124&lt;&gt;0,SUM(($C$11:C124&lt;&gt;0)*1),"")</f>
        <v/>
      </c>
      <c r="B124" s="316"/>
      <c r="C124" s="316"/>
      <c r="D124" s="316"/>
      <c r="E124" s="436"/>
      <c r="F124" s="372"/>
      <c r="G124" s="374"/>
      <c r="H124" s="374"/>
      <c r="I124" s="63" t="str">
        <f t="shared" si="90"/>
        <v/>
      </c>
      <c r="J124" s="318">
        <f t="shared" si="46"/>
        <v>0</v>
      </c>
      <c r="K124" s="318">
        <f t="shared" si="47"/>
        <v>0</v>
      </c>
      <c r="L124" s="318">
        <f t="shared" si="48"/>
        <v>0</v>
      </c>
      <c r="M124" s="318">
        <f t="shared" si="49"/>
        <v>0</v>
      </c>
      <c r="N124" s="318">
        <f t="shared" si="84"/>
        <v>0</v>
      </c>
      <c r="O124" s="318">
        <f t="shared" si="85"/>
        <v>0</v>
      </c>
      <c r="P124" s="318">
        <f t="shared" si="50"/>
        <v>0</v>
      </c>
      <c r="Q124" s="318">
        <f t="shared" si="51"/>
        <v>0</v>
      </c>
      <c r="R124" s="318">
        <f t="shared" si="52"/>
        <v>0</v>
      </c>
      <c r="S124" s="318">
        <f t="shared" si="53"/>
        <v>0</v>
      </c>
      <c r="T124" s="318">
        <f t="shared" si="86"/>
        <v>0</v>
      </c>
      <c r="U124" s="318">
        <f t="shared" si="87"/>
        <v>0</v>
      </c>
      <c r="V124" s="318">
        <f t="shared" si="54"/>
        <v>0</v>
      </c>
      <c r="W124" s="318">
        <f t="shared" si="55"/>
        <v>0</v>
      </c>
      <c r="X124" s="318">
        <f t="shared" si="56"/>
        <v>0</v>
      </c>
      <c r="Y124" s="318">
        <f t="shared" si="57"/>
        <v>0</v>
      </c>
      <c r="Z124" s="318">
        <f t="shared" si="58"/>
        <v>0</v>
      </c>
      <c r="AA124" s="318">
        <f t="shared" si="59"/>
        <v>0</v>
      </c>
      <c r="AB124" s="318">
        <f t="shared" si="60"/>
        <v>0</v>
      </c>
      <c r="AC124" s="318">
        <f t="shared" si="61"/>
        <v>0</v>
      </c>
      <c r="AD124" s="318">
        <f t="shared" si="62"/>
        <v>0</v>
      </c>
      <c r="AE124" s="318">
        <f t="shared" si="63"/>
        <v>0</v>
      </c>
      <c r="AF124" s="318">
        <f t="shared" si="88"/>
        <v>0</v>
      </c>
      <c r="AG124" s="318">
        <f t="shared" si="89"/>
        <v>0</v>
      </c>
      <c r="AH124" s="318">
        <f t="shared" si="64"/>
        <v>0</v>
      </c>
      <c r="AI124" s="318">
        <f t="shared" si="65"/>
        <v>0</v>
      </c>
      <c r="AJ124" s="318">
        <f t="shared" si="66"/>
        <v>0</v>
      </c>
      <c r="AK124" s="318">
        <f t="shared" si="67"/>
        <v>0</v>
      </c>
      <c r="AL124" s="318">
        <f t="shared" si="68"/>
        <v>0</v>
      </c>
      <c r="AM124" s="318">
        <f t="shared" si="69"/>
        <v>0</v>
      </c>
      <c r="AN124" s="318">
        <f t="shared" si="70"/>
        <v>0</v>
      </c>
      <c r="AO124" s="318">
        <f t="shared" si="71"/>
        <v>0</v>
      </c>
      <c r="AP124" s="318">
        <f t="shared" si="72"/>
        <v>0</v>
      </c>
      <c r="AQ124" s="318">
        <f t="shared" si="73"/>
        <v>0</v>
      </c>
      <c r="AR124" s="318">
        <f t="shared" si="74"/>
        <v>0</v>
      </c>
      <c r="AS124" s="318">
        <f t="shared" si="75"/>
        <v>0</v>
      </c>
      <c r="AT124" s="318">
        <f t="shared" si="76"/>
        <v>0</v>
      </c>
      <c r="AU124" s="318">
        <f t="shared" si="77"/>
        <v>0</v>
      </c>
      <c r="AV124" s="318">
        <f t="shared" si="78"/>
        <v>0</v>
      </c>
      <c r="AW124" s="318">
        <f t="shared" si="79"/>
        <v>0</v>
      </c>
      <c r="AX124" s="318">
        <f t="shared" si="80"/>
        <v>0</v>
      </c>
      <c r="AY124" s="318">
        <f t="shared" si="81"/>
        <v>0</v>
      </c>
      <c r="AZ124" s="318">
        <f t="shared" si="82"/>
        <v>0</v>
      </c>
      <c r="BA124" s="318">
        <f t="shared" si="83"/>
        <v>0</v>
      </c>
    </row>
    <row r="125" spans="1:53" s="315" customFormat="1" ht="15" customHeight="1">
      <c r="A125" s="63" t="str">
        <f t="array" ref="A125">IF(C125&lt;&gt;0,SUM(($C$11:C125&lt;&gt;0)*1),"")</f>
        <v/>
      </c>
      <c r="B125" s="316"/>
      <c r="C125" s="316"/>
      <c r="D125" s="316"/>
      <c r="E125" s="436"/>
      <c r="F125" s="372"/>
      <c r="G125" s="374"/>
      <c r="H125" s="374"/>
      <c r="I125" s="63" t="str">
        <f t="shared" si="90"/>
        <v/>
      </c>
      <c r="J125" s="318">
        <f t="shared" si="46"/>
        <v>0</v>
      </c>
      <c r="K125" s="318">
        <f t="shared" si="47"/>
        <v>0</v>
      </c>
      <c r="L125" s="318">
        <f t="shared" si="48"/>
        <v>0</v>
      </c>
      <c r="M125" s="318">
        <f t="shared" si="49"/>
        <v>0</v>
      </c>
      <c r="N125" s="318">
        <f t="shared" si="84"/>
        <v>0</v>
      </c>
      <c r="O125" s="318">
        <f t="shared" si="85"/>
        <v>0</v>
      </c>
      <c r="P125" s="318">
        <f t="shared" si="50"/>
        <v>0</v>
      </c>
      <c r="Q125" s="318">
        <f t="shared" si="51"/>
        <v>0</v>
      </c>
      <c r="R125" s="318">
        <f t="shared" si="52"/>
        <v>0</v>
      </c>
      <c r="S125" s="318">
        <f t="shared" si="53"/>
        <v>0</v>
      </c>
      <c r="T125" s="318">
        <f t="shared" si="86"/>
        <v>0</v>
      </c>
      <c r="U125" s="318">
        <f t="shared" si="87"/>
        <v>0</v>
      </c>
      <c r="V125" s="318">
        <f t="shared" si="54"/>
        <v>0</v>
      </c>
      <c r="W125" s="318">
        <f t="shared" si="55"/>
        <v>0</v>
      </c>
      <c r="X125" s="318">
        <f t="shared" si="56"/>
        <v>0</v>
      </c>
      <c r="Y125" s="318">
        <f t="shared" si="57"/>
        <v>0</v>
      </c>
      <c r="Z125" s="318">
        <f t="shared" si="58"/>
        <v>0</v>
      </c>
      <c r="AA125" s="318">
        <f t="shared" si="59"/>
        <v>0</v>
      </c>
      <c r="AB125" s="318">
        <f t="shared" si="60"/>
        <v>0</v>
      </c>
      <c r="AC125" s="318">
        <f t="shared" si="61"/>
        <v>0</v>
      </c>
      <c r="AD125" s="318">
        <f t="shared" si="62"/>
        <v>0</v>
      </c>
      <c r="AE125" s="318">
        <f t="shared" si="63"/>
        <v>0</v>
      </c>
      <c r="AF125" s="318">
        <f t="shared" si="88"/>
        <v>0</v>
      </c>
      <c r="AG125" s="318">
        <f t="shared" si="89"/>
        <v>0</v>
      </c>
      <c r="AH125" s="318">
        <f t="shared" si="64"/>
        <v>0</v>
      </c>
      <c r="AI125" s="318">
        <f t="shared" si="65"/>
        <v>0</v>
      </c>
      <c r="AJ125" s="318">
        <f t="shared" si="66"/>
        <v>0</v>
      </c>
      <c r="AK125" s="318">
        <f t="shared" si="67"/>
        <v>0</v>
      </c>
      <c r="AL125" s="318">
        <f t="shared" si="68"/>
        <v>0</v>
      </c>
      <c r="AM125" s="318">
        <f t="shared" si="69"/>
        <v>0</v>
      </c>
      <c r="AN125" s="318">
        <f t="shared" si="70"/>
        <v>0</v>
      </c>
      <c r="AO125" s="318">
        <f t="shared" si="71"/>
        <v>0</v>
      </c>
      <c r="AP125" s="318">
        <f t="shared" si="72"/>
        <v>0</v>
      </c>
      <c r="AQ125" s="318">
        <f t="shared" si="73"/>
        <v>0</v>
      </c>
      <c r="AR125" s="318">
        <f t="shared" si="74"/>
        <v>0</v>
      </c>
      <c r="AS125" s="318">
        <f t="shared" si="75"/>
        <v>0</v>
      </c>
      <c r="AT125" s="318">
        <f t="shared" si="76"/>
        <v>0</v>
      </c>
      <c r="AU125" s="318">
        <f t="shared" si="77"/>
        <v>0</v>
      </c>
      <c r="AV125" s="318">
        <f t="shared" si="78"/>
        <v>0</v>
      </c>
      <c r="AW125" s="318">
        <f t="shared" si="79"/>
        <v>0</v>
      </c>
      <c r="AX125" s="318">
        <f t="shared" si="80"/>
        <v>0</v>
      </c>
      <c r="AY125" s="318">
        <f t="shared" si="81"/>
        <v>0</v>
      </c>
      <c r="AZ125" s="318">
        <f t="shared" si="82"/>
        <v>0</v>
      </c>
      <c r="BA125" s="318">
        <f t="shared" si="83"/>
        <v>0</v>
      </c>
    </row>
    <row r="126" spans="1:53" s="315" customFormat="1" ht="15" customHeight="1">
      <c r="A126" s="63" t="str">
        <f t="array" ref="A126">IF(C126&lt;&gt;0,SUM(($C$11:C126&lt;&gt;0)*1),"")</f>
        <v/>
      </c>
      <c r="B126" s="316"/>
      <c r="C126" s="316"/>
      <c r="D126" s="316"/>
      <c r="E126" s="436"/>
      <c r="F126" s="372"/>
      <c r="G126" s="374"/>
      <c r="H126" s="374"/>
      <c r="I126" s="63" t="str">
        <f t="shared" si="90"/>
        <v/>
      </c>
      <c r="J126" s="318">
        <f t="shared" si="46"/>
        <v>0</v>
      </c>
      <c r="K126" s="318">
        <f t="shared" si="47"/>
        <v>0</v>
      </c>
      <c r="L126" s="318">
        <f t="shared" si="48"/>
        <v>0</v>
      </c>
      <c r="M126" s="318">
        <f t="shared" si="49"/>
        <v>0</v>
      </c>
      <c r="N126" s="318">
        <f t="shared" si="84"/>
        <v>0</v>
      </c>
      <c r="O126" s="318">
        <f t="shared" si="85"/>
        <v>0</v>
      </c>
      <c r="P126" s="318">
        <f t="shared" si="50"/>
        <v>0</v>
      </c>
      <c r="Q126" s="318">
        <f t="shared" si="51"/>
        <v>0</v>
      </c>
      <c r="R126" s="318">
        <f t="shared" si="52"/>
        <v>0</v>
      </c>
      <c r="S126" s="318">
        <f t="shared" si="53"/>
        <v>0</v>
      </c>
      <c r="T126" s="318">
        <f t="shared" si="86"/>
        <v>0</v>
      </c>
      <c r="U126" s="318">
        <f t="shared" si="87"/>
        <v>0</v>
      </c>
      <c r="V126" s="318">
        <f t="shared" si="54"/>
        <v>0</v>
      </c>
      <c r="W126" s="318">
        <f t="shared" si="55"/>
        <v>0</v>
      </c>
      <c r="X126" s="318">
        <f t="shared" si="56"/>
        <v>0</v>
      </c>
      <c r="Y126" s="318">
        <f t="shared" si="57"/>
        <v>0</v>
      </c>
      <c r="Z126" s="318">
        <f t="shared" si="58"/>
        <v>0</v>
      </c>
      <c r="AA126" s="318">
        <f t="shared" si="59"/>
        <v>0</v>
      </c>
      <c r="AB126" s="318">
        <f t="shared" si="60"/>
        <v>0</v>
      </c>
      <c r="AC126" s="318">
        <f t="shared" si="61"/>
        <v>0</v>
      </c>
      <c r="AD126" s="318">
        <f t="shared" si="62"/>
        <v>0</v>
      </c>
      <c r="AE126" s="318">
        <f t="shared" si="63"/>
        <v>0</v>
      </c>
      <c r="AF126" s="318">
        <f t="shared" si="88"/>
        <v>0</v>
      </c>
      <c r="AG126" s="318">
        <f t="shared" si="89"/>
        <v>0</v>
      </c>
      <c r="AH126" s="318">
        <f t="shared" si="64"/>
        <v>0</v>
      </c>
      <c r="AI126" s="318">
        <f t="shared" si="65"/>
        <v>0</v>
      </c>
      <c r="AJ126" s="318">
        <f t="shared" si="66"/>
        <v>0</v>
      </c>
      <c r="AK126" s="318">
        <f t="shared" si="67"/>
        <v>0</v>
      </c>
      <c r="AL126" s="318">
        <f t="shared" si="68"/>
        <v>0</v>
      </c>
      <c r="AM126" s="318">
        <f t="shared" si="69"/>
        <v>0</v>
      </c>
      <c r="AN126" s="318">
        <f t="shared" si="70"/>
        <v>0</v>
      </c>
      <c r="AO126" s="318">
        <f t="shared" si="71"/>
        <v>0</v>
      </c>
      <c r="AP126" s="318">
        <f t="shared" si="72"/>
        <v>0</v>
      </c>
      <c r="AQ126" s="318">
        <f t="shared" si="73"/>
        <v>0</v>
      </c>
      <c r="AR126" s="318">
        <f t="shared" si="74"/>
        <v>0</v>
      </c>
      <c r="AS126" s="318">
        <f t="shared" si="75"/>
        <v>0</v>
      </c>
      <c r="AT126" s="318">
        <f t="shared" si="76"/>
        <v>0</v>
      </c>
      <c r="AU126" s="318">
        <f t="shared" si="77"/>
        <v>0</v>
      </c>
      <c r="AV126" s="318">
        <f t="shared" si="78"/>
        <v>0</v>
      </c>
      <c r="AW126" s="318">
        <f t="shared" si="79"/>
        <v>0</v>
      </c>
      <c r="AX126" s="318">
        <f t="shared" si="80"/>
        <v>0</v>
      </c>
      <c r="AY126" s="318">
        <f t="shared" si="81"/>
        <v>0</v>
      </c>
      <c r="AZ126" s="318">
        <f t="shared" si="82"/>
        <v>0</v>
      </c>
      <c r="BA126" s="318">
        <f t="shared" si="83"/>
        <v>0</v>
      </c>
    </row>
    <row r="127" spans="1:53" s="315" customFormat="1" ht="15" customHeight="1">
      <c r="A127" s="63" t="str">
        <f t="array" ref="A127">IF(C127&lt;&gt;0,SUM(($C$11:C127&lt;&gt;0)*1),"")</f>
        <v/>
      </c>
      <c r="B127" s="316"/>
      <c r="C127" s="316"/>
      <c r="D127" s="316"/>
      <c r="E127" s="436"/>
      <c r="F127" s="372"/>
      <c r="G127" s="374"/>
      <c r="H127" s="374"/>
      <c r="I127" s="63" t="str">
        <f t="shared" si="90"/>
        <v/>
      </c>
      <c r="J127" s="318">
        <f t="shared" si="46"/>
        <v>0</v>
      </c>
      <c r="K127" s="318">
        <f t="shared" si="47"/>
        <v>0</v>
      </c>
      <c r="L127" s="318">
        <f t="shared" si="48"/>
        <v>0</v>
      </c>
      <c r="M127" s="318">
        <f t="shared" si="49"/>
        <v>0</v>
      </c>
      <c r="N127" s="318">
        <f t="shared" si="84"/>
        <v>0</v>
      </c>
      <c r="O127" s="318">
        <f t="shared" si="85"/>
        <v>0</v>
      </c>
      <c r="P127" s="318">
        <f t="shared" si="50"/>
        <v>0</v>
      </c>
      <c r="Q127" s="318">
        <f t="shared" si="51"/>
        <v>0</v>
      </c>
      <c r="R127" s="318">
        <f t="shared" si="52"/>
        <v>0</v>
      </c>
      <c r="S127" s="318">
        <f t="shared" si="53"/>
        <v>0</v>
      </c>
      <c r="T127" s="318">
        <f t="shared" si="86"/>
        <v>0</v>
      </c>
      <c r="U127" s="318">
        <f t="shared" si="87"/>
        <v>0</v>
      </c>
      <c r="V127" s="318">
        <f t="shared" si="54"/>
        <v>0</v>
      </c>
      <c r="W127" s="318">
        <f t="shared" si="55"/>
        <v>0</v>
      </c>
      <c r="X127" s="318">
        <f t="shared" si="56"/>
        <v>0</v>
      </c>
      <c r="Y127" s="318">
        <f t="shared" si="57"/>
        <v>0</v>
      </c>
      <c r="Z127" s="318">
        <f t="shared" si="58"/>
        <v>0</v>
      </c>
      <c r="AA127" s="318">
        <f t="shared" si="59"/>
        <v>0</v>
      </c>
      <c r="AB127" s="318">
        <f t="shared" si="60"/>
        <v>0</v>
      </c>
      <c r="AC127" s="318">
        <f t="shared" si="61"/>
        <v>0</v>
      </c>
      <c r="AD127" s="318">
        <f t="shared" si="62"/>
        <v>0</v>
      </c>
      <c r="AE127" s="318">
        <f t="shared" si="63"/>
        <v>0</v>
      </c>
      <c r="AF127" s="318">
        <f t="shared" si="88"/>
        <v>0</v>
      </c>
      <c r="AG127" s="318">
        <f t="shared" si="89"/>
        <v>0</v>
      </c>
      <c r="AH127" s="318">
        <f t="shared" si="64"/>
        <v>0</v>
      </c>
      <c r="AI127" s="318">
        <f t="shared" si="65"/>
        <v>0</v>
      </c>
      <c r="AJ127" s="318">
        <f t="shared" si="66"/>
        <v>0</v>
      </c>
      <c r="AK127" s="318">
        <f t="shared" si="67"/>
        <v>0</v>
      </c>
      <c r="AL127" s="318">
        <f t="shared" si="68"/>
        <v>0</v>
      </c>
      <c r="AM127" s="318">
        <f t="shared" si="69"/>
        <v>0</v>
      </c>
      <c r="AN127" s="318">
        <f t="shared" si="70"/>
        <v>0</v>
      </c>
      <c r="AO127" s="318">
        <f t="shared" si="71"/>
        <v>0</v>
      </c>
      <c r="AP127" s="318">
        <f t="shared" si="72"/>
        <v>0</v>
      </c>
      <c r="AQ127" s="318">
        <f t="shared" si="73"/>
        <v>0</v>
      </c>
      <c r="AR127" s="318">
        <f t="shared" si="74"/>
        <v>0</v>
      </c>
      <c r="AS127" s="318">
        <f t="shared" si="75"/>
        <v>0</v>
      </c>
      <c r="AT127" s="318">
        <f t="shared" si="76"/>
        <v>0</v>
      </c>
      <c r="AU127" s="318">
        <f t="shared" si="77"/>
        <v>0</v>
      </c>
      <c r="AV127" s="318">
        <f t="shared" si="78"/>
        <v>0</v>
      </c>
      <c r="AW127" s="318">
        <f t="shared" si="79"/>
        <v>0</v>
      </c>
      <c r="AX127" s="318">
        <f t="shared" si="80"/>
        <v>0</v>
      </c>
      <c r="AY127" s="318">
        <f t="shared" si="81"/>
        <v>0</v>
      </c>
      <c r="AZ127" s="318">
        <f t="shared" si="82"/>
        <v>0</v>
      </c>
      <c r="BA127" s="318">
        <f t="shared" si="83"/>
        <v>0</v>
      </c>
    </row>
    <row r="128" spans="1:53" s="315" customFormat="1" ht="15" customHeight="1">
      <c r="A128" s="63" t="str">
        <f t="array" ref="A128">IF(C128&lt;&gt;0,SUM(($C$11:C128&lt;&gt;0)*1),"")</f>
        <v/>
      </c>
      <c r="B128" s="316"/>
      <c r="C128" s="316"/>
      <c r="D128" s="316"/>
      <c r="E128" s="436"/>
      <c r="F128" s="372"/>
      <c r="G128" s="374"/>
      <c r="H128" s="374"/>
      <c r="I128" s="63" t="str">
        <f t="shared" si="90"/>
        <v/>
      </c>
      <c r="J128" s="318">
        <f t="shared" si="46"/>
        <v>0</v>
      </c>
      <c r="K128" s="318">
        <f t="shared" si="47"/>
        <v>0</v>
      </c>
      <c r="L128" s="318">
        <f t="shared" si="48"/>
        <v>0</v>
      </c>
      <c r="M128" s="318">
        <f t="shared" si="49"/>
        <v>0</v>
      </c>
      <c r="N128" s="318">
        <f t="shared" si="84"/>
        <v>0</v>
      </c>
      <c r="O128" s="318">
        <f t="shared" si="85"/>
        <v>0</v>
      </c>
      <c r="P128" s="318">
        <f t="shared" si="50"/>
        <v>0</v>
      </c>
      <c r="Q128" s="318">
        <f t="shared" si="51"/>
        <v>0</v>
      </c>
      <c r="R128" s="318">
        <f t="shared" si="52"/>
        <v>0</v>
      </c>
      <c r="S128" s="318">
        <f t="shared" si="53"/>
        <v>0</v>
      </c>
      <c r="T128" s="318">
        <f t="shared" si="86"/>
        <v>0</v>
      </c>
      <c r="U128" s="318">
        <f t="shared" si="87"/>
        <v>0</v>
      </c>
      <c r="V128" s="318">
        <f t="shared" si="54"/>
        <v>0</v>
      </c>
      <c r="W128" s="318">
        <f t="shared" si="55"/>
        <v>0</v>
      </c>
      <c r="X128" s="318">
        <f t="shared" si="56"/>
        <v>0</v>
      </c>
      <c r="Y128" s="318">
        <f t="shared" si="57"/>
        <v>0</v>
      </c>
      <c r="Z128" s="318">
        <f t="shared" si="58"/>
        <v>0</v>
      </c>
      <c r="AA128" s="318">
        <f t="shared" si="59"/>
        <v>0</v>
      </c>
      <c r="AB128" s="318">
        <f t="shared" si="60"/>
        <v>0</v>
      </c>
      <c r="AC128" s="318">
        <f t="shared" si="61"/>
        <v>0</v>
      </c>
      <c r="AD128" s="318">
        <f t="shared" si="62"/>
        <v>0</v>
      </c>
      <c r="AE128" s="318">
        <f t="shared" si="63"/>
        <v>0</v>
      </c>
      <c r="AF128" s="318">
        <f t="shared" si="88"/>
        <v>0</v>
      </c>
      <c r="AG128" s="318">
        <f t="shared" si="89"/>
        <v>0</v>
      </c>
      <c r="AH128" s="318">
        <f t="shared" si="64"/>
        <v>0</v>
      </c>
      <c r="AI128" s="318">
        <f t="shared" si="65"/>
        <v>0</v>
      </c>
      <c r="AJ128" s="318">
        <f t="shared" si="66"/>
        <v>0</v>
      </c>
      <c r="AK128" s="318">
        <f t="shared" si="67"/>
        <v>0</v>
      </c>
      <c r="AL128" s="318">
        <f t="shared" si="68"/>
        <v>0</v>
      </c>
      <c r="AM128" s="318">
        <f t="shared" si="69"/>
        <v>0</v>
      </c>
      <c r="AN128" s="318">
        <f t="shared" si="70"/>
        <v>0</v>
      </c>
      <c r="AO128" s="318">
        <f t="shared" si="71"/>
        <v>0</v>
      </c>
      <c r="AP128" s="318">
        <f t="shared" si="72"/>
        <v>0</v>
      </c>
      <c r="AQ128" s="318">
        <f t="shared" si="73"/>
        <v>0</v>
      </c>
      <c r="AR128" s="318">
        <f t="shared" si="74"/>
        <v>0</v>
      </c>
      <c r="AS128" s="318">
        <f t="shared" si="75"/>
        <v>0</v>
      </c>
      <c r="AT128" s="318">
        <f t="shared" si="76"/>
        <v>0</v>
      </c>
      <c r="AU128" s="318">
        <f t="shared" si="77"/>
        <v>0</v>
      </c>
      <c r="AV128" s="318">
        <f t="shared" si="78"/>
        <v>0</v>
      </c>
      <c r="AW128" s="318">
        <f t="shared" si="79"/>
        <v>0</v>
      </c>
      <c r="AX128" s="318">
        <f t="shared" si="80"/>
        <v>0</v>
      </c>
      <c r="AY128" s="318">
        <f t="shared" si="81"/>
        <v>0</v>
      </c>
      <c r="AZ128" s="318">
        <f t="shared" si="82"/>
        <v>0</v>
      </c>
      <c r="BA128" s="318">
        <f t="shared" si="83"/>
        <v>0</v>
      </c>
    </row>
    <row r="129" spans="1:53" s="315" customFormat="1" ht="15" customHeight="1">
      <c r="A129" s="63" t="str">
        <f t="array" ref="A129">IF(C129&lt;&gt;0,SUM(($C$11:C129&lt;&gt;0)*1),"")</f>
        <v/>
      </c>
      <c r="B129" s="316"/>
      <c r="C129" s="316"/>
      <c r="D129" s="316"/>
      <c r="E129" s="436"/>
      <c r="F129" s="372"/>
      <c r="G129" s="374"/>
      <c r="H129" s="374"/>
      <c r="I129" s="63" t="str">
        <f t="shared" si="90"/>
        <v/>
      </c>
      <c r="J129" s="318">
        <f t="shared" si="46"/>
        <v>0</v>
      </c>
      <c r="K129" s="318">
        <f t="shared" si="47"/>
        <v>0</v>
      </c>
      <c r="L129" s="318">
        <f t="shared" si="48"/>
        <v>0</v>
      </c>
      <c r="M129" s="318">
        <f t="shared" si="49"/>
        <v>0</v>
      </c>
      <c r="N129" s="318">
        <f t="shared" si="84"/>
        <v>0</v>
      </c>
      <c r="O129" s="318">
        <f t="shared" si="85"/>
        <v>0</v>
      </c>
      <c r="P129" s="318">
        <f t="shared" si="50"/>
        <v>0</v>
      </c>
      <c r="Q129" s="318">
        <f t="shared" si="51"/>
        <v>0</v>
      </c>
      <c r="R129" s="318">
        <f t="shared" si="52"/>
        <v>0</v>
      </c>
      <c r="S129" s="318">
        <f t="shared" si="53"/>
        <v>0</v>
      </c>
      <c r="T129" s="318">
        <f t="shared" si="86"/>
        <v>0</v>
      </c>
      <c r="U129" s="318">
        <f t="shared" si="87"/>
        <v>0</v>
      </c>
      <c r="V129" s="318">
        <f t="shared" si="54"/>
        <v>0</v>
      </c>
      <c r="W129" s="318">
        <f t="shared" si="55"/>
        <v>0</v>
      </c>
      <c r="X129" s="318">
        <f t="shared" si="56"/>
        <v>0</v>
      </c>
      <c r="Y129" s="318">
        <f t="shared" si="57"/>
        <v>0</v>
      </c>
      <c r="Z129" s="318">
        <f t="shared" si="58"/>
        <v>0</v>
      </c>
      <c r="AA129" s="318">
        <f t="shared" si="59"/>
        <v>0</v>
      </c>
      <c r="AB129" s="318">
        <f t="shared" si="60"/>
        <v>0</v>
      </c>
      <c r="AC129" s="318">
        <f t="shared" si="61"/>
        <v>0</v>
      </c>
      <c r="AD129" s="318">
        <f t="shared" si="62"/>
        <v>0</v>
      </c>
      <c r="AE129" s="318">
        <f t="shared" si="63"/>
        <v>0</v>
      </c>
      <c r="AF129" s="318">
        <f t="shared" si="88"/>
        <v>0</v>
      </c>
      <c r="AG129" s="318">
        <f t="shared" si="89"/>
        <v>0</v>
      </c>
      <c r="AH129" s="318">
        <f t="shared" si="64"/>
        <v>0</v>
      </c>
      <c r="AI129" s="318">
        <f t="shared" si="65"/>
        <v>0</v>
      </c>
      <c r="AJ129" s="318">
        <f t="shared" si="66"/>
        <v>0</v>
      </c>
      <c r="AK129" s="318">
        <f t="shared" si="67"/>
        <v>0</v>
      </c>
      <c r="AL129" s="318">
        <f t="shared" si="68"/>
        <v>0</v>
      </c>
      <c r="AM129" s="318">
        <f t="shared" si="69"/>
        <v>0</v>
      </c>
      <c r="AN129" s="318">
        <f t="shared" si="70"/>
        <v>0</v>
      </c>
      <c r="AO129" s="318">
        <f t="shared" si="71"/>
        <v>0</v>
      </c>
      <c r="AP129" s="318">
        <f t="shared" si="72"/>
        <v>0</v>
      </c>
      <c r="AQ129" s="318">
        <f t="shared" si="73"/>
        <v>0</v>
      </c>
      <c r="AR129" s="318">
        <f t="shared" si="74"/>
        <v>0</v>
      </c>
      <c r="AS129" s="318">
        <f t="shared" si="75"/>
        <v>0</v>
      </c>
      <c r="AT129" s="318">
        <f t="shared" si="76"/>
        <v>0</v>
      </c>
      <c r="AU129" s="318">
        <f t="shared" si="77"/>
        <v>0</v>
      </c>
      <c r="AV129" s="318">
        <f t="shared" si="78"/>
        <v>0</v>
      </c>
      <c r="AW129" s="318">
        <f t="shared" si="79"/>
        <v>0</v>
      </c>
      <c r="AX129" s="318">
        <f t="shared" si="80"/>
        <v>0</v>
      </c>
      <c r="AY129" s="318">
        <f t="shared" si="81"/>
        <v>0</v>
      </c>
      <c r="AZ129" s="318">
        <f t="shared" si="82"/>
        <v>0</v>
      </c>
      <c r="BA129" s="318">
        <f t="shared" si="83"/>
        <v>0</v>
      </c>
    </row>
    <row r="130" spans="1:53" s="315" customFormat="1" ht="15" customHeight="1">
      <c r="A130" s="63" t="str">
        <f t="array" ref="A130">IF(C130&lt;&gt;0,SUM(($C$11:C130&lt;&gt;0)*1),"")</f>
        <v/>
      </c>
      <c r="B130" s="316"/>
      <c r="C130" s="316"/>
      <c r="D130" s="316"/>
      <c r="E130" s="436"/>
      <c r="F130" s="372"/>
      <c r="G130" s="374"/>
      <c r="H130" s="374"/>
      <c r="I130" s="63" t="str">
        <f t="shared" si="90"/>
        <v/>
      </c>
      <c r="J130" s="318">
        <f t="shared" si="46"/>
        <v>0</v>
      </c>
      <c r="K130" s="318">
        <f t="shared" si="47"/>
        <v>0</v>
      </c>
      <c r="L130" s="318">
        <f t="shared" si="48"/>
        <v>0</v>
      </c>
      <c r="M130" s="318">
        <f t="shared" si="49"/>
        <v>0</v>
      </c>
      <c r="N130" s="318">
        <f t="shared" si="84"/>
        <v>0</v>
      </c>
      <c r="O130" s="318">
        <f t="shared" si="85"/>
        <v>0</v>
      </c>
      <c r="P130" s="318">
        <f t="shared" si="50"/>
        <v>0</v>
      </c>
      <c r="Q130" s="318">
        <f t="shared" si="51"/>
        <v>0</v>
      </c>
      <c r="R130" s="318">
        <f t="shared" si="52"/>
        <v>0</v>
      </c>
      <c r="S130" s="318">
        <f t="shared" si="53"/>
        <v>0</v>
      </c>
      <c r="T130" s="318">
        <f t="shared" si="86"/>
        <v>0</v>
      </c>
      <c r="U130" s="318">
        <f t="shared" si="87"/>
        <v>0</v>
      </c>
      <c r="V130" s="318">
        <f t="shared" si="54"/>
        <v>0</v>
      </c>
      <c r="W130" s="318">
        <f t="shared" si="55"/>
        <v>0</v>
      </c>
      <c r="X130" s="318">
        <f t="shared" si="56"/>
        <v>0</v>
      </c>
      <c r="Y130" s="318">
        <f t="shared" si="57"/>
        <v>0</v>
      </c>
      <c r="Z130" s="318">
        <f t="shared" si="58"/>
        <v>0</v>
      </c>
      <c r="AA130" s="318">
        <f t="shared" si="59"/>
        <v>0</v>
      </c>
      <c r="AB130" s="318">
        <f t="shared" si="60"/>
        <v>0</v>
      </c>
      <c r="AC130" s="318">
        <f t="shared" si="61"/>
        <v>0</v>
      </c>
      <c r="AD130" s="318">
        <f t="shared" si="62"/>
        <v>0</v>
      </c>
      <c r="AE130" s="318">
        <f t="shared" si="63"/>
        <v>0</v>
      </c>
      <c r="AF130" s="318">
        <f t="shared" si="88"/>
        <v>0</v>
      </c>
      <c r="AG130" s="318">
        <f t="shared" si="89"/>
        <v>0</v>
      </c>
      <c r="AH130" s="318">
        <f t="shared" si="64"/>
        <v>0</v>
      </c>
      <c r="AI130" s="318">
        <f t="shared" si="65"/>
        <v>0</v>
      </c>
      <c r="AJ130" s="318">
        <f t="shared" si="66"/>
        <v>0</v>
      </c>
      <c r="AK130" s="318">
        <f t="shared" si="67"/>
        <v>0</v>
      </c>
      <c r="AL130" s="318">
        <f t="shared" si="68"/>
        <v>0</v>
      </c>
      <c r="AM130" s="318">
        <f t="shared" si="69"/>
        <v>0</v>
      </c>
      <c r="AN130" s="318">
        <f t="shared" si="70"/>
        <v>0</v>
      </c>
      <c r="AO130" s="318">
        <f t="shared" si="71"/>
        <v>0</v>
      </c>
      <c r="AP130" s="318">
        <f t="shared" si="72"/>
        <v>0</v>
      </c>
      <c r="AQ130" s="318">
        <f t="shared" si="73"/>
        <v>0</v>
      </c>
      <c r="AR130" s="318">
        <f t="shared" si="74"/>
        <v>0</v>
      </c>
      <c r="AS130" s="318">
        <f t="shared" si="75"/>
        <v>0</v>
      </c>
      <c r="AT130" s="318">
        <f t="shared" si="76"/>
        <v>0</v>
      </c>
      <c r="AU130" s="318">
        <f t="shared" si="77"/>
        <v>0</v>
      </c>
      <c r="AV130" s="318">
        <f t="shared" si="78"/>
        <v>0</v>
      </c>
      <c r="AW130" s="318">
        <f t="shared" si="79"/>
        <v>0</v>
      </c>
      <c r="AX130" s="318">
        <f t="shared" si="80"/>
        <v>0</v>
      </c>
      <c r="AY130" s="318">
        <f t="shared" si="81"/>
        <v>0</v>
      </c>
      <c r="AZ130" s="318">
        <f t="shared" si="82"/>
        <v>0</v>
      </c>
      <c r="BA130" s="318">
        <f t="shared" si="83"/>
        <v>0</v>
      </c>
    </row>
    <row r="131" spans="1:53" s="315" customFormat="1" ht="15" customHeight="1">
      <c r="A131" s="63" t="str">
        <f t="array" ref="A131">IF(C131&lt;&gt;0,SUM(($C$11:C131&lt;&gt;0)*1),"")</f>
        <v/>
      </c>
      <c r="B131" s="316"/>
      <c r="C131" s="316"/>
      <c r="D131" s="316"/>
      <c r="E131" s="436"/>
      <c r="F131" s="372"/>
      <c r="G131" s="374"/>
      <c r="H131" s="374"/>
      <c r="I131" s="63" t="str">
        <f t="shared" si="90"/>
        <v/>
      </c>
      <c r="J131" s="318">
        <f t="shared" si="46"/>
        <v>0</v>
      </c>
      <c r="K131" s="318">
        <f t="shared" si="47"/>
        <v>0</v>
      </c>
      <c r="L131" s="318">
        <f t="shared" si="48"/>
        <v>0</v>
      </c>
      <c r="M131" s="318">
        <f t="shared" si="49"/>
        <v>0</v>
      </c>
      <c r="N131" s="318">
        <f t="shared" si="84"/>
        <v>0</v>
      </c>
      <c r="O131" s="318">
        <f t="shared" si="85"/>
        <v>0</v>
      </c>
      <c r="P131" s="318">
        <f t="shared" si="50"/>
        <v>0</v>
      </c>
      <c r="Q131" s="318">
        <f t="shared" si="51"/>
        <v>0</v>
      </c>
      <c r="R131" s="318">
        <f t="shared" si="52"/>
        <v>0</v>
      </c>
      <c r="S131" s="318">
        <f t="shared" si="53"/>
        <v>0</v>
      </c>
      <c r="T131" s="318">
        <f t="shared" si="86"/>
        <v>0</v>
      </c>
      <c r="U131" s="318">
        <f t="shared" si="87"/>
        <v>0</v>
      </c>
      <c r="V131" s="318">
        <f t="shared" si="54"/>
        <v>0</v>
      </c>
      <c r="W131" s="318">
        <f t="shared" si="55"/>
        <v>0</v>
      </c>
      <c r="X131" s="318">
        <f t="shared" si="56"/>
        <v>0</v>
      </c>
      <c r="Y131" s="318">
        <f t="shared" si="57"/>
        <v>0</v>
      </c>
      <c r="Z131" s="318">
        <f t="shared" si="58"/>
        <v>0</v>
      </c>
      <c r="AA131" s="318">
        <f t="shared" si="59"/>
        <v>0</v>
      </c>
      <c r="AB131" s="318">
        <f t="shared" si="60"/>
        <v>0</v>
      </c>
      <c r="AC131" s="318">
        <f t="shared" si="61"/>
        <v>0</v>
      </c>
      <c r="AD131" s="318">
        <f t="shared" si="62"/>
        <v>0</v>
      </c>
      <c r="AE131" s="318">
        <f t="shared" si="63"/>
        <v>0</v>
      </c>
      <c r="AF131" s="318">
        <f t="shared" si="88"/>
        <v>0</v>
      </c>
      <c r="AG131" s="318">
        <f t="shared" si="89"/>
        <v>0</v>
      </c>
      <c r="AH131" s="318">
        <f t="shared" si="64"/>
        <v>0</v>
      </c>
      <c r="AI131" s="318">
        <f t="shared" si="65"/>
        <v>0</v>
      </c>
      <c r="AJ131" s="318">
        <f t="shared" si="66"/>
        <v>0</v>
      </c>
      <c r="AK131" s="318">
        <f t="shared" si="67"/>
        <v>0</v>
      </c>
      <c r="AL131" s="318">
        <f t="shared" si="68"/>
        <v>0</v>
      </c>
      <c r="AM131" s="318">
        <f t="shared" si="69"/>
        <v>0</v>
      </c>
      <c r="AN131" s="318">
        <f t="shared" si="70"/>
        <v>0</v>
      </c>
      <c r="AO131" s="318">
        <f t="shared" si="71"/>
        <v>0</v>
      </c>
      <c r="AP131" s="318">
        <f t="shared" si="72"/>
        <v>0</v>
      </c>
      <c r="AQ131" s="318">
        <f t="shared" si="73"/>
        <v>0</v>
      </c>
      <c r="AR131" s="318">
        <f t="shared" si="74"/>
        <v>0</v>
      </c>
      <c r="AS131" s="318">
        <f t="shared" si="75"/>
        <v>0</v>
      </c>
      <c r="AT131" s="318">
        <f t="shared" si="76"/>
        <v>0</v>
      </c>
      <c r="AU131" s="318">
        <f t="shared" si="77"/>
        <v>0</v>
      </c>
      <c r="AV131" s="318">
        <f t="shared" si="78"/>
        <v>0</v>
      </c>
      <c r="AW131" s="318">
        <f t="shared" si="79"/>
        <v>0</v>
      </c>
      <c r="AX131" s="318">
        <f t="shared" si="80"/>
        <v>0</v>
      </c>
      <c r="AY131" s="318">
        <f t="shared" si="81"/>
        <v>0</v>
      </c>
      <c r="AZ131" s="318">
        <f t="shared" si="82"/>
        <v>0</v>
      </c>
      <c r="BA131" s="318">
        <f t="shared" si="83"/>
        <v>0</v>
      </c>
    </row>
    <row r="132" spans="1:53" s="315" customFormat="1" ht="15" customHeight="1">
      <c r="A132" s="63" t="str">
        <f t="array" ref="A132">IF(C132&lt;&gt;0,SUM(($C$11:C132&lt;&gt;0)*1),"")</f>
        <v/>
      </c>
      <c r="B132" s="316"/>
      <c r="C132" s="316"/>
      <c r="D132" s="316"/>
      <c r="E132" s="436"/>
      <c r="F132" s="372"/>
      <c r="G132" s="374"/>
      <c r="H132" s="374"/>
      <c r="I132" s="63" t="str">
        <f t="shared" si="90"/>
        <v/>
      </c>
      <c r="J132" s="318">
        <f t="shared" si="46"/>
        <v>0</v>
      </c>
      <c r="K132" s="318">
        <f t="shared" si="47"/>
        <v>0</v>
      </c>
      <c r="L132" s="318">
        <f t="shared" si="48"/>
        <v>0</v>
      </c>
      <c r="M132" s="318">
        <f t="shared" si="49"/>
        <v>0</v>
      </c>
      <c r="N132" s="318">
        <f t="shared" si="84"/>
        <v>0</v>
      </c>
      <c r="O132" s="318">
        <f t="shared" si="85"/>
        <v>0</v>
      </c>
      <c r="P132" s="318">
        <f t="shared" si="50"/>
        <v>0</v>
      </c>
      <c r="Q132" s="318">
        <f t="shared" si="51"/>
        <v>0</v>
      </c>
      <c r="R132" s="318">
        <f t="shared" si="52"/>
        <v>0</v>
      </c>
      <c r="S132" s="318">
        <f t="shared" si="53"/>
        <v>0</v>
      </c>
      <c r="T132" s="318">
        <f t="shared" si="86"/>
        <v>0</v>
      </c>
      <c r="U132" s="318">
        <f t="shared" si="87"/>
        <v>0</v>
      </c>
      <c r="V132" s="318">
        <f t="shared" si="54"/>
        <v>0</v>
      </c>
      <c r="W132" s="318">
        <f t="shared" si="55"/>
        <v>0</v>
      </c>
      <c r="X132" s="318">
        <f t="shared" si="56"/>
        <v>0</v>
      </c>
      <c r="Y132" s="318">
        <f t="shared" si="57"/>
        <v>0</v>
      </c>
      <c r="Z132" s="318">
        <f t="shared" si="58"/>
        <v>0</v>
      </c>
      <c r="AA132" s="318">
        <f t="shared" si="59"/>
        <v>0</v>
      </c>
      <c r="AB132" s="318">
        <f t="shared" si="60"/>
        <v>0</v>
      </c>
      <c r="AC132" s="318">
        <f t="shared" si="61"/>
        <v>0</v>
      </c>
      <c r="AD132" s="318">
        <f t="shared" si="62"/>
        <v>0</v>
      </c>
      <c r="AE132" s="318">
        <f t="shared" si="63"/>
        <v>0</v>
      </c>
      <c r="AF132" s="318">
        <f t="shared" si="88"/>
        <v>0</v>
      </c>
      <c r="AG132" s="318">
        <f t="shared" si="89"/>
        <v>0</v>
      </c>
      <c r="AH132" s="318">
        <f t="shared" si="64"/>
        <v>0</v>
      </c>
      <c r="AI132" s="318">
        <f t="shared" si="65"/>
        <v>0</v>
      </c>
      <c r="AJ132" s="318">
        <f t="shared" si="66"/>
        <v>0</v>
      </c>
      <c r="AK132" s="318">
        <f t="shared" si="67"/>
        <v>0</v>
      </c>
      <c r="AL132" s="318">
        <f t="shared" si="68"/>
        <v>0</v>
      </c>
      <c r="AM132" s="318">
        <f t="shared" si="69"/>
        <v>0</v>
      </c>
      <c r="AN132" s="318">
        <f t="shared" si="70"/>
        <v>0</v>
      </c>
      <c r="AO132" s="318">
        <f t="shared" si="71"/>
        <v>0</v>
      </c>
      <c r="AP132" s="318">
        <f t="shared" si="72"/>
        <v>0</v>
      </c>
      <c r="AQ132" s="318">
        <f t="shared" si="73"/>
        <v>0</v>
      </c>
      <c r="AR132" s="318">
        <f t="shared" si="74"/>
        <v>0</v>
      </c>
      <c r="AS132" s="318">
        <f t="shared" si="75"/>
        <v>0</v>
      </c>
      <c r="AT132" s="318">
        <f t="shared" si="76"/>
        <v>0</v>
      </c>
      <c r="AU132" s="318">
        <f t="shared" si="77"/>
        <v>0</v>
      </c>
      <c r="AV132" s="318">
        <f t="shared" si="78"/>
        <v>0</v>
      </c>
      <c r="AW132" s="318">
        <f t="shared" si="79"/>
        <v>0</v>
      </c>
      <c r="AX132" s="318">
        <f t="shared" si="80"/>
        <v>0</v>
      </c>
      <c r="AY132" s="318">
        <f t="shared" si="81"/>
        <v>0</v>
      </c>
      <c r="AZ132" s="318">
        <f t="shared" si="82"/>
        <v>0</v>
      </c>
      <c r="BA132" s="318">
        <f t="shared" si="83"/>
        <v>0</v>
      </c>
    </row>
    <row r="133" spans="1:53" s="315" customFormat="1" ht="15" customHeight="1">
      <c r="A133" s="63" t="str">
        <f t="array" ref="A133">IF(C133&lt;&gt;0,SUM(($C$11:C133&lt;&gt;0)*1),"")</f>
        <v/>
      </c>
      <c r="B133" s="316"/>
      <c r="C133" s="316"/>
      <c r="D133" s="316"/>
      <c r="E133" s="436"/>
      <c r="F133" s="372"/>
      <c r="G133" s="374"/>
      <c r="H133" s="374"/>
      <c r="I133" s="63" t="str">
        <f t="shared" si="90"/>
        <v/>
      </c>
      <c r="J133" s="318">
        <f t="shared" si="46"/>
        <v>0</v>
      </c>
      <c r="K133" s="318">
        <f t="shared" si="47"/>
        <v>0</v>
      </c>
      <c r="L133" s="318">
        <f t="shared" si="48"/>
        <v>0</v>
      </c>
      <c r="M133" s="318">
        <f t="shared" si="49"/>
        <v>0</v>
      </c>
      <c r="N133" s="318">
        <f t="shared" si="84"/>
        <v>0</v>
      </c>
      <c r="O133" s="318">
        <f t="shared" si="85"/>
        <v>0</v>
      </c>
      <c r="P133" s="318">
        <f t="shared" si="50"/>
        <v>0</v>
      </c>
      <c r="Q133" s="318">
        <f t="shared" si="51"/>
        <v>0</v>
      </c>
      <c r="R133" s="318">
        <f t="shared" si="52"/>
        <v>0</v>
      </c>
      <c r="S133" s="318">
        <f t="shared" si="53"/>
        <v>0</v>
      </c>
      <c r="T133" s="318">
        <f t="shared" si="86"/>
        <v>0</v>
      </c>
      <c r="U133" s="318">
        <f t="shared" si="87"/>
        <v>0</v>
      </c>
      <c r="V133" s="318">
        <f t="shared" si="54"/>
        <v>0</v>
      </c>
      <c r="W133" s="318">
        <f t="shared" si="55"/>
        <v>0</v>
      </c>
      <c r="X133" s="318">
        <f t="shared" si="56"/>
        <v>0</v>
      </c>
      <c r="Y133" s="318">
        <f t="shared" si="57"/>
        <v>0</v>
      </c>
      <c r="Z133" s="318">
        <f t="shared" si="58"/>
        <v>0</v>
      </c>
      <c r="AA133" s="318">
        <f t="shared" si="59"/>
        <v>0</v>
      </c>
      <c r="AB133" s="318">
        <f t="shared" si="60"/>
        <v>0</v>
      </c>
      <c r="AC133" s="318">
        <f t="shared" si="61"/>
        <v>0</v>
      </c>
      <c r="AD133" s="318">
        <f t="shared" si="62"/>
        <v>0</v>
      </c>
      <c r="AE133" s="318">
        <f t="shared" si="63"/>
        <v>0</v>
      </c>
      <c r="AF133" s="318">
        <f t="shared" si="88"/>
        <v>0</v>
      </c>
      <c r="AG133" s="318">
        <f t="shared" si="89"/>
        <v>0</v>
      </c>
      <c r="AH133" s="318">
        <f t="shared" si="64"/>
        <v>0</v>
      </c>
      <c r="AI133" s="318">
        <f t="shared" si="65"/>
        <v>0</v>
      </c>
      <c r="AJ133" s="318">
        <f t="shared" si="66"/>
        <v>0</v>
      </c>
      <c r="AK133" s="318">
        <f t="shared" si="67"/>
        <v>0</v>
      </c>
      <c r="AL133" s="318">
        <f t="shared" si="68"/>
        <v>0</v>
      </c>
      <c r="AM133" s="318">
        <f t="shared" si="69"/>
        <v>0</v>
      </c>
      <c r="AN133" s="318">
        <f t="shared" si="70"/>
        <v>0</v>
      </c>
      <c r="AO133" s="318">
        <f t="shared" si="71"/>
        <v>0</v>
      </c>
      <c r="AP133" s="318">
        <f t="shared" si="72"/>
        <v>0</v>
      </c>
      <c r="AQ133" s="318">
        <f t="shared" si="73"/>
        <v>0</v>
      </c>
      <c r="AR133" s="318">
        <f t="shared" si="74"/>
        <v>0</v>
      </c>
      <c r="AS133" s="318">
        <f t="shared" si="75"/>
        <v>0</v>
      </c>
      <c r="AT133" s="318">
        <f t="shared" si="76"/>
        <v>0</v>
      </c>
      <c r="AU133" s="318">
        <f t="shared" si="77"/>
        <v>0</v>
      </c>
      <c r="AV133" s="318">
        <f t="shared" si="78"/>
        <v>0</v>
      </c>
      <c r="AW133" s="318">
        <f t="shared" si="79"/>
        <v>0</v>
      </c>
      <c r="AX133" s="318">
        <f t="shared" si="80"/>
        <v>0</v>
      </c>
      <c r="AY133" s="318">
        <f t="shared" si="81"/>
        <v>0</v>
      </c>
      <c r="AZ133" s="318">
        <f t="shared" si="82"/>
        <v>0</v>
      </c>
      <c r="BA133" s="318">
        <f t="shared" si="83"/>
        <v>0</v>
      </c>
    </row>
    <row r="134" spans="1:53" s="315" customFormat="1" ht="15" customHeight="1">
      <c r="A134" s="63" t="str">
        <f t="array" ref="A134">IF(C134&lt;&gt;0,SUM(($C$11:C134&lt;&gt;0)*1),"")</f>
        <v/>
      </c>
      <c r="B134" s="316"/>
      <c r="C134" s="316"/>
      <c r="D134" s="316"/>
      <c r="E134" s="436"/>
      <c r="F134" s="372"/>
      <c r="G134" s="374"/>
      <c r="H134" s="374"/>
      <c r="I134" s="63" t="str">
        <f t="shared" si="90"/>
        <v/>
      </c>
      <c r="J134" s="318">
        <f t="shared" si="46"/>
        <v>0</v>
      </c>
      <c r="K134" s="318">
        <f t="shared" si="47"/>
        <v>0</v>
      </c>
      <c r="L134" s="318">
        <f t="shared" si="48"/>
        <v>0</v>
      </c>
      <c r="M134" s="318">
        <f t="shared" si="49"/>
        <v>0</v>
      </c>
      <c r="N134" s="318">
        <f t="shared" si="84"/>
        <v>0</v>
      </c>
      <c r="O134" s="318">
        <f t="shared" si="85"/>
        <v>0</v>
      </c>
      <c r="P134" s="318">
        <f t="shared" si="50"/>
        <v>0</v>
      </c>
      <c r="Q134" s="318">
        <f t="shared" si="51"/>
        <v>0</v>
      </c>
      <c r="R134" s="318">
        <f t="shared" si="52"/>
        <v>0</v>
      </c>
      <c r="S134" s="318">
        <f t="shared" si="53"/>
        <v>0</v>
      </c>
      <c r="T134" s="318">
        <f t="shared" si="86"/>
        <v>0</v>
      </c>
      <c r="U134" s="318">
        <f t="shared" si="87"/>
        <v>0</v>
      </c>
      <c r="V134" s="318">
        <f t="shared" si="54"/>
        <v>0</v>
      </c>
      <c r="W134" s="318">
        <f t="shared" si="55"/>
        <v>0</v>
      </c>
      <c r="X134" s="318">
        <f t="shared" si="56"/>
        <v>0</v>
      </c>
      <c r="Y134" s="318">
        <f t="shared" si="57"/>
        <v>0</v>
      </c>
      <c r="Z134" s="318">
        <f t="shared" si="58"/>
        <v>0</v>
      </c>
      <c r="AA134" s="318">
        <f t="shared" si="59"/>
        <v>0</v>
      </c>
      <c r="AB134" s="318">
        <f t="shared" si="60"/>
        <v>0</v>
      </c>
      <c r="AC134" s="318">
        <f t="shared" si="61"/>
        <v>0</v>
      </c>
      <c r="AD134" s="318">
        <f t="shared" si="62"/>
        <v>0</v>
      </c>
      <c r="AE134" s="318">
        <f t="shared" si="63"/>
        <v>0</v>
      </c>
      <c r="AF134" s="318">
        <f t="shared" si="88"/>
        <v>0</v>
      </c>
      <c r="AG134" s="318">
        <f t="shared" si="89"/>
        <v>0</v>
      </c>
      <c r="AH134" s="318">
        <f t="shared" si="64"/>
        <v>0</v>
      </c>
      <c r="AI134" s="318">
        <f t="shared" si="65"/>
        <v>0</v>
      </c>
      <c r="AJ134" s="318">
        <f t="shared" si="66"/>
        <v>0</v>
      </c>
      <c r="AK134" s="318">
        <f t="shared" si="67"/>
        <v>0</v>
      </c>
      <c r="AL134" s="318">
        <f t="shared" si="68"/>
        <v>0</v>
      </c>
      <c r="AM134" s="318">
        <f t="shared" si="69"/>
        <v>0</v>
      </c>
      <c r="AN134" s="318">
        <f t="shared" si="70"/>
        <v>0</v>
      </c>
      <c r="AO134" s="318">
        <f t="shared" si="71"/>
        <v>0</v>
      </c>
      <c r="AP134" s="318">
        <f t="shared" si="72"/>
        <v>0</v>
      </c>
      <c r="AQ134" s="318">
        <f t="shared" si="73"/>
        <v>0</v>
      </c>
      <c r="AR134" s="318">
        <f t="shared" si="74"/>
        <v>0</v>
      </c>
      <c r="AS134" s="318">
        <f t="shared" si="75"/>
        <v>0</v>
      </c>
      <c r="AT134" s="318">
        <f t="shared" si="76"/>
        <v>0</v>
      </c>
      <c r="AU134" s="318">
        <f t="shared" si="77"/>
        <v>0</v>
      </c>
      <c r="AV134" s="318">
        <f t="shared" si="78"/>
        <v>0</v>
      </c>
      <c r="AW134" s="318">
        <f t="shared" si="79"/>
        <v>0</v>
      </c>
      <c r="AX134" s="318">
        <f t="shared" si="80"/>
        <v>0</v>
      </c>
      <c r="AY134" s="318">
        <f t="shared" si="81"/>
        <v>0</v>
      </c>
      <c r="AZ134" s="318">
        <f t="shared" si="82"/>
        <v>0</v>
      </c>
      <c r="BA134" s="318">
        <f t="shared" si="83"/>
        <v>0</v>
      </c>
    </row>
    <row r="135" spans="1:53" s="315" customFormat="1" ht="15" customHeight="1">
      <c r="A135" s="63" t="str">
        <f t="array" ref="A135">IF(C135&lt;&gt;0,SUM(($C$11:C135&lt;&gt;0)*1),"")</f>
        <v/>
      </c>
      <c r="B135" s="316"/>
      <c r="C135" s="316"/>
      <c r="D135" s="316"/>
      <c r="E135" s="436"/>
      <c r="F135" s="372"/>
      <c r="G135" s="374"/>
      <c r="H135" s="374"/>
      <c r="I135" s="63" t="str">
        <f t="shared" si="90"/>
        <v/>
      </c>
      <c r="J135" s="318">
        <f t="shared" si="46"/>
        <v>0</v>
      </c>
      <c r="K135" s="318">
        <f t="shared" si="47"/>
        <v>0</v>
      </c>
      <c r="L135" s="318">
        <f t="shared" si="48"/>
        <v>0</v>
      </c>
      <c r="M135" s="318">
        <f t="shared" si="49"/>
        <v>0</v>
      </c>
      <c r="N135" s="318">
        <f t="shared" si="84"/>
        <v>0</v>
      </c>
      <c r="O135" s="318">
        <f t="shared" si="85"/>
        <v>0</v>
      </c>
      <c r="P135" s="318">
        <f t="shared" si="50"/>
        <v>0</v>
      </c>
      <c r="Q135" s="318">
        <f t="shared" si="51"/>
        <v>0</v>
      </c>
      <c r="R135" s="318">
        <f t="shared" si="52"/>
        <v>0</v>
      </c>
      <c r="S135" s="318">
        <f t="shared" si="53"/>
        <v>0</v>
      </c>
      <c r="T135" s="318">
        <f t="shared" si="86"/>
        <v>0</v>
      </c>
      <c r="U135" s="318">
        <f t="shared" si="87"/>
        <v>0</v>
      </c>
      <c r="V135" s="318">
        <f t="shared" si="54"/>
        <v>0</v>
      </c>
      <c r="W135" s="318">
        <f t="shared" si="55"/>
        <v>0</v>
      </c>
      <c r="X135" s="318">
        <f t="shared" si="56"/>
        <v>0</v>
      </c>
      <c r="Y135" s="318">
        <f t="shared" si="57"/>
        <v>0</v>
      </c>
      <c r="Z135" s="318">
        <f t="shared" si="58"/>
        <v>0</v>
      </c>
      <c r="AA135" s="318">
        <f t="shared" si="59"/>
        <v>0</v>
      </c>
      <c r="AB135" s="318">
        <f t="shared" si="60"/>
        <v>0</v>
      </c>
      <c r="AC135" s="318">
        <f t="shared" si="61"/>
        <v>0</v>
      </c>
      <c r="AD135" s="318">
        <f t="shared" si="62"/>
        <v>0</v>
      </c>
      <c r="AE135" s="318">
        <f t="shared" si="63"/>
        <v>0</v>
      </c>
      <c r="AF135" s="318">
        <f t="shared" si="88"/>
        <v>0</v>
      </c>
      <c r="AG135" s="318">
        <f t="shared" si="89"/>
        <v>0</v>
      </c>
      <c r="AH135" s="318">
        <f t="shared" si="64"/>
        <v>0</v>
      </c>
      <c r="AI135" s="318">
        <f t="shared" si="65"/>
        <v>0</v>
      </c>
      <c r="AJ135" s="318">
        <f t="shared" si="66"/>
        <v>0</v>
      </c>
      <c r="AK135" s="318">
        <f t="shared" si="67"/>
        <v>0</v>
      </c>
      <c r="AL135" s="318">
        <f t="shared" si="68"/>
        <v>0</v>
      </c>
      <c r="AM135" s="318">
        <f t="shared" si="69"/>
        <v>0</v>
      </c>
      <c r="AN135" s="318">
        <f t="shared" si="70"/>
        <v>0</v>
      </c>
      <c r="AO135" s="318">
        <f t="shared" si="71"/>
        <v>0</v>
      </c>
      <c r="AP135" s="318">
        <f t="shared" si="72"/>
        <v>0</v>
      </c>
      <c r="AQ135" s="318">
        <f t="shared" si="73"/>
        <v>0</v>
      </c>
      <c r="AR135" s="318">
        <f t="shared" si="74"/>
        <v>0</v>
      </c>
      <c r="AS135" s="318">
        <f t="shared" si="75"/>
        <v>0</v>
      </c>
      <c r="AT135" s="318">
        <f t="shared" si="76"/>
        <v>0</v>
      </c>
      <c r="AU135" s="318">
        <f t="shared" si="77"/>
        <v>0</v>
      </c>
      <c r="AV135" s="318">
        <f t="shared" si="78"/>
        <v>0</v>
      </c>
      <c r="AW135" s="318">
        <f t="shared" si="79"/>
        <v>0</v>
      </c>
      <c r="AX135" s="318">
        <f t="shared" si="80"/>
        <v>0</v>
      </c>
      <c r="AY135" s="318">
        <f t="shared" si="81"/>
        <v>0</v>
      </c>
      <c r="AZ135" s="318">
        <f t="shared" si="82"/>
        <v>0</v>
      </c>
      <c r="BA135" s="318">
        <f t="shared" si="83"/>
        <v>0</v>
      </c>
    </row>
    <row r="136" spans="1:53" s="315" customFormat="1" ht="15" customHeight="1">
      <c r="A136" s="63" t="str">
        <f t="array" ref="A136">IF(C136&lt;&gt;0,SUM(($C$11:C136&lt;&gt;0)*1),"")</f>
        <v/>
      </c>
      <c r="B136" s="316"/>
      <c r="C136" s="316"/>
      <c r="D136" s="316"/>
      <c r="E136" s="436"/>
      <c r="F136" s="372"/>
      <c r="G136" s="374"/>
      <c r="H136" s="374"/>
      <c r="I136" s="63" t="str">
        <f t="shared" si="90"/>
        <v/>
      </c>
      <c r="J136" s="318">
        <f t="shared" si="46"/>
        <v>0</v>
      </c>
      <c r="K136" s="318">
        <f t="shared" si="47"/>
        <v>0</v>
      </c>
      <c r="L136" s="318">
        <f t="shared" si="48"/>
        <v>0</v>
      </c>
      <c r="M136" s="318">
        <f t="shared" si="49"/>
        <v>0</v>
      </c>
      <c r="N136" s="318">
        <f t="shared" si="84"/>
        <v>0</v>
      </c>
      <c r="O136" s="318">
        <f t="shared" si="85"/>
        <v>0</v>
      </c>
      <c r="P136" s="318">
        <f t="shared" si="50"/>
        <v>0</v>
      </c>
      <c r="Q136" s="318">
        <f t="shared" si="51"/>
        <v>0</v>
      </c>
      <c r="R136" s="318">
        <f t="shared" si="52"/>
        <v>0</v>
      </c>
      <c r="S136" s="318">
        <f t="shared" si="53"/>
        <v>0</v>
      </c>
      <c r="T136" s="318">
        <f t="shared" si="86"/>
        <v>0</v>
      </c>
      <c r="U136" s="318">
        <f t="shared" si="87"/>
        <v>0</v>
      </c>
      <c r="V136" s="318">
        <f t="shared" si="54"/>
        <v>0</v>
      </c>
      <c r="W136" s="318">
        <f t="shared" si="55"/>
        <v>0</v>
      </c>
      <c r="X136" s="318">
        <f t="shared" si="56"/>
        <v>0</v>
      </c>
      <c r="Y136" s="318">
        <f t="shared" si="57"/>
        <v>0</v>
      </c>
      <c r="Z136" s="318">
        <f t="shared" si="58"/>
        <v>0</v>
      </c>
      <c r="AA136" s="318">
        <f t="shared" si="59"/>
        <v>0</v>
      </c>
      <c r="AB136" s="318">
        <f t="shared" si="60"/>
        <v>0</v>
      </c>
      <c r="AC136" s="318">
        <f t="shared" si="61"/>
        <v>0</v>
      </c>
      <c r="AD136" s="318">
        <f t="shared" si="62"/>
        <v>0</v>
      </c>
      <c r="AE136" s="318">
        <f t="shared" si="63"/>
        <v>0</v>
      </c>
      <c r="AF136" s="318">
        <f t="shared" si="88"/>
        <v>0</v>
      </c>
      <c r="AG136" s="318">
        <f t="shared" si="89"/>
        <v>0</v>
      </c>
      <c r="AH136" s="318">
        <f t="shared" si="64"/>
        <v>0</v>
      </c>
      <c r="AI136" s="318">
        <f t="shared" si="65"/>
        <v>0</v>
      </c>
      <c r="AJ136" s="318">
        <f t="shared" si="66"/>
        <v>0</v>
      </c>
      <c r="AK136" s="318">
        <f t="shared" si="67"/>
        <v>0</v>
      </c>
      <c r="AL136" s="318">
        <f t="shared" si="68"/>
        <v>0</v>
      </c>
      <c r="AM136" s="318">
        <f t="shared" si="69"/>
        <v>0</v>
      </c>
      <c r="AN136" s="318">
        <f t="shared" si="70"/>
        <v>0</v>
      </c>
      <c r="AO136" s="318">
        <f t="shared" si="71"/>
        <v>0</v>
      </c>
      <c r="AP136" s="318">
        <f t="shared" si="72"/>
        <v>0</v>
      </c>
      <c r="AQ136" s="318">
        <f t="shared" si="73"/>
        <v>0</v>
      </c>
      <c r="AR136" s="318">
        <f t="shared" si="74"/>
        <v>0</v>
      </c>
      <c r="AS136" s="318">
        <f t="shared" si="75"/>
        <v>0</v>
      </c>
      <c r="AT136" s="318">
        <f t="shared" si="76"/>
        <v>0</v>
      </c>
      <c r="AU136" s="318">
        <f t="shared" si="77"/>
        <v>0</v>
      </c>
      <c r="AV136" s="318">
        <f t="shared" si="78"/>
        <v>0</v>
      </c>
      <c r="AW136" s="318">
        <f t="shared" si="79"/>
        <v>0</v>
      </c>
      <c r="AX136" s="318">
        <f t="shared" si="80"/>
        <v>0</v>
      </c>
      <c r="AY136" s="318">
        <f t="shared" si="81"/>
        <v>0</v>
      </c>
      <c r="AZ136" s="318">
        <f t="shared" si="82"/>
        <v>0</v>
      </c>
      <c r="BA136" s="318">
        <f t="shared" si="83"/>
        <v>0</v>
      </c>
    </row>
    <row r="137" spans="1:53" s="315" customFormat="1" ht="15" customHeight="1">
      <c r="A137" s="63" t="str">
        <f t="array" ref="A137">IF(C137&lt;&gt;0,SUM(($C$11:C137&lt;&gt;0)*1),"")</f>
        <v/>
      </c>
      <c r="B137" s="316"/>
      <c r="C137" s="316"/>
      <c r="D137" s="316"/>
      <c r="E137" s="436"/>
      <c r="F137" s="372"/>
      <c r="G137" s="374"/>
      <c r="H137" s="374"/>
      <c r="I137" s="63" t="str">
        <f t="shared" si="90"/>
        <v/>
      </c>
      <c r="J137" s="318">
        <f t="shared" si="46"/>
        <v>0</v>
      </c>
      <c r="K137" s="318">
        <f t="shared" si="47"/>
        <v>0</v>
      </c>
      <c r="L137" s="318">
        <f t="shared" si="48"/>
        <v>0</v>
      </c>
      <c r="M137" s="318">
        <f t="shared" si="49"/>
        <v>0</v>
      </c>
      <c r="N137" s="318">
        <f t="shared" si="84"/>
        <v>0</v>
      </c>
      <c r="O137" s="318">
        <f t="shared" si="85"/>
        <v>0</v>
      </c>
      <c r="P137" s="318">
        <f t="shared" si="50"/>
        <v>0</v>
      </c>
      <c r="Q137" s="318">
        <f t="shared" si="51"/>
        <v>0</v>
      </c>
      <c r="R137" s="318">
        <f t="shared" si="52"/>
        <v>0</v>
      </c>
      <c r="S137" s="318">
        <f t="shared" si="53"/>
        <v>0</v>
      </c>
      <c r="T137" s="318">
        <f t="shared" si="86"/>
        <v>0</v>
      </c>
      <c r="U137" s="318">
        <f t="shared" si="87"/>
        <v>0</v>
      </c>
      <c r="V137" s="318">
        <f t="shared" si="54"/>
        <v>0</v>
      </c>
      <c r="W137" s="318">
        <f t="shared" si="55"/>
        <v>0</v>
      </c>
      <c r="X137" s="318">
        <f t="shared" si="56"/>
        <v>0</v>
      </c>
      <c r="Y137" s="318">
        <f t="shared" si="57"/>
        <v>0</v>
      </c>
      <c r="Z137" s="318">
        <f t="shared" si="58"/>
        <v>0</v>
      </c>
      <c r="AA137" s="318">
        <f t="shared" si="59"/>
        <v>0</v>
      </c>
      <c r="AB137" s="318">
        <f t="shared" si="60"/>
        <v>0</v>
      </c>
      <c r="AC137" s="318">
        <f t="shared" si="61"/>
        <v>0</v>
      </c>
      <c r="AD137" s="318">
        <f t="shared" si="62"/>
        <v>0</v>
      </c>
      <c r="AE137" s="318">
        <f t="shared" si="63"/>
        <v>0</v>
      </c>
      <c r="AF137" s="318">
        <f t="shared" si="88"/>
        <v>0</v>
      </c>
      <c r="AG137" s="318">
        <f t="shared" si="89"/>
        <v>0</v>
      </c>
      <c r="AH137" s="318">
        <f t="shared" si="64"/>
        <v>0</v>
      </c>
      <c r="AI137" s="318">
        <f t="shared" si="65"/>
        <v>0</v>
      </c>
      <c r="AJ137" s="318">
        <f t="shared" si="66"/>
        <v>0</v>
      </c>
      <c r="AK137" s="318">
        <f t="shared" si="67"/>
        <v>0</v>
      </c>
      <c r="AL137" s="318">
        <f t="shared" si="68"/>
        <v>0</v>
      </c>
      <c r="AM137" s="318">
        <f t="shared" si="69"/>
        <v>0</v>
      </c>
      <c r="AN137" s="318">
        <f t="shared" si="70"/>
        <v>0</v>
      </c>
      <c r="AO137" s="318">
        <f t="shared" si="71"/>
        <v>0</v>
      </c>
      <c r="AP137" s="318">
        <f t="shared" si="72"/>
        <v>0</v>
      </c>
      <c r="AQ137" s="318">
        <f t="shared" si="73"/>
        <v>0</v>
      </c>
      <c r="AR137" s="318">
        <f t="shared" si="74"/>
        <v>0</v>
      </c>
      <c r="AS137" s="318">
        <f t="shared" si="75"/>
        <v>0</v>
      </c>
      <c r="AT137" s="318">
        <f t="shared" si="76"/>
        <v>0</v>
      </c>
      <c r="AU137" s="318">
        <f t="shared" si="77"/>
        <v>0</v>
      </c>
      <c r="AV137" s="318">
        <f t="shared" si="78"/>
        <v>0</v>
      </c>
      <c r="AW137" s="318">
        <f t="shared" si="79"/>
        <v>0</v>
      </c>
      <c r="AX137" s="318">
        <f t="shared" si="80"/>
        <v>0</v>
      </c>
      <c r="AY137" s="318">
        <f t="shared" si="81"/>
        <v>0</v>
      </c>
      <c r="AZ137" s="318">
        <f t="shared" si="82"/>
        <v>0</v>
      </c>
      <c r="BA137" s="318">
        <f t="shared" si="83"/>
        <v>0</v>
      </c>
    </row>
    <row r="138" spans="1:53" s="315" customFormat="1" ht="15" customHeight="1">
      <c r="A138" s="63" t="str">
        <f t="array" ref="A138">IF(C138&lt;&gt;0,SUM(($C$11:C138&lt;&gt;0)*1),"")</f>
        <v/>
      </c>
      <c r="B138" s="316"/>
      <c r="C138" s="316"/>
      <c r="D138" s="316"/>
      <c r="E138" s="436"/>
      <c r="F138" s="372"/>
      <c r="G138" s="374"/>
      <c r="H138" s="374"/>
      <c r="I138" s="63" t="str">
        <f t="shared" si="90"/>
        <v/>
      </c>
      <c r="J138" s="318">
        <f t="shared" si="46"/>
        <v>0</v>
      </c>
      <c r="K138" s="318">
        <f t="shared" si="47"/>
        <v>0</v>
      </c>
      <c r="L138" s="318">
        <f t="shared" si="48"/>
        <v>0</v>
      </c>
      <c r="M138" s="318">
        <f t="shared" si="49"/>
        <v>0</v>
      </c>
      <c r="N138" s="318">
        <f t="shared" si="84"/>
        <v>0</v>
      </c>
      <c r="O138" s="318">
        <f t="shared" si="85"/>
        <v>0</v>
      </c>
      <c r="P138" s="318">
        <f t="shared" si="50"/>
        <v>0</v>
      </c>
      <c r="Q138" s="318">
        <f t="shared" si="51"/>
        <v>0</v>
      </c>
      <c r="R138" s="318">
        <f t="shared" si="52"/>
        <v>0</v>
      </c>
      <c r="S138" s="318">
        <f t="shared" si="53"/>
        <v>0</v>
      </c>
      <c r="T138" s="318">
        <f t="shared" si="86"/>
        <v>0</v>
      </c>
      <c r="U138" s="318">
        <f t="shared" si="87"/>
        <v>0</v>
      </c>
      <c r="V138" s="318">
        <f t="shared" si="54"/>
        <v>0</v>
      </c>
      <c r="W138" s="318">
        <f t="shared" si="55"/>
        <v>0</v>
      </c>
      <c r="X138" s="318">
        <f t="shared" si="56"/>
        <v>0</v>
      </c>
      <c r="Y138" s="318">
        <f t="shared" si="57"/>
        <v>0</v>
      </c>
      <c r="Z138" s="318">
        <f t="shared" si="58"/>
        <v>0</v>
      </c>
      <c r="AA138" s="318">
        <f t="shared" si="59"/>
        <v>0</v>
      </c>
      <c r="AB138" s="318">
        <f t="shared" si="60"/>
        <v>0</v>
      </c>
      <c r="AC138" s="318">
        <f t="shared" si="61"/>
        <v>0</v>
      </c>
      <c r="AD138" s="318">
        <f t="shared" si="62"/>
        <v>0</v>
      </c>
      <c r="AE138" s="318">
        <f t="shared" si="63"/>
        <v>0</v>
      </c>
      <c r="AF138" s="318">
        <f t="shared" si="88"/>
        <v>0</v>
      </c>
      <c r="AG138" s="318">
        <f t="shared" si="89"/>
        <v>0</v>
      </c>
      <c r="AH138" s="318">
        <f t="shared" si="64"/>
        <v>0</v>
      </c>
      <c r="AI138" s="318">
        <f t="shared" si="65"/>
        <v>0</v>
      </c>
      <c r="AJ138" s="318">
        <f t="shared" si="66"/>
        <v>0</v>
      </c>
      <c r="AK138" s="318">
        <f t="shared" si="67"/>
        <v>0</v>
      </c>
      <c r="AL138" s="318">
        <f t="shared" si="68"/>
        <v>0</v>
      </c>
      <c r="AM138" s="318">
        <f t="shared" si="69"/>
        <v>0</v>
      </c>
      <c r="AN138" s="318">
        <f t="shared" si="70"/>
        <v>0</v>
      </c>
      <c r="AO138" s="318">
        <f t="shared" si="71"/>
        <v>0</v>
      </c>
      <c r="AP138" s="318">
        <f t="shared" si="72"/>
        <v>0</v>
      </c>
      <c r="AQ138" s="318">
        <f t="shared" si="73"/>
        <v>0</v>
      </c>
      <c r="AR138" s="318">
        <f t="shared" si="74"/>
        <v>0</v>
      </c>
      <c r="AS138" s="318">
        <f t="shared" si="75"/>
        <v>0</v>
      </c>
      <c r="AT138" s="318">
        <f t="shared" si="76"/>
        <v>0</v>
      </c>
      <c r="AU138" s="318">
        <f t="shared" si="77"/>
        <v>0</v>
      </c>
      <c r="AV138" s="318">
        <f t="shared" si="78"/>
        <v>0</v>
      </c>
      <c r="AW138" s="318">
        <f t="shared" si="79"/>
        <v>0</v>
      </c>
      <c r="AX138" s="318">
        <f t="shared" si="80"/>
        <v>0</v>
      </c>
      <c r="AY138" s="318">
        <f t="shared" si="81"/>
        <v>0</v>
      </c>
      <c r="AZ138" s="318">
        <f t="shared" si="82"/>
        <v>0</v>
      </c>
      <c r="BA138" s="318">
        <f t="shared" si="83"/>
        <v>0</v>
      </c>
    </row>
    <row r="139" spans="1:53" s="315" customFormat="1" ht="15" customHeight="1">
      <c r="A139" s="63" t="str">
        <f t="array" ref="A139">IF(C139&lt;&gt;0,SUM(($C$11:C139&lt;&gt;0)*1),"")</f>
        <v/>
      </c>
      <c r="B139" s="316"/>
      <c r="C139" s="316"/>
      <c r="D139" s="316"/>
      <c r="E139" s="436"/>
      <c r="F139" s="372"/>
      <c r="G139" s="374"/>
      <c r="H139" s="374"/>
      <c r="I139" s="63" t="str">
        <f t="shared" si="90"/>
        <v/>
      </c>
      <c r="J139" s="318">
        <f t="shared" ref="J139:J154" si="91">IF($G139="1111",$F139,0)</f>
        <v>0</v>
      </c>
      <c r="K139" s="318">
        <f t="shared" ref="K139:K154" si="92">IF($H139="1111",$F139,0)</f>
        <v>0</v>
      </c>
      <c r="L139" s="318">
        <f t="shared" ref="L139:L154" si="93">IF($G139="1121",$F139,0)</f>
        <v>0</v>
      </c>
      <c r="M139" s="318">
        <f t="shared" ref="M139:M154" si="94">IF($H139="1121",$F139,0)</f>
        <v>0</v>
      </c>
      <c r="N139" s="318">
        <f t="shared" si="84"/>
        <v>0</v>
      </c>
      <c r="O139" s="318">
        <f t="shared" si="85"/>
        <v>0</v>
      </c>
      <c r="P139" s="318">
        <f t="shared" ref="P139:P154" si="95">IF($G139="1331",$F139,0)</f>
        <v>0</v>
      </c>
      <c r="Q139" s="318">
        <f t="shared" ref="Q139:Q154" si="96">IF($H139="1331",$F139,0)</f>
        <v>0</v>
      </c>
      <c r="R139" s="318">
        <f t="shared" ref="R139:R154" si="97">IF($G139="1388",$F139,0)</f>
        <v>0</v>
      </c>
      <c r="S139" s="318">
        <f t="shared" ref="S139:S154" si="98">IF($H139="1388",$F139,0)</f>
        <v>0</v>
      </c>
      <c r="T139" s="318">
        <f t="shared" si="86"/>
        <v>0</v>
      </c>
      <c r="U139" s="318">
        <f t="shared" si="87"/>
        <v>0</v>
      </c>
      <c r="V139" s="318">
        <f t="shared" ref="V139:V154" si="99">IF($G139="331",$F139,0)</f>
        <v>0</v>
      </c>
      <c r="W139" s="318">
        <f t="shared" ref="W139:W154" si="100">IF($H139="331",$F139,0)</f>
        <v>0</v>
      </c>
      <c r="X139" s="318">
        <f t="shared" ref="X139:X154" si="101">IF($G139="3334",$F139,0)</f>
        <v>0</v>
      </c>
      <c r="Y139" s="318">
        <f t="shared" ref="Y139:Y154" si="102">IF($H139="3334",$F139,0)</f>
        <v>0</v>
      </c>
      <c r="Z139" s="318">
        <f t="shared" ref="Z139:Z154" si="103">IF($G139="33382",$F139,0)</f>
        <v>0</v>
      </c>
      <c r="AA139" s="318">
        <f t="shared" ref="AA139:AA154" si="104">IF($H139="33382",$F139,0)</f>
        <v>0</v>
      </c>
      <c r="AB139" s="318">
        <f t="shared" ref="AB139:AB154" si="105">IF($G139="3388",$F139,0)</f>
        <v>0</v>
      </c>
      <c r="AC139" s="318">
        <f t="shared" ref="AC139:AC154" si="106">IF($H139="3388",$F139,0)</f>
        <v>0</v>
      </c>
      <c r="AD139" s="318">
        <f t="shared" ref="AD139:AD154" si="107">IF($G139="3411",$F139,0)</f>
        <v>0</v>
      </c>
      <c r="AE139" s="318">
        <f t="shared" ref="AE139:AE154" si="108">IF($H139="3411",$F139,0)</f>
        <v>0</v>
      </c>
      <c r="AF139" s="318">
        <f t="shared" si="88"/>
        <v>0</v>
      </c>
      <c r="AG139" s="318">
        <f t="shared" si="89"/>
        <v>0</v>
      </c>
      <c r="AH139" s="318">
        <f t="shared" ref="AH139:AH154" si="109">IF($G139="4111",$F139,0)</f>
        <v>0</v>
      </c>
      <c r="AI139" s="318">
        <f t="shared" ref="AI139:AI154" si="110">IF($H139="4111",$F139,0)</f>
        <v>0</v>
      </c>
      <c r="AJ139" s="318">
        <f t="shared" ref="AJ139:AJ154" si="111">IF($G139="4211",$F139,0)</f>
        <v>0</v>
      </c>
      <c r="AK139" s="318">
        <f t="shared" ref="AK139:AK154" si="112">IF($H139="4211",$F139,0)</f>
        <v>0</v>
      </c>
      <c r="AL139" s="318">
        <f t="shared" ref="AL139:AL154" si="113">IF($G139="4212",$F139,0)</f>
        <v>0</v>
      </c>
      <c r="AM139" s="318">
        <f t="shared" ref="AM139:AM154" si="114">IF($H139="4212",$F139,0)</f>
        <v>0</v>
      </c>
      <c r="AN139" s="318">
        <f t="shared" ref="AN139:AN154" si="115">IF($G139="515",$F139,0)</f>
        <v>0</v>
      </c>
      <c r="AO139" s="318">
        <f t="shared" ref="AO139:AO154" si="116">IF($H139="515",$F139,0)</f>
        <v>0</v>
      </c>
      <c r="AP139" s="318">
        <f t="shared" ref="AP139:AP154" si="117">IF($G139="635",$F139,0)</f>
        <v>0</v>
      </c>
      <c r="AQ139" s="318">
        <f t="shared" ref="AQ139:AQ154" si="118">IF($H139="635",$F139,0)</f>
        <v>0</v>
      </c>
      <c r="AR139" s="318">
        <f t="shared" ref="AR139:AR154" si="119">IF($G139="642",$F139,0)</f>
        <v>0</v>
      </c>
      <c r="AS139" s="318">
        <f t="shared" ref="AS139:AS154" si="120">IF($H139="642",$F139,0)</f>
        <v>0</v>
      </c>
      <c r="AT139" s="318">
        <f t="shared" ref="AT139:AT154" si="121">IF($G139="711",$F139,0)</f>
        <v>0</v>
      </c>
      <c r="AU139" s="318">
        <f t="shared" ref="AU139:AU154" si="122">IF($H139="711",$F139,0)</f>
        <v>0</v>
      </c>
      <c r="AV139" s="318">
        <f t="shared" ref="AV139:AV154" si="123">IF($G139="811",$F139,0)</f>
        <v>0</v>
      </c>
      <c r="AW139" s="318">
        <f t="shared" ref="AW139:AW154" si="124">IF($H139="811",$F139,0)</f>
        <v>0</v>
      </c>
      <c r="AX139" s="318">
        <f t="shared" ref="AX139:AX154" si="125">IF($G139="821",$F139,0)</f>
        <v>0</v>
      </c>
      <c r="AY139" s="318">
        <f t="shared" ref="AY139:AY154" si="126">IF($H139="821",$F139,0)</f>
        <v>0</v>
      </c>
      <c r="AZ139" s="318">
        <f t="shared" ref="AZ139:AZ154" si="127">IF($G139="911",$F139,0)</f>
        <v>0</v>
      </c>
      <c r="BA139" s="318">
        <f t="shared" ref="BA139:BA154" si="128">IF($H139="911",$F139,0)</f>
        <v>0</v>
      </c>
    </row>
    <row r="140" spans="1:53" s="315" customFormat="1" ht="15" customHeight="1">
      <c r="A140" s="63" t="str">
        <f t="array" ref="A140">IF(C140&lt;&gt;0,SUM(($C$11:C140&lt;&gt;0)*1),"")</f>
        <v/>
      </c>
      <c r="B140" s="316"/>
      <c r="C140" s="316"/>
      <c r="D140" s="316"/>
      <c r="E140" s="436"/>
      <c r="F140" s="372"/>
      <c r="G140" s="374"/>
      <c r="H140" s="374"/>
      <c r="I140" s="63" t="str">
        <f t="shared" si="90"/>
        <v/>
      </c>
      <c r="J140" s="318">
        <f t="shared" si="91"/>
        <v>0</v>
      </c>
      <c r="K140" s="318">
        <f t="shared" si="92"/>
        <v>0</v>
      </c>
      <c r="L140" s="318">
        <f t="shared" si="93"/>
        <v>0</v>
      </c>
      <c r="M140" s="318">
        <f t="shared" si="94"/>
        <v>0</v>
      </c>
      <c r="N140" s="318">
        <f t="shared" ref="N140:N154" si="129">IF($G140="1122",$F140,0)</f>
        <v>0</v>
      </c>
      <c r="O140" s="318">
        <f t="shared" ref="O140:O154" si="130">IF($H140="1122",$F140,0)</f>
        <v>0</v>
      </c>
      <c r="P140" s="318">
        <f t="shared" si="95"/>
        <v>0</v>
      </c>
      <c r="Q140" s="318">
        <f t="shared" si="96"/>
        <v>0</v>
      </c>
      <c r="R140" s="318">
        <f t="shared" si="97"/>
        <v>0</v>
      </c>
      <c r="S140" s="318">
        <f t="shared" si="98"/>
        <v>0</v>
      </c>
      <c r="T140" s="318">
        <f t="shared" ref="T140:T154" si="131">IF($G140="2412",$F140,0)</f>
        <v>0</v>
      </c>
      <c r="U140" s="318">
        <f t="shared" ref="U140:U154" si="132">IF($H140="2412",$F140,0)</f>
        <v>0</v>
      </c>
      <c r="V140" s="318">
        <f t="shared" si="99"/>
        <v>0</v>
      </c>
      <c r="W140" s="318">
        <f t="shared" si="100"/>
        <v>0</v>
      </c>
      <c r="X140" s="318">
        <f t="shared" si="101"/>
        <v>0</v>
      </c>
      <c r="Y140" s="318">
        <f t="shared" si="102"/>
        <v>0</v>
      </c>
      <c r="Z140" s="318">
        <f t="shared" si="103"/>
        <v>0</v>
      </c>
      <c r="AA140" s="318">
        <f t="shared" si="104"/>
        <v>0</v>
      </c>
      <c r="AB140" s="318">
        <f t="shared" si="105"/>
        <v>0</v>
      </c>
      <c r="AC140" s="318">
        <f t="shared" si="106"/>
        <v>0</v>
      </c>
      <c r="AD140" s="318">
        <f t="shared" si="107"/>
        <v>0</v>
      </c>
      <c r="AE140" s="318">
        <f t="shared" si="108"/>
        <v>0</v>
      </c>
      <c r="AF140" s="318">
        <f t="shared" ref="AF140:AF154" si="133">IF($G140="3412",$F140,0)</f>
        <v>0</v>
      </c>
      <c r="AG140" s="318">
        <f t="shared" ref="AG140:AG154" si="134">IF($H140="3412",$F140,0)</f>
        <v>0</v>
      </c>
      <c r="AH140" s="318">
        <f t="shared" si="109"/>
        <v>0</v>
      </c>
      <c r="AI140" s="318">
        <f t="shared" si="110"/>
        <v>0</v>
      </c>
      <c r="AJ140" s="318">
        <f t="shared" si="111"/>
        <v>0</v>
      </c>
      <c r="AK140" s="318">
        <f t="shared" si="112"/>
        <v>0</v>
      </c>
      <c r="AL140" s="318">
        <f t="shared" si="113"/>
        <v>0</v>
      </c>
      <c r="AM140" s="318">
        <f t="shared" si="114"/>
        <v>0</v>
      </c>
      <c r="AN140" s="318">
        <f t="shared" si="115"/>
        <v>0</v>
      </c>
      <c r="AO140" s="318">
        <f t="shared" si="116"/>
        <v>0</v>
      </c>
      <c r="AP140" s="318">
        <f t="shared" si="117"/>
        <v>0</v>
      </c>
      <c r="AQ140" s="318">
        <f t="shared" si="118"/>
        <v>0</v>
      </c>
      <c r="AR140" s="318">
        <f t="shared" si="119"/>
        <v>0</v>
      </c>
      <c r="AS140" s="318">
        <f t="shared" si="120"/>
        <v>0</v>
      </c>
      <c r="AT140" s="318">
        <f t="shared" si="121"/>
        <v>0</v>
      </c>
      <c r="AU140" s="318">
        <f t="shared" si="122"/>
        <v>0</v>
      </c>
      <c r="AV140" s="318">
        <f t="shared" si="123"/>
        <v>0</v>
      </c>
      <c r="AW140" s="318">
        <f t="shared" si="124"/>
        <v>0</v>
      </c>
      <c r="AX140" s="318">
        <f t="shared" si="125"/>
        <v>0</v>
      </c>
      <c r="AY140" s="318">
        <f t="shared" si="126"/>
        <v>0</v>
      </c>
      <c r="AZ140" s="318">
        <f t="shared" si="127"/>
        <v>0</v>
      </c>
      <c r="BA140" s="318">
        <f t="shared" si="128"/>
        <v>0</v>
      </c>
    </row>
    <row r="141" spans="1:53" s="315" customFormat="1" ht="15" customHeight="1">
      <c r="A141" s="63" t="str">
        <f t="array" ref="A141">IF(C141&lt;&gt;0,SUM(($C$11:C141&lt;&gt;0)*1),"")</f>
        <v/>
      </c>
      <c r="B141" s="316"/>
      <c r="C141" s="316"/>
      <c r="D141" s="316"/>
      <c r="E141" s="436"/>
      <c r="F141" s="372"/>
      <c r="G141" s="374"/>
      <c r="H141" s="374"/>
      <c r="I141" s="63" t="str">
        <f t="shared" si="90"/>
        <v/>
      </c>
      <c r="J141" s="318">
        <f t="shared" si="91"/>
        <v>0</v>
      </c>
      <c r="K141" s="318">
        <f t="shared" si="92"/>
        <v>0</v>
      </c>
      <c r="L141" s="318">
        <f t="shared" si="93"/>
        <v>0</v>
      </c>
      <c r="M141" s="318">
        <f t="shared" si="94"/>
        <v>0</v>
      </c>
      <c r="N141" s="318">
        <f t="shared" si="129"/>
        <v>0</v>
      </c>
      <c r="O141" s="318">
        <f t="shared" si="130"/>
        <v>0</v>
      </c>
      <c r="P141" s="318">
        <f t="shared" si="95"/>
        <v>0</v>
      </c>
      <c r="Q141" s="318">
        <f t="shared" si="96"/>
        <v>0</v>
      </c>
      <c r="R141" s="318">
        <f t="shared" si="97"/>
        <v>0</v>
      </c>
      <c r="S141" s="318">
        <f t="shared" si="98"/>
        <v>0</v>
      </c>
      <c r="T141" s="318">
        <f t="shared" si="131"/>
        <v>0</v>
      </c>
      <c r="U141" s="318">
        <f t="shared" si="132"/>
        <v>0</v>
      </c>
      <c r="V141" s="318">
        <f t="shared" si="99"/>
        <v>0</v>
      </c>
      <c r="W141" s="318">
        <f t="shared" si="100"/>
        <v>0</v>
      </c>
      <c r="X141" s="318">
        <f t="shared" si="101"/>
        <v>0</v>
      </c>
      <c r="Y141" s="318">
        <f t="shared" si="102"/>
        <v>0</v>
      </c>
      <c r="Z141" s="318">
        <f t="shared" si="103"/>
        <v>0</v>
      </c>
      <c r="AA141" s="318">
        <f t="shared" si="104"/>
        <v>0</v>
      </c>
      <c r="AB141" s="318">
        <f t="shared" si="105"/>
        <v>0</v>
      </c>
      <c r="AC141" s="318">
        <f t="shared" si="106"/>
        <v>0</v>
      </c>
      <c r="AD141" s="318">
        <f t="shared" si="107"/>
        <v>0</v>
      </c>
      <c r="AE141" s="318">
        <f t="shared" si="108"/>
        <v>0</v>
      </c>
      <c r="AF141" s="318">
        <f t="shared" si="133"/>
        <v>0</v>
      </c>
      <c r="AG141" s="318">
        <f t="shared" si="134"/>
        <v>0</v>
      </c>
      <c r="AH141" s="318">
        <f t="shared" si="109"/>
        <v>0</v>
      </c>
      <c r="AI141" s="318">
        <f t="shared" si="110"/>
        <v>0</v>
      </c>
      <c r="AJ141" s="318">
        <f t="shared" si="111"/>
        <v>0</v>
      </c>
      <c r="AK141" s="318">
        <f t="shared" si="112"/>
        <v>0</v>
      </c>
      <c r="AL141" s="318">
        <f t="shared" si="113"/>
        <v>0</v>
      </c>
      <c r="AM141" s="318">
        <f t="shared" si="114"/>
        <v>0</v>
      </c>
      <c r="AN141" s="318">
        <f t="shared" si="115"/>
        <v>0</v>
      </c>
      <c r="AO141" s="318">
        <f t="shared" si="116"/>
        <v>0</v>
      </c>
      <c r="AP141" s="318">
        <f t="shared" si="117"/>
        <v>0</v>
      </c>
      <c r="AQ141" s="318">
        <f t="shared" si="118"/>
        <v>0</v>
      </c>
      <c r="AR141" s="318">
        <f t="shared" si="119"/>
        <v>0</v>
      </c>
      <c r="AS141" s="318">
        <f t="shared" si="120"/>
        <v>0</v>
      </c>
      <c r="AT141" s="318">
        <f t="shared" si="121"/>
        <v>0</v>
      </c>
      <c r="AU141" s="318">
        <f t="shared" si="122"/>
        <v>0</v>
      </c>
      <c r="AV141" s="318">
        <f t="shared" si="123"/>
        <v>0</v>
      </c>
      <c r="AW141" s="318">
        <f t="shared" si="124"/>
        <v>0</v>
      </c>
      <c r="AX141" s="318">
        <f t="shared" si="125"/>
        <v>0</v>
      </c>
      <c r="AY141" s="318">
        <f t="shared" si="126"/>
        <v>0</v>
      </c>
      <c r="AZ141" s="318">
        <f t="shared" si="127"/>
        <v>0</v>
      </c>
      <c r="BA141" s="318">
        <f t="shared" si="128"/>
        <v>0</v>
      </c>
    </row>
    <row r="142" spans="1:53" s="315" customFormat="1" ht="15" customHeight="1">
      <c r="A142" s="63" t="str">
        <f t="array" ref="A142">IF(C142&lt;&gt;0,SUM(($C$11:C142&lt;&gt;0)*1),"")</f>
        <v/>
      </c>
      <c r="B142" s="316"/>
      <c r="C142" s="316"/>
      <c r="D142" s="316"/>
      <c r="E142" s="436"/>
      <c r="F142" s="372"/>
      <c r="G142" s="374"/>
      <c r="H142" s="374"/>
      <c r="I142" s="63" t="str">
        <f t="shared" si="90"/>
        <v/>
      </c>
      <c r="J142" s="318">
        <f t="shared" si="91"/>
        <v>0</v>
      </c>
      <c r="K142" s="318">
        <f t="shared" si="92"/>
        <v>0</v>
      </c>
      <c r="L142" s="318">
        <f t="shared" si="93"/>
        <v>0</v>
      </c>
      <c r="M142" s="318">
        <f t="shared" si="94"/>
        <v>0</v>
      </c>
      <c r="N142" s="318">
        <f t="shared" si="129"/>
        <v>0</v>
      </c>
      <c r="O142" s="318">
        <f t="shared" si="130"/>
        <v>0</v>
      </c>
      <c r="P142" s="318">
        <f t="shared" si="95"/>
        <v>0</v>
      </c>
      <c r="Q142" s="318">
        <f t="shared" si="96"/>
        <v>0</v>
      </c>
      <c r="R142" s="318">
        <f t="shared" si="97"/>
        <v>0</v>
      </c>
      <c r="S142" s="318">
        <f t="shared" si="98"/>
        <v>0</v>
      </c>
      <c r="T142" s="318">
        <f t="shared" si="131"/>
        <v>0</v>
      </c>
      <c r="U142" s="318">
        <f t="shared" si="132"/>
        <v>0</v>
      </c>
      <c r="V142" s="318">
        <f t="shared" si="99"/>
        <v>0</v>
      </c>
      <c r="W142" s="318">
        <f t="shared" si="100"/>
        <v>0</v>
      </c>
      <c r="X142" s="318">
        <f t="shared" si="101"/>
        <v>0</v>
      </c>
      <c r="Y142" s="318">
        <f t="shared" si="102"/>
        <v>0</v>
      </c>
      <c r="Z142" s="318">
        <f t="shared" si="103"/>
        <v>0</v>
      </c>
      <c r="AA142" s="318">
        <f t="shared" si="104"/>
        <v>0</v>
      </c>
      <c r="AB142" s="318">
        <f t="shared" si="105"/>
        <v>0</v>
      </c>
      <c r="AC142" s="318">
        <f t="shared" si="106"/>
        <v>0</v>
      </c>
      <c r="AD142" s="318">
        <f t="shared" si="107"/>
        <v>0</v>
      </c>
      <c r="AE142" s="318">
        <f t="shared" si="108"/>
        <v>0</v>
      </c>
      <c r="AF142" s="318">
        <f t="shared" si="133"/>
        <v>0</v>
      </c>
      <c r="AG142" s="318">
        <f t="shared" si="134"/>
        <v>0</v>
      </c>
      <c r="AH142" s="318">
        <f t="shared" si="109"/>
        <v>0</v>
      </c>
      <c r="AI142" s="318">
        <f t="shared" si="110"/>
        <v>0</v>
      </c>
      <c r="AJ142" s="318">
        <f t="shared" si="111"/>
        <v>0</v>
      </c>
      <c r="AK142" s="318">
        <f t="shared" si="112"/>
        <v>0</v>
      </c>
      <c r="AL142" s="318">
        <f t="shared" si="113"/>
        <v>0</v>
      </c>
      <c r="AM142" s="318">
        <f t="shared" si="114"/>
        <v>0</v>
      </c>
      <c r="AN142" s="318">
        <f t="shared" si="115"/>
        <v>0</v>
      </c>
      <c r="AO142" s="318">
        <f t="shared" si="116"/>
        <v>0</v>
      </c>
      <c r="AP142" s="318">
        <f t="shared" si="117"/>
        <v>0</v>
      </c>
      <c r="AQ142" s="318">
        <f t="shared" si="118"/>
        <v>0</v>
      </c>
      <c r="AR142" s="318">
        <f t="shared" si="119"/>
        <v>0</v>
      </c>
      <c r="AS142" s="318">
        <f t="shared" si="120"/>
        <v>0</v>
      </c>
      <c r="AT142" s="318">
        <f t="shared" si="121"/>
        <v>0</v>
      </c>
      <c r="AU142" s="318">
        <f t="shared" si="122"/>
        <v>0</v>
      </c>
      <c r="AV142" s="318">
        <f t="shared" si="123"/>
        <v>0</v>
      </c>
      <c r="AW142" s="318">
        <f t="shared" si="124"/>
        <v>0</v>
      </c>
      <c r="AX142" s="318">
        <f t="shared" si="125"/>
        <v>0</v>
      </c>
      <c r="AY142" s="318">
        <f t="shared" si="126"/>
        <v>0</v>
      </c>
      <c r="AZ142" s="318">
        <f t="shared" si="127"/>
        <v>0</v>
      </c>
      <c r="BA142" s="318">
        <f t="shared" si="128"/>
        <v>0</v>
      </c>
    </row>
    <row r="143" spans="1:53" s="315" customFormat="1" ht="15" customHeight="1">
      <c r="A143" s="63" t="str">
        <f t="array" ref="A143">IF(C143&lt;&gt;0,SUM(($C$11:C143&lt;&gt;0)*1),"")</f>
        <v/>
      </c>
      <c r="B143" s="316"/>
      <c r="C143" s="316"/>
      <c r="D143" s="316"/>
      <c r="E143" s="436"/>
      <c r="F143" s="372"/>
      <c r="G143" s="374"/>
      <c r="H143" s="374"/>
      <c r="I143" s="63" t="str">
        <f t="shared" si="90"/>
        <v/>
      </c>
      <c r="J143" s="318">
        <f t="shared" si="91"/>
        <v>0</v>
      </c>
      <c r="K143" s="318">
        <f t="shared" si="92"/>
        <v>0</v>
      </c>
      <c r="L143" s="318">
        <f t="shared" si="93"/>
        <v>0</v>
      </c>
      <c r="M143" s="318">
        <f t="shared" si="94"/>
        <v>0</v>
      </c>
      <c r="N143" s="318">
        <f t="shared" si="129"/>
        <v>0</v>
      </c>
      <c r="O143" s="318">
        <f t="shared" si="130"/>
        <v>0</v>
      </c>
      <c r="P143" s="318">
        <f t="shared" si="95"/>
        <v>0</v>
      </c>
      <c r="Q143" s="318">
        <f t="shared" si="96"/>
        <v>0</v>
      </c>
      <c r="R143" s="318">
        <f t="shared" si="97"/>
        <v>0</v>
      </c>
      <c r="S143" s="318">
        <f t="shared" si="98"/>
        <v>0</v>
      </c>
      <c r="T143" s="318">
        <f t="shared" si="131"/>
        <v>0</v>
      </c>
      <c r="U143" s="318">
        <f t="shared" si="132"/>
        <v>0</v>
      </c>
      <c r="V143" s="318">
        <f t="shared" si="99"/>
        <v>0</v>
      </c>
      <c r="W143" s="318">
        <f t="shared" si="100"/>
        <v>0</v>
      </c>
      <c r="X143" s="318">
        <f t="shared" si="101"/>
        <v>0</v>
      </c>
      <c r="Y143" s="318">
        <f t="shared" si="102"/>
        <v>0</v>
      </c>
      <c r="Z143" s="318">
        <f t="shared" si="103"/>
        <v>0</v>
      </c>
      <c r="AA143" s="318">
        <f t="shared" si="104"/>
        <v>0</v>
      </c>
      <c r="AB143" s="318">
        <f t="shared" si="105"/>
        <v>0</v>
      </c>
      <c r="AC143" s="318">
        <f t="shared" si="106"/>
        <v>0</v>
      </c>
      <c r="AD143" s="318">
        <f t="shared" si="107"/>
        <v>0</v>
      </c>
      <c r="AE143" s="318">
        <f t="shared" si="108"/>
        <v>0</v>
      </c>
      <c r="AF143" s="318">
        <f t="shared" si="133"/>
        <v>0</v>
      </c>
      <c r="AG143" s="318">
        <f t="shared" si="134"/>
        <v>0</v>
      </c>
      <c r="AH143" s="318">
        <f t="shared" si="109"/>
        <v>0</v>
      </c>
      <c r="AI143" s="318">
        <f t="shared" si="110"/>
        <v>0</v>
      </c>
      <c r="AJ143" s="318">
        <f t="shared" si="111"/>
        <v>0</v>
      </c>
      <c r="AK143" s="318">
        <f t="shared" si="112"/>
        <v>0</v>
      </c>
      <c r="AL143" s="318">
        <f t="shared" si="113"/>
        <v>0</v>
      </c>
      <c r="AM143" s="318">
        <f t="shared" si="114"/>
        <v>0</v>
      </c>
      <c r="AN143" s="318">
        <f t="shared" si="115"/>
        <v>0</v>
      </c>
      <c r="AO143" s="318">
        <f t="shared" si="116"/>
        <v>0</v>
      </c>
      <c r="AP143" s="318">
        <f t="shared" si="117"/>
        <v>0</v>
      </c>
      <c r="AQ143" s="318">
        <f t="shared" si="118"/>
        <v>0</v>
      </c>
      <c r="AR143" s="318">
        <f t="shared" si="119"/>
        <v>0</v>
      </c>
      <c r="AS143" s="318">
        <f t="shared" si="120"/>
        <v>0</v>
      </c>
      <c r="AT143" s="318">
        <f t="shared" si="121"/>
        <v>0</v>
      </c>
      <c r="AU143" s="318">
        <f t="shared" si="122"/>
        <v>0</v>
      </c>
      <c r="AV143" s="318">
        <f t="shared" si="123"/>
        <v>0</v>
      </c>
      <c r="AW143" s="318">
        <f t="shared" si="124"/>
        <v>0</v>
      </c>
      <c r="AX143" s="318">
        <f t="shared" si="125"/>
        <v>0</v>
      </c>
      <c r="AY143" s="318">
        <f t="shared" si="126"/>
        <v>0</v>
      </c>
      <c r="AZ143" s="318">
        <f t="shared" si="127"/>
        <v>0</v>
      </c>
      <c r="BA143" s="318">
        <f t="shared" si="128"/>
        <v>0</v>
      </c>
    </row>
    <row r="144" spans="1:53" s="315" customFormat="1" ht="15" customHeight="1">
      <c r="A144" s="63" t="str">
        <f t="array" ref="A144">IF(C144&lt;&gt;0,SUM(($C$11:C144&lt;&gt;0)*1),"")</f>
        <v/>
      </c>
      <c r="B144" s="316"/>
      <c r="C144" s="316"/>
      <c r="D144" s="316"/>
      <c r="E144" s="436"/>
      <c r="F144" s="372"/>
      <c r="G144" s="374"/>
      <c r="H144" s="374"/>
      <c r="I144" s="63" t="str">
        <f t="shared" si="90"/>
        <v/>
      </c>
      <c r="J144" s="318">
        <f t="shared" si="91"/>
        <v>0</v>
      </c>
      <c r="K144" s="318">
        <f t="shared" si="92"/>
        <v>0</v>
      </c>
      <c r="L144" s="318">
        <f t="shared" si="93"/>
        <v>0</v>
      </c>
      <c r="M144" s="318">
        <f t="shared" si="94"/>
        <v>0</v>
      </c>
      <c r="N144" s="318">
        <f t="shared" si="129"/>
        <v>0</v>
      </c>
      <c r="O144" s="318">
        <f t="shared" si="130"/>
        <v>0</v>
      </c>
      <c r="P144" s="318">
        <f t="shared" si="95"/>
        <v>0</v>
      </c>
      <c r="Q144" s="318">
        <f t="shared" si="96"/>
        <v>0</v>
      </c>
      <c r="R144" s="318">
        <f t="shared" si="97"/>
        <v>0</v>
      </c>
      <c r="S144" s="318">
        <f t="shared" si="98"/>
        <v>0</v>
      </c>
      <c r="T144" s="318">
        <f t="shared" si="131"/>
        <v>0</v>
      </c>
      <c r="U144" s="318">
        <f t="shared" si="132"/>
        <v>0</v>
      </c>
      <c r="V144" s="318">
        <f t="shared" si="99"/>
        <v>0</v>
      </c>
      <c r="W144" s="318">
        <f t="shared" si="100"/>
        <v>0</v>
      </c>
      <c r="X144" s="318">
        <f t="shared" si="101"/>
        <v>0</v>
      </c>
      <c r="Y144" s="318">
        <f t="shared" si="102"/>
        <v>0</v>
      </c>
      <c r="Z144" s="318">
        <f t="shared" si="103"/>
        <v>0</v>
      </c>
      <c r="AA144" s="318">
        <f t="shared" si="104"/>
        <v>0</v>
      </c>
      <c r="AB144" s="318">
        <f t="shared" si="105"/>
        <v>0</v>
      </c>
      <c r="AC144" s="318">
        <f t="shared" si="106"/>
        <v>0</v>
      </c>
      <c r="AD144" s="318">
        <f t="shared" si="107"/>
        <v>0</v>
      </c>
      <c r="AE144" s="318">
        <f t="shared" si="108"/>
        <v>0</v>
      </c>
      <c r="AF144" s="318">
        <f t="shared" si="133"/>
        <v>0</v>
      </c>
      <c r="AG144" s="318">
        <f t="shared" si="134"/>
        <v>0</v>
      </c>
      <c r="AH144" s="318">
        <f t="shared" si="109"/>
        <v>0</v>
      </c>
      <c r="AI144" s="318">
        <f t="shared" si="110"/>
        <v>0</v>
      </c>
      <c r="AJ144" s="318">
        <f t="shared" si="111"/>
        <v>0</v>
      </c>
      <c r="AK144" s="318">
        <f t="shared" si="112"/>
        <v>0</v>
      </c>
      <c r="AL144" s="318">
        <f t="shared" si="113"/>
        <v>0</v>
      </c>
      <c r="AM144" s="318">
        <f t="shared" si="114"/>
        <v>0</v>
      </c>
      <c r="AN144" s="318">
        <f t="shared" si="115"/>
        <v>0</v>
      </c>
      <c r="AO144" s="318">
        <f t="shared" si="116"/>
        <v>0</v>
      </c>
      <c r="AP144" s="318">
        <f t="shared" si="117"/>
        <v>0</v>
      </c>
      <c r="AQ144" s="318">
        <f t="shared" si="118"/>
        <v>0</v>
      </c>
      <c r="AR144" s="318">
        <f t="shared" si="119"/>
        <v>0</v>
      </c>
      <c r="AS144" s="318">
        <f t="shared" si="120"/>
        <v>0</v>
      </c>
      <c r="AT144" s="318">
        <f t="shared" si="121"/>
        <v>0</v>
      </c>
      <c r="AU144" s="318">
        <f t="shared" si="122"/>
        <v>0</v>
      </c>
      <c r="AV144" s="318">
        <f t="shared" si="123"/>
        <v>0</v>
      </c>
      <c r="AW144" s="318">
        <f t="shared" si="124"/>
        <v>0</v>
      </c>
      <c r="AX144" s="318">
        <f t="shared" si="125"/>
        <v>0</v>
      </c>
      <c r="AY144" s="318">
        <f t="shared" si="126"/>
        <v>0</v>
      </c>
      <c r="AZ144" s="318">
        <f t="shared" si="127"/>
        <v>0</v>
      </c>
      <c r="BA144" s="318">
        <f t="shared" si="128"/>
        <v>0</v>
      </c>
    </row>
    <row r="145" spans="1:53" s="315" customFormat="1" ht="15" customHeight="1">
      <c r="A145" s="63" t="str">
        <f t="array" ref="A145">IF(C145&lt;&gt;0,SUM(($C$11:C145&lt;&gt;0)*1),"")</f>
        <v/>
      </c>
      <c r="B145" s="316"/>
      <c r="C145" s="316"/>
      <c r="D145" s="316"/>
      <c r="E145" s="436"/>
      <c r="F145" s="372"/>
      <c r="G145" s="374"/>
      <c r="H145" s="374"/>
      <c r="I145" s="63" t="str">
        <f t="shared" ref="I145:I153" si="135">A145</f>
        <v/>
      </c>
      <c r="J145" s="318">
        <f t="shared" si="91"/>
        <v>0</v>
      </c>
      <c r="K145" s="318">
        <f t="shared" si="92"/>
        <v>0</v>
      </c>
      <c r="L145" s="318">
        <f t="shared" si="93"/>
        <v>0</v>
      </c>
      <c r="M145" s="318">
        <f t="shared" si="94"/>
        <v>0</v>
      </c>
      <c r="N145" s="318">
        <f t="shared" si="129"/>
        <v>0</v>
      </c>
      <c r="O145" s="318">
        <f t="shared" si="130"/>
        <v>0</v>
      </c>
      <c r="P145" s="318">
        <f t="shared" si="95"/>
        <v>0</v>
      </c>
      <c r="Q145" s="318">
        <f t="shared" si="96"/>
        <v>0</v>
      </c>
      <c r="R145" s="318">
        <f t="shared" si="97"/>
        <v>0</v>
      </c>
      <c r="S145" s="318">
        <f t="shared" si="98"/>
        <v>0</v>
      </c>
      <c r="T145" s="318">
        <f t="shared" si="131"/>
        <v>0</v>
      </c>
      <c r="U145" s="318">
        <f t="shared" si="132"/>
        <v>0</v>
      </c>
      <c r="V145" s="318">
        <f t="shared" si="99"/>
        <v>0</v>
      </c>
      <c r="W145" s="318">
        <f t="shared" si="100"/>
        <v>0</v>
      </c>
      <c r="X145" s="318">
        <f t="shared" si="101"/>
        <v>0</v>
      </c>
      <c r="Y145" s="318">
        <f t="shared" si="102"/>
        <v>0</v>
      </c>
      <c r="Z145" s="318">
        <f t="shared" si="103"/>
        <v>0</v>
      </c>
      <c r="AA145" s="318">
        <f t="shared" si="104"/>
        <v>0</v>
      </c>
      <c r="AB145" s="318">
        <f t="shared" si="105"/>
        <v>0</v>
      </c>
      <c r="AC145" s="318">
        <f t="shared" si="106"/>
        <v>0</v>
      </c>
      <c r="AD145" s="318">
        <f t="shared" si="107"/>
        <v>0</v>
      </c>
      <c r="AE145" s="318">
        <f t="shared" si="108"/>
        <v>0</v>
      </c>
      <c r="AF145" s="318">
        <f t="shared" si="133"/>
        <v>0</v>
      </c>
      <c r="AG145" s="318">
        <f t="shared" si="134"/>
        <v>0</v>
      </c>
      <c r="AH145" s="318">
        <f t="shared" si="109"/>
        <v>0</v>
      </c>
      <c r="AI145" s="318">
        <f t="shared" si="110"/>
        <v>0</v>
      </c>
      <c r="AJ145" s="318">
        <f t="shared" si="111"/>
        <v>0</v>
      </c>
      <c r="AK145" s="318">
        <f t="shared" si="112"/>
        <v>0</v>
      </c>
      <c r="AL145" s="318">
        <f t="shared" si="113"/>
        <v>0</v>
      </c>
      <c r="AM145" s="318">
        <f t="shared" si="114"/>
        <v>0</v>
      </c>
      <c r="AN145" s="318">
        <f t="shared" si="115"/>
        <v>0</v>
      </c>
      <c r="AO145" s="318">
        <f t="shared" si="116"/>
        <v>0</v>
      </c>
      <c r="AP145" s="318">
        <f t="shared" si="117"/>
        <v>0</v>
      </c>
      <c r="AQ145" s="318">
        <f t="shared" si="118"/>
        <v>0</v>
      </c>
      <c r="AR145" s="318">
        <f t="shared" si="119"/>
        <v>0</v>
      </c>
      <c r="AS145" s="318">
        <f t="shared" si="120"/>
        <v>0</v>
      </c>
      <c r="AT145" s="318">
        <f t="shared" si="121"/>
        <v>0</v>
      </c>
      <c r="AU145" s="318">
        <f t="shared" si="122"/>
        <v>0</v>
      </c>
      <c r="AV145" s="318">
        <f t="shared" si="123"/>
        <v>0</v>
      </c>
      <c r="AW145" s="318">
        <f t="shared" si="124"/>
        <v>0</v>
      </c>
      <c r="AX145" s="318">
        <f t="shared" si="125"/>
        <v>0</v>
      </c>
      <c r="AY145" s="318">
        <f t="shared" si="126"/>
        <v>0</v>
      </c>
      <c r="AZ145" s="318">
        <f t="shared" si="127"/>
        <v>0</v>
      </c>
      <c r="BA145" s="318">
        <f t="shared" si="128"/>
        <v>0</v>
      </c>
    </row>
    <row r="146" spans="1:53" s="315" customFormat="1" ht="15" customHeight="1">
      <c r="A146" s="63" t="str">
        <f t="array" ref="A146">IF(C146&lt;&gt;0,SUM(($C$11:C146&lt;&gt;0)*1),"")</f>
        <v/>
      </c>
      <c r="B146" s="316"/>
      <c r="C146" s="316"/>
      <c r="D146" s="316"/>
      <c r="E146" s="436"/>
      <c r="F146" s="372"/>
      <c r="G146" s="374"/>
      <c r="H146" s="374"/>
      <c r="I146" s="63" t="str">
        <f t="shared" si="135"/>
        <v/>
      </c>
      <c r="J146" s="318">
        <f t="shared" si="91"/>
        <v>0</v>
      </c>
      <c r="K146" s="318">
        <f t="shared" si="92"/>
        <v>0</v>
      </c>
      <c r="L146" s="318">
        <f t="shared" si="93"/>
        <v>0</v>
      </c>
      <c r="M146" s="318">
        <f t="shared" si="94"/>
        <v>0</v>
      </c>
      <c r="N146" s="318">
        <f t="shared" si="129"/>
        <v>0</v>
      </c>
      <c r="O146" s="318">
        <f t="shared" si="130"/>
        <v>0</v>
      </c>
      <c r="P146" s="318">
        <f t="shared" si="95"/>
        <v>0</v>
      </c>
      <c r="Q146" s="318">
        <f t="shared" si="96"/>
        <v>0</v>
      </c>
      <c r="R146" s="318">
        <f t="shared" si="97"/>
        <v>0</v>
      </c>
      <c r="S146" s="318">
        <f t="shared" si="98"/>
        <v>0</v>
      </c>
      <c r="T146" s="318">
        <f t="shared" si="131"/>
        <v>0</v>
      </c>
      <c r="U146" s="318">
        <f t="shared" si="132"/>
        <v>0</v>
      </c>
      <c r="V146" s="318">
        <f t="shared" si="99"/>
        <v>0</v>
      </c>
      <c r="W146" s="318">
        <f t="shared" si="100"/>
        <v>0</v>
      </c>
      <c r="X146" s="318">
        <f t="shared" si="101"/>
        <v>0</v>
      </c>
      <c r="Y146" s="318">
        <f t="shared" si="102"/>
        <v>0</v>
      </c>
      <c r="Z146" s="318">
        <f t="shared" si="103"/>
        <v>0</v>
      </c>
      <c r="AA146" s="318">
        <f t="shared" si="104"/>
        <v>0</v>
      </c>
      <c r="AB146" s="318">
        <f t="shared" si="105"/>
        <v>0</v>
      </c>
      <c r="AC146" s="318">
        <f t="shared" si="106"/>
        <v>0</v>
      </c>
      <c r="AD146" s="318">
        <f t="shared" si="107"/>
        <v>0</v>
      </c>
      <c r="AE146" s="318">
        <f t="shared" si="108"/>
        <v>0</v>
      </c>
      <c r="AF146" s="318">
        <f t="shared" si="133"/>
        <v>0</v>
      </c>
      <c r="AG146" s="318">
        <f t="shared" si="134"/>
        <v>0</v>
      </c>
      <c r="AH146" s="318">
        <f t="shared" si="109"/>
        <v>0</v>
      </c>
      <c r="AI146" s="318">
        <f t="shared" si="110"/>
        <v>0</v>
      </c>
      <c r="AJ146" s="318">
        <f t="shared" si="111"/>
        <v>0</v>
      </c>
      <c r="AK146" s="318">
        <f t="shared" si="112"/>
        <v>0</v>
      </c>
      <c r="AL146" s="318">
        <f t="shared" si="113"/>
        <v>0</v>
      </c>
      <c r="AM146" s="318">
        <f t="shared" si="114"/>
        <v>0</v>
      </c>
      <c r="AN146" s="318">
        <f t="shared" si="115"/>
        <v>0</v>
      </c>
      <c r="AO146" s="318">
        <f t="shared" si="116"/>
        <v>0</v>
      </c>
      <c r="AP146" s="318">
        <f t="shared" si="117"/>
        <v>0</v>
      </c>
      <c r="AQ146" s="318">
        <f t="shared" si="118"/>
        <v>0</v>
      </c>
      <c r="AR146" s="318">
        <f t="shared" si="119"/>
        <v>0</v>
      </c>
      <c r="AS146" s="318">
        <f t="shared" si="120"/>
        <v>0</v>
      </c>
      <c r="AT146" s="318">
        <f t="shared" si="121"/>
        <v>0</v>
      </c>
      <c r="AU146" s="318">
        <f t="shared" si="122"/>
        <v>0</v>
      </c>
      <c r="AV146" s="318">
        <f t="shared" si="123"/>
        <v>0</v>
      </c>
      <c r="AW146" s="318">
        <f t="shared" si="124"/>
        <v>0</v>
      </c>
      <c r="AX146" s="318">
        <f t="shared" si="125"/>
        <v>0</v>
      </c>
      <c r="AY146" s="318">
        <f t="shared" si="126"/>
        <v>0</v>
      </c>
      <c r="AZ146" s="318">
        <f t="shared" si="127"/>
        <v>0</v>
      </c>
      <c r="BA146" s="318">
        <f t="shared" si="128"/>
        <v>0</v>
      </c>
    </row>
    <row r="147" spans="1:53" s="315" customFormat="1" ht="15" customHeight="1">
      <c r="A147" s="63" t="str">
        <f t="array" ref="A147">IF(C147&lt;&gt;0,SUM(($C$11:C147&lt;&gt;0)*1),"")</f>
        <v/>
      </c>
      <c r="B147" s="316"/>
      <c r="C147" s="316"/>
      <c r="D147" s="316"/>
      <c r="E147" s="436"/>
      <c r="F147" s="372"/>
      <c r="G147" s="374"/>
      <c r="H147" s="374"/>
      <c r="I147" s="63" t="str">
        <f t="shared" si="135"/>
        <v/>
      </c>
      <c r="J147" s="318">
        <f t="shared" si="91"/>
        <v>0</v>
      </c>
      <c r="K147" s="318">
        <f t="shared" si="92"/>
        <v>0</v>
      </c>
      <c r="L147" s="318">
        <f t="shared" si="93"/>
        <v>0</v>
      </c>
      <c r="M147" s="318">
        <f t="shared" si="94"/>
        <v>0</v>
      </c>
      <c r="N147" s="318">
        <f t="shared" si="129"/>
        <v>0</v>
      </c>
      <c r="O147" s="318">
        <f t="shared" si="130"/>
        <v>0</v>
      </c>
      <c r="P147" s="318">
        <f t="shared" si="95"/>
        <v>0</v>
      </c>
      <c r="Q147" s="318">
        <f t="shared" si="96"/>
        <v>0</v>
      </c>
      <c r="R147" s="318">
        <f t="shared" si="97"/>
        <v>0</v>
      </c>
      <c r="S147" s="318">
        <f t="shared" si="98"/>
        <v>0</v>
      </c>
      <c r="T147" s="318">
        <f t="shared" si="131"/>
        <v>0</v>
      </c>
      <c r="U147" s="318">
        <f t="shared" si="132"/>
        <v>0</v>
      </c>
      <c r="V147" s="318">
        <f t="shared" si="99"/>
        <v>0</v>
      </c>
      <c r="W147" s="318">
        <f t="shared" si="100"/>
        <v>0</v>
      </c>
      <c r="X147" s="318">
        <f t="shared" si="101"/>
        <v>0</v>
      </c>
      <c r="Y147" s="318">
        <f t="shared" si="102"/>
        <v>0</v>
      </c>
      <c r="Z147" s="318">
        <f t="shared" si="103"/>
        <v>0</v>
      </c>
      <c r="AA147" s="318">
        <f t="shared" si="104"/>
        <v>0</v>
      </c>
      <c r="AB147" s="318">
        <f t="shared" si="105"/>
        <v>0</v>
      </c>
      <c r="AC147" s="318">
        <f t="shared" si="106"/>
        <v>0</v>
      </c>
      <c r="AD147" s="318">
        <f t="shared" si="107"/>
        <v>0</v>
      </c>
      <c r="AE147" s="318">
        <f t="shared" si="108"/>
        <v>0</v>
      </c>
      <c r="AF147" s="318">
        <f t="shared" si="133"/>
        <v>0</v>
      </c>
      <c r="AG147" s="318">
        <f t="shared" si="134"/>
        <v>0</v>
      </c>
      <c r="AH147" s="318">
        <f t="shared" si="109"/>
        <v>0</v>
      </c>
      <c r="AI147" s="318">
        <f t="shared" si="110"/>
        <v>0</v>
      </c>
      <c r="AJ147" s="318">
        <f t="shared" si="111"/>
        <v>0</v>
      </c>
      <c r="AK147" s="318">
        <f t="shared" si="112"/>
        <v>0</v>
      </c>
      <c r="AL147" s="318">
        <f t="shared" si="113"/>
        <v>0</v>
      </c>
      <c r="AM147" s="318">
        <f t="shared" si="114"/>
        <v>0</v>
      </c>
      <c r="AN147" s="318">
        <f t="shared" si="115"/>
        <v>0</v>
      </c>
      <c r="AO147" s="318">
        <f t="shared" si="116"/>
        <v>0</v>
      </c>
      <c r="AP147" s="318">
        <f t="shared" si="117"/>
        <v>0</v>
      </c>
      <c r="AQ147" s="318">
        <f t="shared" si="118"/>
        <v>0</v>
      </c>
      <c r="AR147" s="318">
        <f t="shared" si="119"/>
        <v>0</v>
      </c>
      <c r="AS147" s="318">
        <f t="shared" si="120"/>
        <v>0</v>
      </c>
      <c r="AT147" s="318">
        <f t="shared" si="121"/>
        <v>0</v>
      </c>
      <c r="AU147" s="318">
        <f t="shared" si="122"/>
        <v>0</v>
      </c>
      <c r="AV147" s="318">
        <f t="shared" si="123"/>
        <v>0</v>
      </c>
      <c r="AW147" s="318">
        <f t="shared" si="124"/>
        <v>0</v>
      </c>
      <c r="AX147" s="318">
        <f t="shared" si="125"/>
        <v>0</v>
      </c>
      <c r="AY147" s="318">
        <f t="shared" si="126"/>
        <v>0</v>
      </c>
      <c r="AZ147" s="318">
        <f t="shared" si="127"/>
        <v>0</v>
      </c>
      <c r="BA147" s="318">
        <f t="shared" si="128"/>
        <v>0</v>
      </c>
    </row>
    <row r="148" spans="1:53" s="315" customFormat="1" ht="15" customHeight="1">
      <c r="A148" s="63">
        <f t="array" aca="1" ref="A148" ca="1">IF(C148&lt;&gt;0,SUM(($C$11:C148&lt;&gt;0)*1),"")</f>
        <v>2</v>
      </c>
      <c r="B148" s="279">
        <v>42185</v>
      </c>
      <c r="C148" s="319" t="s">
        <v>115</v>
      </c>
      <c r="D148" s="319">
        <f t="shared" ref="D148:D153" si="136">B148</f>
        <v>42185</v>
      </c>
      <c r="E148" s="320" t="s">
        <v>116</v>
      </c>
      <c r="F148" s="86">
        <f ca="1">AP155</f>
        <v>0</v>
      </c>
      <c r="G148" s="321" t="s">
        <v>165</v>
      </c>
      <c r="H148" s="321" t="s">
        <v>99</v>
      </c>
      <c r="I148" s="63">
        <f t="shared" ca="1" si="135"/>
        <v>2</v>
      </c>
      <c r="J148" s="318">
        <f t="shared" si="91"/>
        <v>0</v>
      </c>
      <c r="K148" s="318">
        <f t="shared" si="92"/>
        <v>0</v>
      </c>
      <c r="L148" s="318">
        <f t="shared" si="93"/>
        <v>0</v>
      </c>
      <c r="M148" s="318">
        <f t="shared" si="94"/>
        <v>0</v>
      </c>
      <c r="N148" s="318">
        <f t="shared" si="129"/>
        <v>0</v>
      </c>
      <c r="O148" s="318">
        <f t="shared" si="130"/>
        <v>0</v>
      </c>
      <c r="P148" s="318">
        <f t="shared" si="95"/>
        <v>0</v>
      </c>
      <c r="Q148" s="318">
        <f t="shared" si="96"/>
        <v>0</v>
      </c>
      <c r="R148" s="318">
        <f t="shared" si="97"/>
        <v>0</v>
      </c>
      <c r="S148" s="318">
        <f t="shared" si="98"/>
        <v>0</v>
      </c>
      <c r="T148" s="318">
        <f t="shared" ca="1" si="131"/>
        <v>0</v>
      </c>
      <c r="U148" s="318">
        <f t="shared" si="132"/>
        <v>0</v>
      </c>
      <c r="V148" s="318">
        <f t="shared" si="99"/>
        <v>0</v>
      </c>
      <c r="W148" s="318">
        <f t="shared" si="100"/>
        <v>0</v>
      </c>
      <c r="X148" s="318">
        <f t="shared" si="101"/>
        <v>0</v>
      </c>
      <c r="Y148" s="318">
        <f t="shared" si="102"/>
        <v>0</v>
      </c>
      <c r="Z148" s="318">
        <f t="shared" si="103"/>
        <v>0</v>
      </c>
      <c r="AA148" s="318">
        <f t="shared" si="104"/>
        <v>0</v>
      </c>
      <c r="AB148" s="318">
        <f t="shared" si="105"/>
        <v>0</v>
      </c>
      <c r="AC148" s="318">
        <f t="shared" si="106"/>
        <v>0</v>
      </c>
      <c r="AD148" s="318">
        <f t="shared" si="107"/>
        <v>0</v>
      </c>
      <c r="AE148" s="318">
        <f t="shared" si="108"/>
        <v>0</v>
      </c>
      <c r="AF148" s="318">
        <f t="shared" si="133"/>
        <v>0</v>
      </c>
      <c r="AG148" s="318">
        <f t="shared" si="134"/>
        <v>0</v>
      </c>
      <c r="AH148" s="318">
        <f t="shared" si="109"/>
        <v>0</v>
      </c>
      <c r="AI148" s="318">
        <f t="shared" si="110"/>
        <v>0</v>
      </c>
      <c r="AJ148" s="318">
        <f t="shared" si="111"/>
        <v>0</v>
      </c>
      <c r="AK148" s="318">
        <f t="shared" si="112"/>
        <v>0</v>
      </c>
      <c r="AL148" s="318">
        <f t="shared" si="113"/>
        <v>0</v>
      </c>
      <c r="AM148" s="318">
        <f t="shared" si="114"/>
        <v>0</v>
      </c>
      <c r="AN148" s="318">
        <f t="shared" si="115"/>
        <v>0</v>
      </c>
      <c r="AO148" s="318">
        <f t="shared" si="116"/>
        <v>0</v>
      </c>
      <c r="AP148" s="318">
        <f t="shared" si="117"/>
        <v>0</v>
      </c>
      <c r="AQ148" s="318">
        <f t="shared" ca="1" si="118"/>
        <v>0</v>
      </c>
      <c r="AR148" s="318">
        <f t="shared" si="119"/>
        <v>0</v>
      </c>
      <c r="AS148" s="318">
        <f t="shared" si="120"/>
        <v>0</v>
      </c>
      <c r="AT148" s="318">
        <f t="shared" si="121"/>
        <v>0</v>
      </c>
      <c r="AU148" s="318">
        <f t="shared" si="122"/>
        <v>0</v>
      </c>
      <c r="AV148" s="318">
        <f t="shared" si="123"/>
        <v>0</v>
      </c>
      <c r="AW148" s="318">
        <f t="shared" si="124"/>
        <v>0</v>
      </c>
      <c r="AX148" s="318">
        <f t="shared" si="125"/>
        <v>0</v>
      </c>
      <c r="AY148" s="318">
        <f t="shared" si="126"/>
        <v>0</v>
      </c>
      <c r="AZ148" s="318">
        <f t="shared" si="127"/>
        <v>0</v>
      </c>
      <c r="BA148" s="318">
        <f t="shared" si="128"/>
        <v>0</v>
      </c>
    </row>
    <row r="149" spans="1:53" s="315" customFormat="1" ht="15" customHeight="1">
      <c r="A149" s="63">
        <f t="array" aca="1" ref="A149" ca="1">IF(C149&lt;&gt;0,SUM(($C$11:C149&lt;&gt;0)*1),"")</f>
        <v>3</v>
      </c>
      <c r="B149" s="279">
        <v>42185</v>
      </c>
      <c r="C149" s="319" t="s">
        <v>115</v>
      </c>
      <c r="D149" s="319">
        <f t="shared" si="136"/>
        <v>42185</v>
      </c>
      <c r="E149" s="320" t="s">
        <v>117</v>
      </c>
      <c r="F149" s="86">
        <f ca="1">AR155</f>
        <v>0</v>
      </c>
      <c r="G149" s="321" t="s">
        <v>109</v>
      </c>
      <c r="H149" s="321" t="s">
        <v>101</v>
      </c>
      <c r="I149" s="63">
        <f t="shared" ca="1" si="135"/>
        <v>3</v>
      </c>
      <c r="J149" s="318">
        <f t="shared" si="91"/>
        <v>0</v>
      </c>
      <c r="K149" s="318">
        <f t="shared" si="92"/>
        <v>0</v>
      </c>
      <c r="L149" s="318">
        <f t="shared" si="93"/>
        <v>0</v>
      </c>
      <c r="M149" s="318">
        <f t="shared" si="94"/>
        <v>0</v>
      </c>
      <c r="N149" s="318">
        <f t="shared" si="129"/>
        <v>0</v>
      </c>
      <c r="O149" s="318">
        <f t="shared" si="130"/>
        <v>0</v>
      </c>
      <c r="P149" s="318">
        <f t="shared" si="95"/>
        <v>0</v>
      </c>
      <c r="Q149" s="318">
        <f t="shared" si="96"/>
        <v>0</v>
      </c>
      <c r="R149" s="318">
        <f t="shared" si="97"/>
        <v>0</v>
      </c>
      <c r="S149" s="318">
        <f t="shared" si="98"/>
        <v>0</v>
      </c>
      <c r="T149" s="318">
        <f t="shared" si="131"/>
        <v>0</v>
      </c>
      <c r="U149" s="318">
        <f t="shared" si="132"/>
        <v>0</v>
      </c>
      <c r="V149" s="318">
        <f t="shared" si="99"/>
        <v>0</v>
      </c>
      <c r="W149" s="318">
        <f t="shared" si="100"/>
        <v>0</v>
      </c>
      <c r="X149" s="318">
        <f t="shared" si="101"/>
        <v>0</v>
      </c>
      <c r="Y149" s="318">
        <f t="shared" si="102"/>
        <v>0</v>
      </c>
      <c r="Z149" s="318">
        <f t="shared" si="103"/>
        <v>0</v>
      </c>
      <c r="AA149" s="318">
        <f t="shared" si="104"/>
        <v>0</v>
      </c>
      <c r="AB149" s="318">
        <f t="shared" si="105"/>
        <v>0</v>
      </c>
      <c r="AC149" s="318">
        <f t="shared" si="106"/>
        <v>0</v>
      </c>
      <c r="AD149" s="318">
        <f t="shared" si="107"/>
        <v>0</v>
      </c>
      <c r="AE149" s="318">
        <f t="shared" si="108"/>
        <v>0</v>
      </c>
      <c r="AF149" s="318">
        <f t="shared" si="133"/>
        <v>0</v>
      </c>
      <c r="AG149" s="318">
        <f t="shared" si="134"/>
        <v>0</v>
      </c>
      <c r="AH149" s="318">
        <f t="shared" si="109"/>
        <v>0</v>
      </c>
      <c r="AI149" s="318">
        <f t="shared" si="110"/>
        <v>0</v>
      </c>
      <c r="AJ149" s="318">
        <f t="shared" si="111"/>
        <v>0</v>
      </c>
      <c r="AK149" s="318">
        <f t="shared" si="112"/>
        <v>0</v>
      </c>
      <c r="AL149" s="318">
        <f t="shared" si="113"/>
        <v>0</v>
      </c>
      <c r="AM149" s="318">
        <f t="shared" si="114"/>
        <v>0</v>
      </c>
      <c r="AN149" s="318">
        <f t="shared" si="115"/>
        <v>0</v>
      </c>
      <c r="AO149" s="318">
        <f t="shared" si="116"/>
        <v>0</v>
      </c>
      <c r="AP149" s="318">
        <f t="shared" si="117"/>
        <v>0</v>
      </c>
      <c r="AQ149" s="318">
        <f t="shared" si="118"/>
        <v>0</v>
      </c>
      <c r="AR149" s="318">
        <f t="shared" si="119"/>
        <v>0</v>
      </c>
      <c r="AS149" s="318">
        <f t="shared" ca="1" si="120"/>
        <v>0</v>
      </c>
      <c r="AT149" s="318">
        <f t="shared" si="121"/>
        <v>0</v>
      </c>
      <c r="AU149" s="318">
        <f t="shared" si="122"/>
        <v>0</v>
      </c>
      <c r="AV149" s="318">
        <f t="shared" si="123"/>
        <v>0</v>
      </c>
      <c r="AW149" s="318">
        <f t="shared" si="124"/>
        <v>0</v>
      </c>
      <c r="AX149" s="318">
        <f t="shared" si="125"/>
        <v>0</v>
      </c>
      <c r="AY149" s="318">
        <f t="shared" si="126"/>
        <v>0</v>
      </c>
      <c r="AZ149" s="318">
        <f t="shared" ca="1" si="127"/>
        <v>0</v>
      </c>
      <c r="BA149" s="318">
        <f t="shared" si="128"/>
        <v>0</v>
      </c>
    </row>
    <row r="150" spans="1:53" s="315" customFormat="1" ht="15" customHeight="1">
      <c r="A150" s="63">
        <f t="array" aca="1" ref="A150" ca="1">IF(C150&lt;&gt;0,SUM(($C$11:C150&lt;&gt;0)*1),"")</f>
        <v>4</v>
      </c>
      <c r="B150" s="279">
        <v>42185</v>
      </c>
      <c r="C150" s="319" t="s">
        <v>115</v>
      </c>
      <c r="D150" s="319">
        <f t="shared" si="136"/>
        <v>42185</v>
      </c>
      <c r="E150" s="320" t="s">
        <v>228</v>
      </c>
      <c r="F150" s="86">
        <v>41705364</v>
      </c>
      <c r="G150" s="321" t="s">
        <v>94</v>
      </c>
      <c r="H150" s="321" t="s">
        <v>109</v>
      </c>
      <c r="I150" s="63">
        <f t="shared" ca="1" si="135"/>
        <v>4</v>
      </c>
      <c r="J150" s="318">
        <f t="shared" si="91"/>
        <v>0</v>
      </c>
      <c r="K150" s="318">
        <f t="shared" si="92"/>
        <v>0</v>
      </c>
      <c r="L150" s="318">
        <f t="shared" si="93"/>
        <v>0</v>
      </c>
      <c r="M150" s="318">
        <f t="shared" si="94"/>
        <v>0</v>
      </c>
      <c r="N150" s="318">
        <f t="shared" si="129"/>
        <v>0</v>
      </c>
      <c r="O150" s="318">
        <f t="shared" si="130"/>
        <v>0</v>
      </c>
      <c r="P150" s="318">
        <f t="shared" si="95"/>
        <v>0</v>
      </c>
      <c r="Q150" s="318">
        <f t="shared" si="96"/>
        <v>0</v>
      </c>
      <c r="R150" s="318">
        <f t="shared" si="97"/>
        <v>0</v>
      </c>
      <c r="S150" s="318">
        <f t="shared" si="98"/>
        <v>0</v>
      </c>
      <c r="T150" s="318">
        <f t="shared" si="131"/>
        <v>0</v>
      </c>
      <c r="U150" s="318">
        <f t="shared" si="132"/>
        <v>0</v>
      </c>
      <c r="V150" s="318">
        <f t="shared" si="99"/>
        <v>0</v>
      </c>
      <c r="W150" s="318">
        <f t="shared" si="100"/>
        <v>0</v>
      </c>
      <c r="X150" s="318">
        <f t="shared" si="101"/>
        <v>0</v>
      </c>
      <c r="Y150" s="318">
        <f t="shared" si="102"/>
        <v>0</v>
      </c>
      <c r="Z150" s="318">
        <f t="shared" si="103"/>
        <v>0</v>
      </c>
      <c r="AA150" s="318">
        <f t="shared" si="104"/>
        <v>0</v>
      </c>
      <c r="AB150" s="318">
        <f t="shared" si="105"/>
        <v>0</v>
      </c>
      <c r="AC150" s="318">
        <f t="shared" si="106"/>
        <v>0</v>
      </c>
      <c r="AD150" s="318">
        <f t="shared" si="107"/>
        <v>0</v>
      </c>
      <c r="AE150" s="318">
        <f t="shared" si="108"/>
        <v>0</v>
      </c>
      <c r="AF150" s="318">
        <f t="shared" si="133"/>
        <v>0</v>
      </c>
      <c r="AG150" s="318">
        <f t="shared" si="134"/>
        <v>0</v>
      </c>
      <c r="AH150" s="318">
        <f t="shared" si="109"/>
        <v>0</v>
      </c>
      <c r="AI150" s="318">
        <f t="shared" si="110"/>
        <v>0</v>
      </c>
      <c r="AJ150" s="318">
        <f t="shared" si="111"/>
        <v>0</v>
      </c>
      <c r="AK150" s="318">
        <f t="shared" si="112"/>
        <v>0</v>
      </c>
      <c r="AL150" s="318">
        <f t="shared" si="113"/>
        <v>41705364</v>
      </c>
      <c r="AM150" s="318">
        <f t="shared" si="114"/>
        <v>0</v>
      </c>
      <c r="AN150" s="318">
        <f t="shared" si="115"/>
        <v>0</v>
      </c>
      <c r="AO150" s="318">
        <f t="shared" si="116"/>
        <v>0</v>
      </c>
      <c r="AP150" s="318">
        <f t="shared" si="117"/>
        <v>0</v>
      </c>
      <c r="AQ150" s="318">
        <f t="shared" si="118"/>
        <v>0</v>
      </c>
      <c r="AR150" s="318">
        <f t="shared" si="119"/>
        <v>0</v>
      </c>
      <c r="AS150" s="318">
        <f t="shared" si="120"/>
        <v>0</v>
      </c>
      <c r="AT150" s="318">
        <f t="shared" si="121"/>
        <v>0</v>
      </c>
      <c r="AU150" s="318">
        <f t="shared" si="122"/>
        <v>0</v>
      </c>
      <c r="AV150" s="318">
        <f t="shared" si="123"/>
        <v>0</v>
      </c>
      <c r="AW150" s="318">
        <f t="shared" si="124"/>
        <v>0</v>
      </c>
      <c r="AX150" s="318">
        <f t="shared" si="125"/>
        <v>0</v>
      </c>
      <c r="AY150" s="318">
        <f t="shared" si="126"/>
        <v>0</v>
      </c>
      <c r="AZ150" s="318">
        <f t="shared" si="127"/>
        <v>0</v>
      </c>
      <c r="BA150" s="318">
        <f t="shared" si="128"/>
        <v>41705364</v>
      </c>
    </row>
    <row r="151" spans="1:53" s="315" customFormat="1" ht="15" customHeight="1">
      <c r="A151" s="63">
        <f t="array" aca="1" ref="A151" ca="1">IF(C151&lt;&gt;0,SUM(($C$11:C151&lt;&gt;0)*1),"")</f>
        <v>5</v>
      </c>
      <c r="B151" s="279">
        <v>42185</v>
      </c>
      <c r="C151" s="319" t="s">
        <v>115</v>
      </c>
      <c r="D151" s="319">
        <f t="shared" si="136"/>
        <v>42185</v>
      </c>
      <c r="E151" s="320" t="s">
        <v>119</v>
      </c>
      <c r="F151" s="86">
        <f ca="1">AO155</f>
        <v>0</v>
      </c>
      <c r="G151" s="321" t="s">
        <v>43</v>
      </c>
      <c r="H151" s="321" t="s">
        <v>109</v>
      </c>
      <c r="I151" s="63">
        <f t="shared" ca="1" si="135"/>
        <v>5</v>
      </c>
      <c r="J151" s="318">
        <f t="shared" si="91"/>
        <v>0</v>
      </c>
      <c r="K151" s="318">
        <f t="shared" si="92"/>
        <v>0</v>
      </c>
      <c r="L151" s="318">
        <f t="shared" si="93"/>
        <v>0</v>
      </c>
      <c r="M151" s="318">
        <f t="shared" si="94"/>
        <v>0</v>
      </c>
      <c r="N151" s="318">
        <f t="shared" si="129"/>
        <v>0</v>
      </c>
      <c r="O151" s="318">
        <f t="shared" si="130"/>
        <v>0</v>
      </c>
      <c r="P151" s="318">
        <f t="shared" si="95"/>
        <v>0</v>
      </c>
      <c r="Q151" s="318">
        <f t="shared" si="96"/>
        <v>0</v>
      </c>
      <c r="R151" s="318">
        <f t="shared" si="97"/>
        <v>0</v>
      </c>
      <c r="S151" s="318">
        <f t="shared" si="98"/>
        <v>0</v>
      </c>
      <c r="T151" s="318">
        <f t="shared" si="131"/>
        <v>0</v>
      </c>
      <c r="U151" s="318">
        <f t="shared" si="132"/>
        <v>0</v>
      </c>
      <c r="V151" s="318">
        <f t="shared" si="99"/>
        <v>0</v>
      </c>
      <c r="W151" s="318">
        <f t="shared" si="100"/>
        <v>0</v>
      </c>
      <c r="X151" s="318">
        <f t="shared" si="101"/>
        <v>0</v>
      </c>
      <c r="Y151" s="318">
        <f t="shared" si="102"/>
        <v>0</v>
      </c>
      <c r="Z151" s="318">
        <f t="shared" si="103"/>
        <v>0</v>
      </c>
      <c r="AA151" s="318">
        <f t="shared" si="104"/>
        <v>0</v>
      </c>
      <c r="AB151" s="318">
        <f t="shared" si="105"/>
        <v>0</v>
      </c>
      <c r="AC151" s="318">
        <f t="shared" si="106"/>
        <v>0</v>
      </c>
      <c r="AD151" s="318">
        <f t="shared" si="107"/>
        <v>0</v>
      </c>
      <c r="AE151" s="318">
        <f t="shared" si="108"/>
        <v>0</v>
      </c>
      <c r="AF151" s="318">
        <f t="shared" si="133"/>
        <v>0</v>
      </c>
      <c r="AG151" s="318">
        <f t="shared" si="134"/>
        <v>0</v>
      </c>
      <c r="AH151" s="318">
        <f t="shared" si="109"/>
        <v>0</v>
      </c>
      <c r="AI151" s="318">
        <f t="shared" si="110"/>
        <v>0</v>
      </c>
      <c r="AJ151" s="318">
        <f t="shared" si="111"/>
        <v>0</v>
      </c>
      <c r="AK151" s="318">
        <f t="shared" si="112"/>
        <v>0</v>
      </c>
      <c r="AL151" s="318">
        <f t="shared" si="113"/>
        <v>0</v>
      </c>
      <c r="AM151" s="318">
        <f t="shared" si="114"/>
        <v>0</v>
      </c>
      <c r="AN151" s="318">
        <f t="shared" ca="1" si="115"/>
        <v>0</v>
      </c>
      <c r="AO151" s="318">
        <f t="shared" si="116"/>
        <v>0</v>
      </c>
      <c r="AP151" s="318">
        <f t="shared" si="117"/>
        <v>0</v>
      </c>
      <c r="AQ151" s="318">
        <f t="shared" si="118"/>
        <v>0</v>
      </c>
      <c r="AR151" s="318">
        <f t="shared" si="119"/>
        <v>0</v>
      </c>
      <c r="AS151" s="318">
        <f t="shared" si="120"/>
        <v>0</v>
      </c>
      <c r="AT151" s="318">
        <f t="shared" si="121"/>
        <v>0</v>
      </c>
      <c r="AU151" s="318">
        <f t="shared" si="122"/>
        <v>0</v>
      </c>
      <c r="AV151" s="318">
        <f t="shared" si="123"/>
        <v>0</v>
      </c>
      <c r="AW151" s="318">
        <f t="shared" si="124"/>
        <v>0</v>
      </c>
      <c r="AX151" s="318">
        <f t="shared" si="125"/>
        <v>0</v>
      </c>
      <c r="AY151" s="318">
        <f t="shared" si="126"/>
        <v>0</v>
      </c>
      <c r="AZ151" s="318">
        <f t="shared" si="127"/>
        <v>0</v>
      </c>
      <c r="BA151" s="318">
        <f t="shared" ca="1" si="128"/>
        <v>0</v>
      </c>
    </row>
    <row r="152" spans="1:53" s="315" customFormat="1" ht="15" customHeight="1">
      <c r="A152" s="63">
        <f t="array" aca="1" ref="A152" ca="1">IF(C152&lt;&gt;0,SUM(($C$11:C152&lt;&gt;0)*1),"")</f>
        <v>6</v>
      </c>
      <c r="B152" s="279">
        <v>42185</v>
      </c>
      <c r="C152" s="319" t="s">
        <v>115</v>
      </c>
      <c r="D152" s="319">
        <f t="shared" si="136"/>
        <v>42185</v>
      </c>
      <c r="E152" s="320" t="s">
        <v>120</v>
      </c>
      <c r="F152" s="86">
        <f ca="1">AU155</f>
        <v>0</v>
      </c>
      <c r="G152" s="321" t="s">
        <v>103</v>
      </c>
      <c r="H152" s="321" t="s">
        <v>109</v>
      </c>
      <c r="I152" s="63">
        <f t="shared" ca="1" si="135"/>
        <v>6</v>
      </c>
      <c r="J152" s="318">
        <f t="shared" si="91"/>
        <v>0</v>
      </c>
      <c r="K152" s="318">
        <f t="shared" si="92"/>
        <v>0</v>
      </c>
      <c r="L152" s="318">
        <f t="shared" si="93"/>
        <v>0</v>
      </c>
      <c r="M152" s="318">
        <f t="shared" si="94"/>
        <v>0</v>
      </c>
      <c r="N152" s="318">
        <f t="shared" si="129"/>
        <v>0</v>
      </c>
      <c r="O152" s="318">
        <f t="shared" si="130"/>
        <v>0</v>
      </c>
      <c r="P152" s="318">
        <f t="shared" si="95"/>
        <v>0</v>
      </c>
      <c r="Q152" s="318">
        <f t="shared" si="96"/>
        <v>0</v>
      </c>
      <c r="R152" s="318">
        <f t="shared" si="97"/>
        <v>0</v>
      </c>
      <c r="S152" s="318">
        <f t="shared" si="98"/>
        <v>0</v>
      </c>
      <c r="T152" s="318">
        <f t="shared" si="131"/>
        <v>0</v>
      </c>
      <c r="U152" s="318">
        <f t="shared" si="132"/>
        <v>0</v>
      </c>
      <c r="V152" s="318">
        <f t="shared" si="99"/>
        <v>0</v>
      </c>
      <c r="W152" s="318">
        <f t="shared" si="100"/>
        <v>0</v>
      </c>
      <c r="X152" s="318">
        <f t="shared" si="101"/>
        <v>0</v>
      </c>
      <c r="Y152" s="318">
        <f t="shared" si="102"/>
        <v>0</v>
      </c>
      <c r="Z152" s="318">
        <f t="shared" si="103"/>
        <v>0</v>
      </c>
      <c r="AA152" s="318">
        <f t="shared" si="104"/>
        <v>0</v>
      </c>
      <c r="AB152" s="318">
        <f t="shared" si="105"/>
        <v>0</v>
      </c>
      <c r="AC152" s="318">
        <f t="shared" si="106"/>
        <v>0</v>
      </c>
      <c r="AD152" s="318">
        <f t="shared" si="107"/>
        <v>0</v>
      </c>
      <c r="AE152" s="318">
        <f t="shared" si="108"/>
        <v>0</v>
      </c>
      <c r="AF152" s="318">
        <f t="shared" si="133"/>
        <v>0</v>
      </c>
      <c r="AG152" s="318">
        <f t="shared" si="134"/>
        <v>0</v>
      </c>
      <c r="AH152" s="318">
        <f t="shared" si="109"/>
        <v>0</v>
      </c>
      <c r="AI152" s="318">
        <f t="shared" si="110"/>
        <v>0</v>
      </c>
      <c r="AJ152" s="318">
        <f t="shared" si="111"/>
        <v>0</v>
      </c>
      <c r="AK152" s="318">
        <f t="shared" si="112"/>
        <v>0</v>
      </c>
      <c r="AL152" s="318">
        <f t="shared" si="113"/>
        <v>0</v>
      </c>
      <c r="AM152" s="318">
        <f t="shared" si="114"/>
        <v>0</v>
      </c>
      <c r="AN152" s="318">
        <f t="shared" si="115"/>
        <v>0</v>
      </c>
      <c r="AO152" s="318">
        <f t="shared" si="116"/>
        <v>0</v>
      </c>
      <c r="AP152" s="318">
        <f t="shared" si="117"/>
        <v>0</v>
      </c>
      <c r="AQ152" s="318">
        <f t="shared" si="118"/>
        <v>0</v>
      </c>
      <c r="AR152" s="318">
        <f t="shared" si="119"/>
        <v>0</v>
      </c>
      <c r="AS152" s="318">
        <f t="shared" si="120"/>
        <v>0</v>
      </c>
      <c r="AT152" s="318">
        <f t="shared" ca="1" si="121"/>
        <v>0</v>
      </c>
      <c r="AU152" s="318">
        <f t="shared" si="122"/>
        <v>0</v>
      </c>
      <c r="AV152" s="318">
        <f t="shared" si="123"/>
        <v>0</v>
      </c>
      <c r="AW152" s="318">
        <f t="shared" si="124"/>
        <v>0</v>
      </c>
      <c r="AX152" s="318">
        <f t="shared" si="125"/>
        <v>0</v>
      </c>
      <c r="AY152" s="318">
        <f t="shared" si="126"/>
        <v>0</v>
      </c>
      <c r="AZ152" s="318">
        <f t="shared" si="127"/>
        <v>0</v>
      </c>
      <c r="BA152" s="318">
        <f t="shared" ca="1" si="128"/>
        <v>0</v>
      </c>
    </row>
    <row r="153" spans="1:53" s="315" customFormat="1" ht="15" customHeight="1">
      <c r="A153" s="63">
        <f t="array" aca="1" ref="A153" ca="1">IF(C153&lt;&gt;0,SUM(($C$11:C153&lt;&gt;0)*1),"")</f>
        <v>7</v>
      </c>
      <c r="B153" s="279">
        <v>42185</v>
      </c>
      <c r="C153" s="319" t="s">
        <v>115</v>
      </c>
      <c r="D153" s="319">
        <f t="shared" si="136"/>
        <v>42185</v>
      </c>
      <c r="E153" s="320" t="s">
        <v>121</v>
      </c>
      <c r="F153" s="86">
        <f ca="1">AV155</f>
        <v>0</v>
      </c>
      <c r="G153" s="321" t="s">
        <v>109</v>
      </c>
      <c r="H153" s="321" t="s">
        <v>105</v>
      </c>
      <c r="I153" s="63">
        <f t="shared" ca="1" si="135"/>
        <v>7</v>
      </c>
      <c r="J153" s="318">
        <f t="shared" si="91"/>
        <v>0</v>
      </c>
      <c r="K153" s="318">
        <f t="shared" si="92"/>
        <v>0</v>
      </c>
      <c r="L153" s="318">
        <f t="shared" si="93"/>
        <v>0</v>
      </c>
      <c r="M153" s="318">
        <f t="shared" si="94"/>
        <v>0</v>
      </c>
      <c r="N153" s="318">
        <f t="shared" si="129"/>
        <v>0</v>
      </c>
      <c r="O153" s="318">
        <f t="shared" si="130"/>
        <v>0</v>
      </c>
      <c r="P153" s="318">
        <f t="shared" si="95"/>
        <v>0</v>
      </c>
      <c r="Q153" s="318">
        <f t="shared" si="96"/>
        <v>0</v>
      </c>
      <c r="R153" s="318">
        <f t="shared" si="97"/>
        <v>0</v>
      </c>
      <c r="S153" s="318">
        <f t="shared" si="98"/>
        <v>0</v>
      </c>
      <c r="T153" s="318">
        <f t="shared" si="131"/>
        <v>0</v>
      </c>
      <c r="U153" s="318">
        <f t="shared" si="132"/>
        <v>0</v>
      </c>
      <c r="V153" s="318">
        <f t="shared" si="99"/>
        <v>0</v>
      </c>
      <c r="W153" s="318">
        <f t="shared" si="100"/>
        <v>0</v>
      </c>
      <c r="X153" s="318">
        <f t="shared" si="101"/>
        <v>0</v>
      </c>
      <c r="Y153" s="318">
        <f t="shared" si="102"/>
        <v>0</v>
      </c>
      <c r="Z153" s="318">
        <f t="shared" si="103"/>
        <v>0</v>
      </c>
      <c r="AA153" s="318">
        <f t="shared" si="104"/>
        <v>0</v>
      </c>
      <c r="AB153" s="318">
        <f t="shared" si="105"/>
        <v>0</v>
      </c>
      <c r="AC153" s="318">
        <f t="shared" si="106"/>
        <v>0</v>
      </c>
      <c r="AD153" s="318">
        <f t="shared" si="107"/>
        <v>0</v>
      </c>
      <c r="AE153" s="318">
        <f t="shared" si="108"/>
        <v>0</v>
      </c>
      <c r="AF153" s="318">
        <f t="shared" si="133"/>
        <v>0</v>
      </c>
      <c r="AG153" s="318">
        <f t="shared" si="134"/>
        <v>0</v>
      </c>
      <c r="AH153" s="318">
        <f t="shared" si="109"/>
        <v>0</v>
      </c>
      <c r="AI153" s="318">
        <f t="shared" si="110"/>
        <v>0</v>
      </c>
      <c r="AJ153" s="318">
        <f t="shared" si="111"/>
        <v>0</v>
      </c>
      <c r="AK153" s="318">
        <f t="shared" si="112"/>
        <v>0</v>
      </c>
      <c r="AL153" s="318">
        <f t="shared" si="113"/>
        <v>0</v>
      </c>
      <c r="AM153" s="318">
        <f t="shared" si="114"/>
        <v>0</v>
      </c>
      <c r="AN153" s="318">
        <f t="shared" si="115"/>
        <v>0</v>
      </c>
      <c r="AO153" s="318">
        <f t="shared" si="116"/>
        <v>0</v>
      </c>
      <c r="AP153" s="318">
        <f t="shared" si="117"/>
        <v>0</v>
      </c>
      <c r="AQ153" s="318">
        <f t="shared" si="118"/>
        <v>0</v>
      </c>
      <c r="AR153" s="318">
        <f t="shared" si="119"/>
        <v>0</v>
      </c>
      <c r="AS153" s="318">
        <f t="shared" si="120"/>
        <v>0</v>
      </c>
      <c r="AT153" s="318">
        <f t="shared" si="121"/>
        <v>0</v>
      </c>
      <c r="AU153" s="318">
        <f t="shared" si="122"/>
        <v>0</v>
      </c>
      <c r="AV153" s="318">
        <f t="shared" si="123"/>
        <v>0</v>
      </c>
      <c r="AW153" s="318">
        <f t="shared" ca="1" si="124"/>
        <v>0</v>
      </c>
      <c r="AX153" s="318">
        <f t="shared" si="125"/>
        <v>0</v>
      </c>
      <c r="AY153" s="318">
        <f t="shared" si="126"/>
        <v>0</v>
      </c>
      <c r="AZ153" s="318">
        <f t="shared" ca="1" si="127"/>
        <v>0</v>
      </c>
      <c r="BA153" s="318">
        <f t="shared" si="128"/>
        <v>0</v>
      </c>
    </row>
    <row r="154" spans="1:53" s="315" customFormat="1" ht="15" customHeight="1">
      <c r="A154" s="63" t="str">
        <f t="array" ref="A154">IF(C154&lt;&gt;0,SUM(($C$11:C154&lt;&gt;0)*1),"")</f>
        <v/>
      </c>
      <c r="B154" s="279"/>
      <c r="C154" s="322"/>
      <c r="D154" s="279"/>
      <c r="E154" s="317"/>
      <c r="F154" s="65"/>
      <c r="G154" s="323"/>
      <c r="H154" s="323"/>
      <c r="I154" s="63" t="str">
        <f>A154</f>
        <v/>
      </c>
      <c r="J154" s="318">
        <f t="shared" si="91"/>
        <v>0</v>
      </c>
      <c r="K154" s="318">
        <f t="shared" si="92"/>
        <v>0</v>
      </c>
      <c r="L154" s="318">
        <f t="shared" si="93"/>
        <v>0</v>
      </c>
      <c r="M154" s="318">
        <f t="shared" si="94"/>
        <v>0</v>
      </c>
      <c r="N154" s="318">
        <f t="shared" si="129"/>
        <v>0</v>
      </c>
      <c r="O154" s="318">
        <f t="shared" si="130"/>
        <v>0</v>
      </c>
      <c r="P154" s="318">
        <f t="shared" si="95"/>
        <v>0</v>
      </c>
      <c r="Q154" s="318">
        <f t="shared" si="96"/>
        <v>0</v>
      </c>
      <c r="R154" s="318">
        <f t="shared" si="97"/>
        <v>0</v>
      </c>
      <c r="S154" s="318">
        <f t="shared" si="98"/>
        <v>0</v>
      </c>
      <c r="T154" s="318">
        <f t="shared" si="131"/>
        <v>0</v>
      </c>
      <c r="U154" s="318">
        <f t="shared" si="132"/>
        <v>0</v>
      </c>
      <c r="V154" s="318">
        <f t="shared" si="99"/>
        <v>0</v>
      </c>
      <c r="W154" s="318">
        <f t="shared" si="100"/>
        <v>0</v>
      </c>
      <c r="X154" s="318">
        <f t="shared" si="101"/>
        <v>0</v>
      </c>
      <c r="Y154" s="318">
        <f t="shared" si="102"/>
        <v>0</v>
      </c>
      <c r="Z154" s="318">
        <f t="shared" si="103"/>
        <v>0</v>
      </c>
      <c r="AA154" s="318">
        <f t="shared" si="104"/>
        <v>0</v>
      </c>
      <c r="AB154" s="318">
        <f t="shared" si="105"/>
        <v>0</v>
      </c>
      <c r="AC154" s="318">
        <f t="shared" si="106"/>
        <v>0</v>
      </c>
      <c r="AD154" s="318">
        <f t="shared" si="107"/>
        <v>0</v>
      </c>
      <c r="AE154" s="318">
        <f t="shared" si="108"/>
        <v>0</v>
      </c>
      <c r="AF154" s="318">
        <f t="shared" si="133"/>
        <v>0</v>
      </c>
      <c r="AG154" s="318">
        <f t="shared" si="134"/>
        <v>0</v>
      </c>
      <c r="AH154" s="318">
        <f t="shared" si="109"/>
        <v>0</v>
      </c>
      <c r="AI154" s="318">
        <f t="shared" si="110"/>
        <v>0</v>
      </c>
      <c r="AJ154" s="318">
        <f t="shared" si="111"/>
        <v>0</v>
      </c>
      <c r="AK154" s="318">
        <f t="shared" si="112"/>
        <v>0</v>
      </c>
      <c r="AL154" s="318">
        <f t="shared" si="113"/>
        <v>0</v>
      </c>
      <c r="AM154" s="318">
        <f t="shared" si="114"/>
        <v>0</v>
      </c>
      <c r="AN154" s="318">
        <f t="shared" si="115"/>
        <v>0</v>
      </c>
      <c r="AO154" s="318">
        <f t="shared" si="116"/>
        <v>0</v>
      </c>
      <c r="AP154" s="318">
        <f t="shared" si="117"/>
        <v>0</v>
      </c>
      <c r="AQ154" s="318">
        <f t="shared" si="118"/>
        <v>0</v>
      </c>
      <c r="AR154" s="318">
        <f t="shared" si="119"/>
        <v>0</v>
      </c>
      <c r="AS154" s="318">
        <f t="shared" si="120"/>
        <v>0</v>
      </c>
      <c r="AT154" s="318">
        <f t="shared" si="121"/>
        <v>0</v>
      </c>
      <c r="AU154" s="318">
        <f t="shared" si="122"/>
        <v>0</v>
      </c>
      <c r="AV154" s="318">
        <f t="shared" si="123"/>
        <v>0</v>
      </c>
      <c r="AW154" s="318">
        <f t="shared" si="124"/>
        <v>0</v>
      </c>
      <c r="AX154" s="318">
        <f t="shared" si="125"/>
        <v>0</v>
      </c>
      <c r="AY154" s="318">
        <f t="shared" si="126"/>
        <v>0</v>
      </c>
      <c r="AZ154" s="318">
        <f t="shared" si="127"/>
        <v>0</v>
      </c>
      <c r="BA154" s="318">
        <f t="shared" si="128"/>
        <v>0</v>
      </c>
    </row>
    <row r="155" spans="1:53" s="315" customFormat="1" ht="15" customHeight="1">
      <c r="A155" s="324"/>
      <c r="B155" s="324"/>
      <c r="C155" s="324"/>
      <c r="D155" s="324"/>
      <c r="E155" s="317" t="s">
        <v>186</v>
      </c>
      <c r="F155" s="324"/>
      <c r="G155" s="323"/>
      <c r="H155" s="323"/>
      <c r="I155" s="324"/>
      <c r="J155" s="324">
        <f t="shared" ref="J155:BA155" ca="1" si="137">SUM(J11:J154)</f>
        <v>0</v>
      </c>
      <c r="K155" s="324">
        <f t="shared" ca="1" si="137"/>
        <v>0</v>
      </c>
      <c r="L155" s="324">
        <f t="shared" ca="1" si="137"/>
        <v>0</v>
      </c>
      <c r="M155" s="324">
        <f t="shared" ca="1" si="137"/>
        <v>0</v>
      </c>
      <c r="N155" s="324">
        <f ca="1">SUM(N11:N154)</f>
        <v>0</v>
      </c>
      <c r="O155" s="324">
        <f ca="1">SUM(O11:O154)</f>
        <v>0</v>
      </c>
      <c r="P155" s="324">
        <f t="shared" ca="1" si="137"/>
        <v>0</v>
      </c>
      <c r="Q155" s="324">
        <f t="shared" ca="1" si="137"/>
        <v>0</v>
      </c>
      <c r="R155" s="324">
        <f t="shared" ca="1" si="137"/>
        <v>0</v>
      </c>
      <c r="S155" s="324">
        <f t="shared" ca="1" si="137"/>
        <v>0</v>
      </c>
      <c r="T155" s="324">
        <f t="shared" ca="1" si="137"/>
        <v>0</v>
      </c>
      <c r="U155" s="324">
        <f t="shared" ca="1" si="137"/>
        <v>0</v>
      </c>
      <c r="V155" s="324">
        <f t="shared" ca="1" si="137"/>
        <v>0</v>
      </c>
      <c r="W155" s="324">
        <f t="shared" ca="1" si="137"/>
        <v>0</v>
      </c>
      <c r="X155" s="324">
        <f t="shared" ca="1" si="137"/>
        <v>0</v>
      </c>
      <c r="Y155" s="324">
        <f t="shared" ca="1" si="137"/>
        <v>0</v>
      </c>
      <c r="Z155" s="324">
        <f t="shared" ca="1" si="137"/>
        <v>0</v>
      </c>
      <c r="AA155" s="324">
        <f t="shared" ca="1" si="137"/>
        <v>0</v>
      </c>
      <c r="AB155" s="324">
        <f t="shared" ca="1" si="137"/>
        <v>0</v>
      </c>
      <c r="AC155" s="324">
        <f t="shared" ca="1" si="137"/>
        <v>0</v>
      </c>
      <c r="AD155" s="324">
        <f t="shared" ca="1" si="137"/>
        <v>0</v>
      </c>
      <c r="AE155" s="324">
        <f t="shared" ca="1" si="137"/>
        <v>0</v>
      </c>
      <c r="AF155" s="324">
        <f ca="1">SUM(AF11:AF154)</f>
        <v>0</v>
      </c>
      <c r="AG155" s="324">
        <f ca="1">SUM(AG11:AG154)</f>
        <v>0</v>
      </c>
      <c r="AH155" s="324">
        <f t="shared" ca="1" si="137"/>
        <v>0</v>
      </c>
      <c r="AI155" s="324">
        <f t="shared" ca="1" si="137"/>
        <v>0</v>
      </c>
      <c r="AJ155" s="324">
        <f t="shared" ca="1" si="137"/>
        <v>0</v>
      </c>
      <c r="AK155" s="324">
        <f t="shared" ca="1" si="137"/>
        <v>0</v>
      </c>
      <c r="AL155" s="324">
        <f t="shared" ca="1" si="137"/>
        <v>41705364</v>
      </c>
      <c r="AM155" s="324">
        <f t="shared" ca="1" si="137"/>
        <v>0</v>
      </c>
      <c r="AN155" s="324">
        <f t="shared" ca="1" si="137"/>
        <v>0</v>
      </c>
      <c r="AO155" s="324">
        <f t="shared" ca="1" si="137"/>
        <v>0</v>
      </c>
      <c r="AP155" s="324">
        <f t="shared" ca="1" si="137"/>
        <v>0</v>
      </c>
      <c r="AQ155" s="324">
        <f t="shared" ca="1" si="137"/>
        <v>0</v>
      </c>
      <c r="AR155" s="324">
        <f t="shared" ca="1" si="137"/>
        <v>0</v>
      </c>
      <c r="AS155" s="324">
        <f t="shared" ca="1" si="137"/>
        <v>0</v>
      </c>
      <c r="AT155" s="324">
        <f t="shared" ca="1" si="137"/>
        <v>0</v>
      </c>
      <c r="AU155" s="324">
        <f t="shared" ca="1" si="137"/>
        <v>0</v>
      </c>
      <c r="AV155" s="324">
        <f t="shared" ca="1" si="137"/>
        <v>0</v>
      </c>
      <c r="AW155" s="324">
        <f t="shared" ca="1" si="137"/>
        <v>0</v>
      </c>
      <c r="AX155" s="324">
        <f t="shared" ca="1" si="137"/>
        <v>0</v>
      </c>
      <c r="AY155" s="324">
        <f t="shared" ca="1" si="137"/>
        <v>0</v>
      </c>
      <c r="AZ155" s="324">
        <f t="shared" ca="1" si="137"/>
        <v>0</v>
      </c>
      <c r="BA155" s="324">
        <f t="shared" ca="1" si="137"/>
        <v>41705364</v>
      </c>
    </row>
    <row r="156" spans="1:53" s="315" customFormat="1" ht="15" customHeight="1">
      <c r="A156" s="325"/>
      <c r="B156" s="325"/>
      <c r="C156" s="325"/>
      <c r="D156" s="325"/>
      <c r="E156" s="326" t="s">
        <v>229</v>
      </c>
      <c r="F156" s="325"/>
      <c r="G156" s="327"/>
      <c r="H156" s="327"/>
      <c r="I156" s="325"/>
      <c r="J156" s="347">
        <f ca="1">MAX(J10+J155-K10-K155,0)</f>
        <v>3705039095</v>
      </c>
      <c r="K156" s="347">
        <f ca="1">MAX(K10+K155-J10-J155,0)</f>
        <v>0</v>
      </c>
      <c r="L156" s="347">
        <f ca="1">MAX(L10+L155-M10-M155,0)</f>
        <v>19829295</v>
      </c>
      <c r="M156" s="347">
        <f ca="1">MAX(M10+M155-L10-L155,0)</f>
        <v>0</v>
      </c>
      <c r="N156" s="347">
        <f ca="1">MAX(N10+N155-O10-O155,0)</f>
        <v>2236796790</v>
      </c>
      <c r="O156" s="347">
        <f ca="1">MAX(O10+O155-N10-N155,0)</f>
        <v>0</v>
      </c>
      <c r="P156" s="347">
        <f ca="1">MAX(P10+P155-Q10-Q155,0)</f>
        <v>162420936</v>
      </c>
      <c r="Q156" s="347">
        <f ca="1">MAX(Q10+Q155-P10-P155,0)</f>
        <v>0</v>
      </c>
      <c r="R156" s="347">
        <f ca="1">MAX(R10+R155-S10-S155,0)</f>
        <v>1500000000</v>
      </c>
      <c r="S156" s="347">
        <f ca="1">MAX(S10+S155-R10-R155,0)</f>
        <v>0</v>
      </c>
      <c r="T156" s="347">
        <f ca="1">MAX(T10+T155-U10-U155,0)</f>
        <v>0</v>
      </c>
      <c r="U156" s="347">
        <f ca="1">MAX(U10+U155-T10-T155,0)</f>
        <v>0</v>
      </c>
      <c r="V156" s="347">
        <f ca="1">MAX(V10+V155-W10-W155,0)</f>
        <v>0</v>
      </c>
      <c r="W156" s="347">
        <f ca="1">MAX(W10+W155-V10-V155,0)</f>
        <v>476953252</v>
      </c>
      <c r="X156" s="347">
        <f ca="1">MAX(X10+X155-Y10-Y155,0)</f>
        <v>0</v>
      </c>
      <c r="Y156" s="347">
        <f ca="1">MAX(Y10+Y155-X10-X155,0)</f>
        <v>3313435</v>
      </c>
      <c r="Z156" s="347">
        <f ca="1">MAX(Z10+Z155-AA10-AA155,0)</f>
        <v>0</v>
      </c>
      <c r="AA156" s="347">
        <f ca="1">MAX(AA10+AA155-Z10-Z155,0)</f>
        <v>0</v>
      </c>
      <c r="AB156" s="347">
        <f ca="1">MAX(AB10+AB155-AC10-AC155,0)</f>
        <v>0</v>
      </c>
      <c r="AC156" s="347">
        <f ca="1">MAX(AC10+AC155-AB10-AB155,0)</f>
        <v>0</v>
      </c>
      <c r="AD156" s="347">
        <f ca="1">MAX(AD10+AD155-AE10-AE155,0)</f>
        <v>0</v>
      </c>
      <c r="AE156" s="347">
        <f ca="1">MAX(AE10+AE155-AD10-AD155,0)</f>
        <v>2169121879</v>
      </c>
      <c r="AF156" s="347">
        <f ca="1">MAX(AF10+AF155-AG10-AG155,0)</f>
        <v>0</v>
      </c>
      <c r="AG156" s="347">
        <f ca="1">MAX(AG10+AG155-AF10-AF155,0)</f>
        <v>21202920500</v>
      </c>
      <c r="AH156" s="347">
        <f ca="1">MAX(AH10+AH155-AI10-AI155,0)</f>
        <v>0</v>
      </c>
      <c r="AI156" s="347">
        <f ca="1">MAX(AI10+AI155-AH10-AH155,0)</f>
        <v>10000000000</v>
      </c>
      <c r="AJ156" s="347">
        <f ca="1">MAX(AJ10+AJ155-AK10-AK155,0)</f>
        <v>0</v>
      </c>
      <c r="AK156" s="347">
        <f ca="1">MAX(AK10+AK155-AJ10-AJ155,0)</f>
        <v>486535137</v>
      </c>
      <c r="AL156" s="347">
        <f ca="1">MAX(AL10+AL155-AM10-AM155,0)</f>
        <v>13985338.999999523</v>
      </c>
      <c r="AM156" s="347">
        <f ca="1">MAX(AM10+AM155-AL10-AL155,0)</f>
        <v>0</v>
      </c>
      <c r="AN156" s="347">
        <f ca="1">MAX(AN10+AN155-AO10-AO155,0)</f>
        <v>0</v>
      </c>
      <c r="AO156" s="347">
        <f ca="1">MAX(AO10+AO155-AN10-AN155,0)</f>
        <v>0</v>
      </c>
      <c r="AP156" s="347">
        <f ca="1">MAX(AP10+AP155-AQ10-AQ155,0)</f>
        <v>0</v>
      </c>
      <c r="AQ156" s="347">
        <f ca="1">MAX(AQ10+AQ155-AP10-AP155,0)</f>
        <v>0</v>
      </c>
      <c r="AR156" s="347">
        <f ca="1">MAX(AR10+AR155-AS10-AS155,0)</f>
        <v>0</v>
      </c>
      <c r="AS156" s="347">
        <f ca="1">MAX(AS10+AS155-AR10-AR155,0)</f>
        <v>0</v>
      </c>
      <c r="AT156" s="347">
        <f ca="1">MAX(AT10+AT155-AU10-AU155,0)</f>
        <v>0</v>
      </c>
      <c r="AU156" s="347">
        <f ca="1">MAX(AU10+AU155-AT10-AT155,0)</f>
        <v>0</v>
      </c>
      <c r="AV156" s="347">
        <f ca="1">MAX(AV10+AV155-AW10-AW155,0)</f>
        <v>0</v>
      </c>
      <c r="AW156" s="347">
        <f ca="1">MAX(AW10+AW155-AV10-AV155,0)</f>
        <v>0</v>
      </c>
      <c r="AX156" s="347">
        <f ca="1">MAX(AX10+AX155-AY10-AY155,0)</f>
        <v>0</v>
      </c>
      <c r="AY156" s="347">
        <f ca="1">MAX(AY10+AY155-AX10-AX155,0)</f>
        <v>0</v>
      </c>
      <c r="AZ156" s="347">
        <f ca="1">MAX(AZ10+AZ155-BA10-BA155,0)</f>
        <v>0</v>
      </c>
      <c r="BA156" s="347">
        <f ca="1">MAX(BA10+BA155-AZ10-AZ155,0)</f>
        <v>44146223</v>
      </c>
    </row>
    <row r="157" spans="1:53" s="315" customFormat="1" ht="15" customHeight="1">
      <c r="A157" s="329"/>
      <c r="B157" s="329"/>
      <c r="C157" s="330"/>
      <c r="D157" s="329"/>
      <c r="E157" s="331" t="s">
        <v>230</v>
      </c>
      <c r="F157" s="329"/>
      <c r="G157" s="332"/>
      <c r="H157" s="332"/>
      <c r="I157" s="329"/>
      <c r="J157" s="329">
        <f ca="1">J155+'SC-I'!J76</f>
        <v>0</v>
      </c>
      <c r="K157" s="329">
        <f ca="1">K155+'SC-I'!K76</f>
        <v>0</v>
      </c>
      <c r="L157" s="329">
        <f ca="1">L155+'SC-I'!L76</f>
        <v>0</v>
      </c>
      <c r="M157" s="329">
        <f ca="1">M155+'SC-I'!M76</f>
        <v>0</v>
      </c>
      <c r="N157" s="329">
        <f ca="1">N155+'SC-I'!N76</f>
        <v>0</v>
      </c>
      <c r="O157" s="329">
        <f ca="1">O155+'SC-I'!O76</f>
        <v>0</v>
      </c>
      <c r="P157" s="329">
        <f ca="1">P155+'SC-I'!P76</f>
        <v>0</v>
      </c>
      <c r="Q157" s="329">
        <f ca="1">Q155+'SC-I'!Q76</f>
        <v>0</v>
      </c>
      <c r="R157" s="329">
        <f ca="1">R155+'SC-I'!R76</f>
        <v>0</v>
      </c>
      <c r="S157" s="329">
        <f ca="1">S155+'SC-I'!S76</f>
        <v>0</v>
      </c>
      <c r="T157" s="329">
        <f ca="1">T155+'SC-I'!T76</f>
        <v>0</v>
      </c>
      <c r="U157" s="329">
        <f ca="1">U155+'SC-I'!U76</f>
        <v>0</v>
      </c>
      <c r="V157" s="329">
        <f ca="1">V155+'SC-I'!V76</f>
        <v>0</v>
      </c>
      <c r="W157" s="329">
        <f ca="1">W155+'SC-I'!W76</f>
        <v>0</v>
      </c>
      <c r="X157" s="329">
        <f ca="1">X155+'SC-I'!X76</f>
        <v>0</v>
      </c>
      <c r="Y157" s="329">
        <f ca="1">Y155+'SC-I'!Y76</f>
        <v>0</v>
      </c>
      <c r="Z157" s="329">
        <f ca="1">Z155+'SC-I'!Z76</f>
        <v>0</v>
      </c>
      <c r="AA157" s="329">
        <f ca="1">AA155+'SC-I'!AA76</f>
        <v>0</v>
      </c>
      <c r="AB157" s="329">
        <f ca="1">AB155+'SC-I'!AB76</f>
        <v>0</v>
      </c>
      <c r="AC157" s="329">
        <f ca="1">AC155+'SC-I'!AC76</f>
        <v>0</v>
      </c>
      <c r="AD157" s="329">
        <f ca="1">AD155+'SC-I'!AD76</f>
        <v>0</v>
      </c>
      <c r="AE157" s="329">
        <f ca="1">AE155+'SC-I'!AE76</f>
        <v>0</v>
      </c>
      <c r="AF157" s="329">
        <f ca="1">AF155+'SC-I'!AF76</f>
        <v>0</v>
      </c>
      <c r="AG157" s="329">
        <f ca="1">AG155+'SC-I'!AG76</f>
        <v>0</v>
      </c>
      <c r="AH157" s="329">
        <f ca="1">AH155+'SC-I'!AH76</f>
        <v>0</v>
      </c>
      <c r="AI157" s="329">
        <f ca="1">AI155+'SC-I'!AI76</f>
        <v>0</v>
      </c>
      <c r="AJ157" s="329">
        <f ca="1">AJ155+'SC-I'!AJ76</f>
        <v>0</v>
      </c>
      <c r="AK157" s="329">
        <f ca="1">AK155+'SC-I'!AK76</f>
        <v>0</v>
      </c>
      <c r="AL157" s="329">
        <f ca="1">AL155+'SC-I'!AL76</f>
        <v>44146223</v>
      </c>
      <c r="AM157" s="329">
        <f ca="1">AM155+'SC-I'!AM76</f>
        <v>0</v>
      </c>
      <c r="AN157" s="329">
        <f ca="1">AN155+'SC-I'!AN76</f>
        <v>0</v>
      </c>
      <c r="AO157" s="329">
        <f ca="1">AO155+'SC-I'!AO76</f>
        <v>0</v>
      </c>
      <c r="AP157" s="329">
        <f ca="1">AP155+'SC-I'!AP76</f>
        <v>0</v>
      </c>
      <c r="AQ157" s="329">
        <f ca="1">AQ155+'SC-I'!AQ76</f>
        <v>0</v>
      </c>
      <c r="AR157" s="329">
        <f ca="1">AR155+'SC-I'!AR76</f>
        <v>0</v>
      </c>
      <c r="AS157" s="329">
        <f ca="1">AS155+'SC-I'!AS76</f>
        <v>0</v>
      </c>
      <c r="AT157" s="329">
        <f ca="1">AT155+'SC-I'!AT76</f>
        <v>0</v>
      </c>
      <c r="AU157" s="329">
        <f ca="1">AU155+'SC-I'!AU76</f>
        <v>0</v>
      </c>
      <c r="AV157" s="329">
        <f ca="1">AV155+'SC-I'!AV76</f>
        <v>0</v>
      </c>
      <c r="AW157" s="329">
        <f ca="1">AW155+'SC-I'!AW76</f>
        <v>0</v>
      </c>
      <c r="AX157" s="329">
        <f ca="1">AX155+'SC-I'!AX76</f>
        <v>0</v>
      </c>
      <c r="AY157" s="329">
        <f ca="1">AY155+'SC-I'!AY76</f>
        <v>0</v>
      </c>
      <c r="AZ157" s="329">
        <f ca="1">AZ155+'SC-I'!AZ76</f>
        <v>0</v>
      </c>
      <c r="BA157" s="329">
        <f ca="1">BA155+'SC-I'!BA76</f>
        <v>44146223</v>
      </c>
    </row>
    <row r="158" spans="1:53" ht="12" customHeight="1">
      <c r="B158" s="334"/>
      <c r="C158" s="335"/>
      <c r="D158" s="335"/>
      <c r="E158" s="335"/>
      <c r="F158" s="335"/>
      <c r="G158" s="336"/>
      <c r="H158" s="336"/>
      <c r="I158" s="335"/>
      <c r="J158" s="335"/>
      <c r="K158" s="335"/>
    </row>
    <row r="159" spans="1:53">
      <c r="M159" s="337"/>
      <c r="O159" s="337"/>
      <c r="Q159" s="337"/>
      <c r="R159" s="337"/>
      <c r="S159" s="337"/>
      <c r="T159" s="337"/>
      <c r="U159" s="337"/>
      <c r="V159" s="337"/>
      <c r="AM159" s="339"/>
      <c r="AN159" s="338" t="s">
        <v>245</v>
      </c>
      <c r="AO159" s="339"/>
      <c r="AP159" s="339"/>
      <c r="AQ159" s="339"/>
      <c r="AR159" s="340"/>
      <c r="AS159" s="340"/>
      <c r="AT159" s="339"/>
    </row>
    <row r="160" spans="1:53">
      <c r="M160" s="337"/>
      <c r="O160" s="337"/>
      <c r="Q160" s="337"/>
      <c r="R160" s="337"/>
      <c r="S160" s="337"/>
      <c r="T160" s="337"/>
      <c r="U160" s="337"/>
      <c r="V160" s="337"/>
      <c r="AM160" s="339"/>
      <c r="AN160" s="341" t="s">
        <v>234</v>
      </c>
      <c r="AO160" s="339"/>
      <c r="AP160" s="339"/>
      <c r="AQ160" s="339"/>
      <c r="AR160" s="340"/>
      <c r="AS160" s="340"/>
      <c r="AT160" s="339"/>
    </row>
    <row r="161" spans="13:52">
      <c r="M161" s="337"/>
      <c r="O161" s="337"/>
      <c r="Q161" s="337"/>
      <c r="R161" s="337"/>
      <c r="S161" s="337"/>
      <c r="T161" s="337"/>
      <c r="U161" s="337"/>
      <c r="V161" s="337"/>
      <c r="AL161" s="339"/>
      <c r="AM161" s="339"/>
      <c r="AN161" s="339"/>
      <c r="AO161" s="339"/>
      <c r="AP161" s="339"/>
      <c r="AQ161" s="339"/>
      <c r="AR161" s="339"/>
      <c r="AS161" s="339"/>
      <c r="AT161" s="340"/>
    </row>
    <row r="162" spans="13:52">
      <c r="M162" s="337"/>
      <c r="O162" s="337"/>
      <c r="Q162" s="337"/>
      <c r="R162" s="337"/>
      <c r="S162" s="337"/>
      <c r="T162" s="337"/>
      <c r="U162" s="337"/>
      <c r="V162" s="337"/>
      <c r="AL162" s="339"/>
      <c r="AM162" s="339"/>
      <c r="AN162" s="339"/>
      <c r="AO162" s="343" t="s">
        <v>11</v>
      </c>
      <c r="AQ162" s="339"/>
      <c r="AR162" s="339"/>
      <c r="AS162" s="339"/>
      <c r="AT162" s="340"/>
      <c r="AZ162" s="342" t="str">
        <f>"Ngày 30 tháng 06 năm 2015 "</f>
        <v xml:space="preserve">Ngày 30 tháng 06 năm 2015 </v>
      </c>
    </row>
    <row r="163" spans="13:52">
      <c r="M163" s="337"/>
      <c r="O163" s="337"/>
      <c r="Q163" s="337"/>
      <c r="R163" s="337"/>
      <c r="S163" s="337"/>
      <c r="T163" s="337"/>
      <c r="U163" s="337"/>
      <c r="V163" s="337"/>
      <c r="AL163" s="339"/>
      <c r="AN163" s="339"/>
      <c r="AO163" s="345" t="s">
        <v>13</v>
      </c>
      <c r="AQ163" s="339"/>
      <c r="AR163" s="339"/>
      <c r="AS163" s="344" t="s">
        <v>12</v>
      </c>
      <c r="AT163" s="340"/>
      <c r="AZ163" s="343" t="s">
        <v>132</v>
      </c>
    </row>
    <row r="164" spans="13:52">
      <c r="M164" s="337"/>
      <c r="O164" s="337"/>
      <c r="Q164" s="337"/>
      <c r="R164" s="337"/>
      <c r="S164" s="337"/>
      <c r="T164" s="337"/>
      <c r="U164" s="337"/>
      <c r="V164" s="337"/>
      <c r="AL164" s="339"/>
      <c r="AN164" s="339"/>
      <c r="AO164" s="339"/>
      <c r="AQ164" s="339"/>
      <c r="AR164" s="339"/>
      <c r="AS164" s="346" t="s">
        <v>13</v>
      </c>
      <c r="AT164" s="340"/>
      <c r="AZ164" s="345" t="s">
        <v>163</v>
      </c>
    </row>
    <row r="165" spans="13:52">
      <c r="M165" s="337"/>
      <c r="O165" s="337"/>
      <c r="Q165" s="337"/>
      <c r="R165" s="337"/>
      <c r="S165" s="337"/>
      <c r="T165" s="337"/>
      <c r="U165" s="337"/>
      <c r="V165" s="337"/>
      <c r="AL165" s="339"/>
      <c r="AN165" s="339"/>
      <c r="AO165" s="339"/>
      <c r="AP165" s="339"/>
      <c r="AQ165" s="339"/>
      <c r="AR165" s="339"/>
      <c r="AS165" s="339"/>
      <c r="AT165" s="340"/>
      <c r="AZ165" s="339"/>
    </row>
    <row r="166" spans="13:52">
      <c r="M166" s="337"/>
      <c r="O166" s="337"/>
      <c r="Q166" s="337"/>
      <c r="R166" s="337"/>
      <c r="S166" s="337"/>
      <c r="T166" s="337"/>
      <c r="U166" s="337"/>
      <c r="V166" s="337"/>
      <c r="AZ166" s="339"/>
    </row>
    <row r="167" spans="13:52">
      <c r="M167" s="337"/>
      <c r="O167" s="337"/>
      <c r="Q167" s="337"/>
      <c r="R167" s="337"/>
      <c r="S167" s="337"/>
      <c r="T167" s="337"/>
      <c r="U167" s="337"/>
      <c r="V167" s="337"/>
    </row>
    <row r="168" spans="13:52">
      <c r="M168" s="337"/>
      <c r="O168" s="337"/>
      <c r="Q168" s="337"/>
      <c r="R168" s="337"/>
      <c r="S168" s="337"/>
      <c r="T168" s="337"/>
      <c r="U168" s="337"/>
      <c r="V168" s="337"/>
    </row>
    <row r="169" spans="13:52">
      <c r="M169" s="337"/>
      <c r="O169" s="337"/>
      <c r="Q169" s="337"/>
      <c r="R169" s="337"/>
      <c r="S169" s="337"/>
      <c r="T169" s="337"/>
      <c r="U169" s="337"/>
      <c r="V169" s="337"/>
    </row>
    <row r="170" spans="13:52">
      <c r="M170" s="337"/>
      <c r="O170" s="337"/>
      <c r="Q170" s="337"/>
      <c r="R170" s="337"/>
      <c r="S170" s="337"/>
      <c r="T170" s="337"/>
      <c r="U170" s="337"/>
      <c r="V170" s="337"/>
    </row>
    <row r="171" spans="13:52">
      <c r="M171" s="337"/>
      <c r="O171" s="337"/>
      <c r="Q171" s="337"/>
      <c r="R171" s="337"/>
      <c r="S171" s="337"/>
      <c r="T171" s="337"/>
      <c r="U171" s="337"/>
      <c r="V171" s="337"/>
    </row>
    <row r="172" spans="13:52">
      <c r="M172" s="337"/>
      <c r="O172" s="337"/>
      <c r="Q172" s="337"/>
      <c r="R172" s="337"/>
      <c r="S172" s="337"/>
      <c r="T172" s="337"/>
      <c r="U172" s="337"/>
      <c r="V172" s="337"/>
    </row>
    <row r="173" spans="13:52">
      <c r="M173" s="337"/>
      <c r="O173" s="337"/>
      <c r="Q173" s="337"/>
      <c r="R173" s="337"/>
      <c r="S173" s="337"/>
      <c r="T173" s="337"/>
      <c r="U173" s="337"/>
      <c r="V173" s="337"/>
    </row>
    <row r="174" spans="13:52">
      <c r="M174" s="337"/>
      <c r="O174" s="337"/>
      <c r="Q174" s="337"/>
      <c r="R174" s="337"/>
      <c r="S174" s="337"/>
      <c r="T174" s="337"/>
      <c r="U174" s="337"/>
      <c r="V174" s="337"/>
    </row>
    <row r="175" spans="13:52">
      <c r="M175" s="337"/>
      <c r="O175" s="337"/>
      <c r="Q175" s="337"/>
      <c r="R175" s="337"/>
      <c r="S175" s="337"/>
      <c r="T175" s="337"/>
      <c r="U175" s="337"/>
      <c r="V175" s="337"/>
    </row>
    <row r="176" spans="13:52">
      <c r="M176" s="337"/>
      <c r="O176" s="337"/>
      <c r="Q176" s="337"/>
      <c r="R176" s="337"/>
      <c r="S176" s="337"/>
      <c r="T176" s="337"/>
      <c r="U176" s="337"/>
      <c r="V176" s="337"/>
    </row>
    <row r="177" spans="13:22">
      <c r="M177" s="337"/>
      <c r="O177" s="337"/>
      <c r="Q177" s="337"/>
      <c r="R177" s="337"/>
      <c r="S177" s="337"/>
      <c r="T177" s="337"/>
      <c r="U177" s="337"/>
      <c r="V177" s="337"/>
    </row>
    <row r="178" spans="13:22">
      <c r="M178" s="337"/>
      <c r="O178" s="337"/>
      <c r="Q178" s="337"/>
      <c r="R178" s="337"/>
      <c r="S178" s="337"/>
      <c r="T178" s="337"/>
      <c r="U178" s="337"/>
      <c r="V178" s="337"/>
    </row>
    <row r="179" spans="13:22">
      <c r="M179" s="337"/>
      <c r="O179" s="337"/>
      <c r="Q179" s="337"/>
      <c r="R179" s="337"/>
      <c r="S179" s="337"/>
      <c r="T179" s="337"/>
      <c r="U179" s="337"/>
      <c r="V179" s="337"/>
    </row>
    <row r="180" spans="13:22">
      <c r="M180" s="337"/>
      <c r="O180" s="337"/>
      <c r="Q180" s="337"/>
      <c r="R180" s="337"/>
      <c r="S180" s="337"/>
      <c r="T180" s="337"/>
      <c r="U180" s="337"/>
      <c r="V180" s="337"/>
    </row>
    <row r="181" spans="13:22">
      <c r="M181" s="337"/>
      <c r="O181" s="337"/>
      <c r="Q181" s="337"/>
      <c r="R181" s="337"/>
      <c r="S181" s="337"/>
      <c r="T181" s="337"/>
      <c r="U181" s="337"/>
      <c r="V181" s="337"/>
    </row>
    <row r="182" spans="13:22">
      <c r="M182" s="337"/>
      <c r="O182" s="337"/>
      <c r="Q182" s="337"/>
      <c r="R182" s="337"/>
      <c r="S182" s="337"/>
      <c r="T182" s="337"/>
      <c r="U182" s="337"/>
      <c r="V182" s="337"/>
    </row>
    <row r="183" spans="13:22">
      <c r="M183" s="337"/>
      <c r="O183" s="337"/>
      <c r="Q183" s="337"/>
      <c r="R183" s="337"/>
      <c r="S183" s="337"/>
      <c r="T183" s="337"/>
      <c r="U183" s="337"/>
      <c r="V183" s="337"/>
    </row>
    <row r="184" spans="13:22">
      <c r="M184" s="337"/>
      <c r="O184" s="337"/>
      <c r="Q184" s="337"/>
      <c r="R184" s="337"/>
      <c r="S184" s="337"/>
      <c r="T184" s="337"/>
      <c r="U184" s="337"/>
      <c r="V184" s="337"/>
    </row>
    <row r="185" spans="13:22">
      <c r="M185" s="337"/>
      <c r="O185" s="337"/>
      <c r="Q185" s="337"/>
      <c r="R185" s="337"/>
      <c r="S185" s="337"/>
      <c r="T185" s="337"/>
      <c r="U185" s="337"/>
      <c r="V185" s="337"/>
    </row>
    <row r="186" spans="13:22">
      <c r="M186" s="337"/>
      <c r="O186" s="337"/>
      <c r="Q186" s="337"/>
      <c r="R186" s="337"/>
      <c r="S186" s="337"/>
      <c r="T186" s="337"/>
      <c r="U186" s="337"/>
      <c r="V186" s="337"/>
    </row>
    <row r="187" spans="13:22">
      <c r="M187" s="337"/>
      <c r="O187" s="337"/>
      <c r="Q187" s="337"/>
      <c r="R187" s="337"/>
      <c r="S187" s="337"/>
      <c r="T187" s="337"/>
      <c r="U187" s="337"/>
      <c r="V187" s="337"/>
    </row>
    <row r="188" spans="13:22">
      <c r="M188" s="337"/>
      <c r="O188" s="337"/>
      <c r="Q188" s="337"/>
      <c r="R188" s="337"/>
      <c r="S188" s="337"/>
      <c r="T188" s="337"/>
      <c r="U188" s="337"/>
      <c r="V188" s="337"/>
    </row>
    <row r="189" spans="13:22">
      <c r="M189" s="337"/>
      <c r="O189" s="337"/>
      <c r="Q189" s="337"/>
      <c r="R189" s="337"/>
      <c r="S189" s="337"/>
      <c r="T189" s="337"/>
      <c r="U189" s="337"/>
      <c r="V189" s="337"/>
    </row>
    <row r="190" spans="13:22">
      <c r="M190" s="337"/>
      <c r="O190" s="337"/>
      <c r="Q190" s="337"/>
      <c r="R190" s="337"/>
      <c r="S190" s="337"/>
      <c r="T190" s="337"/>
      <c r="U190" s="337"/>
      <c r="V190" s="337"/>
    </row>
    <row r="191" spans="13:22">
      <c r="M191" s="337"/>
      <c r="O191" s="337"/>
      <c r="Q191" s="337"/>
      <c r="R191" s="337"/>
      <c r="S191" s="337"/>
      <c r="T191" s="337"/>
      <c r="U191" s="337"/>
      <c r="V191" s="337"/>
    </row>
    <row r="192" spans="13:22">
      <c r="M192" s="337"/>
      <c r="O192" s="337"/>
      <c r="Q192" s="337"/>
      <c r="R192" s="337"/>
      <c r="S192" s="337"/>
      <c r="T192" s="337"/>
      <c r="U192" s="337"/>
      <c r="V192" s="337"/>
    </row>
    <row r="193" spans="13:22">
      <c r="M193" s="337"/>
      <c r="O193" s="337"/>
      <c r="Q193" s="337"/>
      <c r="R193" s="337"/>
      <c r="S193" s="337"/>
      <c r="T193" s="337"/>
      <c r="U193" s="337"/>
      <c r="V193" s="337"/>
    </row>
    <row r="194" spans="13:22">
      <c r="M194" s="337"/>
      <c r="O194" s="337"/>
      <c r="Q194" s="337"/>
      <c r="R194" s="337"/>
      <c r="S194" s="337"/>
      <c r="T194" s="337"/>
      <c r="U194" s="337"/>
      <c r="V194" s="337"/>
    </row>
    <row r="195" spans="13:22">
      <c r="M195" s="337"/>
      <c r="O195" s="337"/>
      <c r="Q195" s="337"/>
      <c r="R195" s="337"/>
      <c r="S195" s="337"/>
      <c r="T195" s="337"/>
      <c r="U195" s="337"/>
      <c r="V195" s="337"/>
    </row>
    <row r="196" spans="13:22">
      <c r="M196" s="337"/>
      <c r="O196" s="337"/>
      <c r="Q196" s="337"/>
      <c r="R196" s="337"/>
      <c r="S196" s="337"/>
      <c r="T196" s="337"/>
      <c r="U196" s="337"/>
      <c r="V196" s="337"/>
    </row>
    <row r="197" spans="13:22">
      <c r="M197" s="337"/>
      <c r="O197" s="337"/>
      <c r="Q197" s="337"/>
      <c r="R197" s="337"/>
      <c r="S197" s="337"/>
      <c r="T197" s="337"/>
      <c r="U197" s="337"/>
      <c r="V197" s="337"/>
    </row>
    <row r="198" spans="13:22">
      <c r="M198" s="337"/>
      <c r="O198" s="337"/>
      <c r="Q198" s="337"/>
      <c r="R198" s="337"/>
      <c r="S198" s="337"/>
      <c r="T198" s="337"/>
      <c r="U198" s="337"/>
      <c r="V198" s="337"/>
    </row>
    <row r="199" spans="13:22">
      <c r="M199" s="337"/>
      <c r="O199" s="337"/>
      <c r="Q199" s="337"/>
      <c r="R199" s="337"/>
      <c r="S199" s="337"/>
      <c r="T199" s="337"/>
      <c r="U199" s="337"/>
      <c r="V199" s="337"/>
    </row>
    <row r="200" spans="13:22">
      <c r="M200" s="337"/>
      <c r="O200" s="337"/>
      <c r="Q200" s="337"/>
      <c r="R200" s="337"/>
      <c r="S200" s="337"/>
      <c r="T200" s="337"/>
      <c r="U200" s="337"/>
      <c r="V200" s="337"/>
    </row>
    <row r="201" spans="13:22">
      <c r="M201" s="337"/>
      <c r="O201" s="337"/>
      <c r="Q201" s="337"/>
      <c r="R201" s="337"/>
      <c r="S201" s="337"/>
      <c r="T201" s="337"/>
      <c r="U201" s="337"/>
      <c r="V201" s="337"/>
    </row>
    <row r="202" spans="13:22">
      <c r="M202" s="337"/>
      <c r="O202" s="337"/>
      <c r="Q202" s="337"/>
      <c r="R202" s="337"/>
      <c r="S202" s="337"/>
      <c r="T202" s="337"/>
      <c r="U202" s="337"/>
      <c r="V202" s="337"/>
    </row>
    <row r="203" spans="13:22">
      <c r="M203" s="337"/>
      <c r="O203" s="337"/>
      <c r="Q203" s="337"/>
      <c r="R203" s="337"/>
      <c r="S203" s="337"/>
      <c r="T203" s="337"/>
      <c r="U203" s="337"/>
      <c r="V203" s="337"/>
    </row>
    <row r="204" spans="13:22">
      <c r="M204" s="337"/>
      <c r="O204" s="337"/>
      <c r="Q204" s="337"/>
      <c r="R204" s="337"/>
      <c r="S204" s="337"/>
      <c r="T204" s="337"/>
      <c r="U204" s="337"/>
      <c r="V204" s="337"/>
    </row>
    <row r="205" spans="13:22">
      <c r="M205" s="337"/>
      <c r="O205" s="337"/>
      <c r="Q205" s="337"/>
      <c r="R205" s="337"/>
      <c r="S205" s="337"/>
      <c r="T205" s="337"/>
      <c r="U205" s="337"/>
      <c r="V205" s="337"/>
    </row>
    <row r="206" spans="13:22">
      <c r="M206" s="337"/>
      <c r="O206" s="337"/>
      <c r="Q206" s="337"/>
      <c r="R206" s="337"/>
      <c r="S206" s="337"/>
      <c r="T206" s="337"/>
      <c r="U206" s="337"/>
      <c r="V206" s="337"/>
    </row>
    <row r="207" spans="13:22">
      <c r="M207" s="337"/>
      <c r="O207" s="337"/>
      <c r="Q207" s="337"/>
      <c r="R207" s="337"/>
      <c r="S207" s="337"/>
      <c r="T207" s="337"/>
      <c r="U207" s="337"/>
      <c r="V207" s="337"/>
    </row>
    <row r="208" spans="13:22">
      <c r="M208" s="337"/>
      <c r="O208" s="337"/>
      <c r="Q208" s="337"/>
      <c r="R208" s="337"/>
      <c r="S208" s="337"/>
      <c r="T208" s="337"/>
      <c r="U208" s="337"/>
      <c r="V208" s="337"/>
    </row>
    <row r="209" spans="13:22">
      <c r="M209" s="337"/>
      <c r="O209" s="337"/>
      <c r="Q209" s="337"/>
      <c r="R209" s="337"/>
      <c r="S209" s="337"/>
      <c r="T209" s="337"/>
      <c r="U209" s="337"/>
      <c r="V209" s="337"/>
    </row>
    <row r="210" spans="13:22">
      <c r="M210" s="337"/>
      <c r="O210" s="337"/>
      <c r="Q210" s="337"/>
      <c r="R210" s="337"/>
      <c r="S210" s="337"/>
      <c r="T210" s="337"/>
      <c r="U210" s="337"/>
      <c r="V210" s="337"/>
    </row>
    <row r="211" spans="13:22">
      <c r="M211" s="337"/>
      <c r="O211" s="337"/>
      <c r="Q211" s="337"/>
      <c r="R211" s="337"/>
      <c r="S211" s="337"/>
      <c r="T211" s="337"/>
      <c r="U211" s="337"/>
      <c r="V211" s="337"/>
    </row>
    <row r="212" spans="13:22">
      <c r="M212" s="337"/>
      <c r="O212" s="337"/>
      <c r="Q212" s="337"/>
      <c r="R212" s="337"/>
      <c r="S212" s="337"/>
      <c r="T212" s="337"/>
      <c r="U212" s="337"/>
      <c r="V212" s="337"/>
    </row>
    <row r="213" spans="13:22">
      <c r="M213" s="337"/>
      <c r="O213" s="337"/>
      <c r="Q213" s="337"/>
      <c r="R213" s="337"/>
      <c r="S213" s="337"/>
      <c r="T213" s="337"/>
      <c r="U213" s="337"/>
      <c r="V213" s="337"/>
    </row>
    <row r="214" spans="13:22">
      <c r="M214" s="337"/>
      <c r="O214" s="337"/>
      <c r="Q214" s="337"/>
      <c r="R214" s="337"/>
      <c r="S214" s="337"/>
      <c r="T214" s="337"/>
      <c r="U214" s="337"/>
      <c r="V214" s="337"/>
    </row>
    <row r="215" spans="13:22">
      <c r="M215" s="337"/>
      <c r="O215" s="337"/>
      <c r="Q215" s="337"/>
      <c r="R215" s="337"/>
      <c r="S215" s="337"/>
      <c r="T215" s="337"/>
      <c r="U215" s="337"/>
      <c r="V215" s="337"/>
    </row>
    <row r="216" spans="13:22">
      <c r="M216" s="337"/>
      <c r="O216" s="337"/>
      <c r="Q216" s="337"/>
      <c r="R216" s="337"/>
      <c r="S216" s="337"/>
      <c r="T216" s="337"/>
      <c r="U216" s="337"/>
      <c r="V216" s="337"/>
    </row>
    <row r="217" spans="13:22">
      <c r="M217" s="337"/>
      <c r="O217" s="337"/>
      <c r="Q217" s="337"/>
      <c r="R217" s="337"/>
      <c r="S217" s="337"/>
      <c r="T217" s="337"/>
      <c r="U217" s="337"/>
      <c r="V217" s="337"/>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3" customWidth="1"/>
    <col min="2" max="2" width="8.28515625" style="293" customWidth="1"/>
    <col min="3" max="3" width="7.85546875" style="293" customWidth="1"/>
    <col min="4" max="4" width="8.28515625" style="293" customWidth="1"/>
    <col min="5" max="5" width="44.7109375" style="293" customWidth="1"/>
    <col min="6" max="6" width="15.140625" style="348" customWidth="1"/>
    <col min="7" max="8" width="5.85546875" style="294" customWidth="1"/>
    <col min="9" max="9" width="4.85546875" style="293" customWidth="1"/>
    <col min="10" max="10" width="13.28515625" style="293" customWidth="1"/>
    <col min="11" max="11" width="12.85546875" style="293" customWidth="1"/>
    <col min="12" max="15" width="13.42578125" style="293" customWidth="1"/>
    <col min="16" max="16" width="13.5703125" style="293" customWidth="1"/>
    <col min="17" max="17" width="13.28515625" style="293" customWidth="1"/>
    <col min="18" max="18" width="13.5703125" style="293" customWidth="1"/>
    <col min="19" max="19" width="11.42578125" style="293" customWidth="1"/>
    <col min="20" max="20" width="13.7109375" style="293" customWidth="1"/>
    <col min="21" max="21" width="4.42578125" style="293" customWidth="1"/>
    <col min="22" max="22" width="14.140625" style="293" customWidth="1"/>
    <col min="23" max="23" width="13.85546875" style="293" customWidth="1"/>
    <col min="24" max="24" width="5.42578125" style="293" customWidth="1"/>
    <col min="25" max="25" width="6.140625" style="293" customWidth="1"/>
    <col min="26" max="26" width="9.5703125" style="293" customWidth="1"/>
    <col min="27" max="27" width="9.7109375" style="293" customWidth="1"/>
    <col min="28" max="28" width="13" style="293" customWidth="1"/>
    <col min="29" max="29" width="12.85546875" style="293" customWidth="1"/>
    <col min="30" max="30" width="4.5703125" style="293" customWidth="1"/>
    <col min="31" max="31" width="13.85546875" style="293" customWidth="1"/>
    <col min="32" max="32" width="4.5703125" style="293" customWidth="1"/>
    <col min="33" max="33" width="13.85546875" style="293" customWidth="1"/>
    <col min="34" max="34" width="4.7109375" style="293" customWidth="1"/>
    <col min="35" max="35" width="12.5703125" style="293" customWidth="1"/>
    <col min="36" max="36" width="11.7109375" style="293" customWidth="1"/>
    <col min="37" max="37" width="5.28515625" style="293" customWidth="1"/>
    <col min="38" max="38" width="11.140625" style="293" customWidth="1"/>
    <col min="39" max="39" width="10.28515625" style="293" customWidth="1"/>
    <col min="40" max="40" width="9.5703125" style="293" customWidth="1"/>
    <col min="41" max="41" width="9.140625" style="293" customWidth="1"/>
    <col min="42" max="42" width="12.7109375" style="293" customWidth="1"/>
    <col min="43" max="43" width="12.5703125" style="293" customWidth="1"/>
    <col min="44" max="44" width="15.140625" style="293" customWidth="1"/>
    <col min="45" max="45" width="15.5703125" style="293" customWidth="1"/>
    <col min="46" max="47" width="10.85546875" style="293" customWidth="1"/>
    <col min="48" max="48" width="7" style="293" customWidth="1"/>
    <col min="49" max="49" width="7.7109375" style="293" customWidth="1"/>
    <col min="50" max="50" width="7.140625" style="293" customWidth="1"/>
    <col min="51" max="51" width="6.7109375" style="293" customWidth="1"/>
    <col min="52" max="52" width="14.7109375" style="293" customWidth="1"/>
    <col min="53" max="53" width="15.140625" style="293" customWidth="1"/>
    <col min="54" max="16384" width="9.140625" style="293"/>
  </cols>
  <sheetData>
    <row r="1" spans="1:53" ht="12.75" customHeight="1">
      <c r="A1" s="289"/>
      <c r="B1" s="290" t="s">
        <v>122</v>
      </c>
      <c r="C1" s="291"/>
      <c r="D1" s="291"/>
      <c r="E1" s="292"/>
      <c r="I1" s="291"/>
      <c r="K1" s="1093" t="s">
        <v>204</v>
      </c>
      <c r="L1" s="1093"/>
      <c r="M1" s="1093"/>
      <c r="N1" s="1093"/>
      <c r="O1" s="1093"/>
      <c r="P1" s="1093"/>
      <c r="Q1" s="1093"/>
      <c r="R1" s="292"/>
      <c r="T1" s="291"/>
      <c r="U1" s="291"/>
      <c r="V1" s="291"/>
      <c r="W1" s="291"/>
      <c r="X1" s="291"/>
      <c r="Y1" s="291"/>
      <c r="Z1" s="291"/>
      <c r="AA1" s="291"/>
      <c r="AB1" s="291"/>
      <c r="AC1" s="291"/>
      <c r="AD1" s="291"/>
      <c r="AE1" s="291"/>
      <c r="AF1" s="502"/>
      <c r="AG1" s="502"/>
      <c r="AH1" s="291"/>
      <c r="AI1" s="291"/>
      <c r="AJ1" s="291"/>
      <c r="AK1" s="291"/>
      <c r="AL1" s="291"/>
      <c r="AM1" s="291"/>
      <c r="AN1" s="291"/>
      <c r="AO1" s="291"/>
      <c r="AP1" s="292"/>
      <c r="AQ1" s="292"/>
      <c r="AR1" s="291"/>
      <c r="AS1" s="291"/>
      <c r="AT1" s="291"/>
      <c r="AU1" s="291"/>
      <c r="AV1" s="291"/>
      <c r="AW1" s="291"/>
      <c r="AX1" s="291"/>
      <c r="AY1" s="291"/>
      <c r="AZ1" s="291"/>
      <c r="BA1" s="291"/>
    </row>
    <row r="2" spans="1:53" ht="12.75" customHeight="1">
      <c r="A2" s="289"/>
      <c r="B2" s="290" t="s">
        <v>193</v>
      </c>
      <c r="C2" s="291"/>
      <c r="D2" s="291"/>
      <c r="E2" s="291"/>
      <c r="I2" s="295"/>
      <c r="K2" s="1094" t="s">
        <v>146</v>
      </c>
      <c r="L2" s="1094"/>
      <c r="M2" s="1094"/>
      <c r="N2" s="1094"/>
      <c r="O2" s="1094"/>
      <c r="P2" s="1094"/>
      <c r="Q2" s="1094"/>
      <c r="R2" s="296"/>
      <c r="T2" s="295"/>
      <c r="U2" s="295"/>
      <c r="V2" s="295"/>
      <c r="W2" s="295"/>
      <c r="X2" s="295"/>
      <c r="Y2" s="295"/>
      <c r="Z2" s="295"/>
      <c r="AA2" s="295"/>
      <c r="AB2" s="295"/>
      <c r="AC2" s="295"/>
      <c r="AD2" s="295"/>
      <c r="AE2" s="295"/>
      <c r="AF2" s="503"/>
      <c r="AG2" s="503"/>
      <c r="AH2" s="295"/>
      <c r="AI2" s="295"/>
      <c r="AJ2" s="295"/>
      <c r="AK2" s="295"/>
      <c r="AL2" s="295"/>
      <c r="AM2" s="295"/>
      <c r="AN2" s="295"/>
      <c r="AO2" s="295"/>
      <c r="AP2" s="296"/>
      <c r="AQ2" s="296"/>
      <c r="AR2" s="295"/>
      <c r="AS2" s="295"/>
      <c r="AT2" s="295"/>
      <c r="AU2" s="295"/>
      <c r="AV2" s="295"/>
      <c r="AW2" s="295"/>
      <c r="AX2" s="295"/>
      <c r="AY2" s="295"/>
      <c r="AZ2" s="295"/>
      <c r="BA2" s="295"/>
    </row>
    <row r="3" spans="1:53" ht="10.5" customHeight="1">
      <c r="A3" s="291"/>
      <c r="B3" s="291"/>
      <c r="C3" s="291"/>
      <c r="D3" s="291"/>
      <c r="E3" s="291"/>
      <c r="F3" s="349"/>
      <c r="G3" s="297"/>
      <c r="H3" s="297"/>
      <c r="I3" s="295"/>
      <c r="K3" s="1094"/>
      <c r="L3" s="1094"/>
      <c r="M3" s="1094"/>
      <c r="N3" s="1094"/>
      <c r="O3" s="1094"/>
      <c r="P3" s="1094"/>
      <c r="Q3" s="1094"/>
      <c r="R3" s="296"/>
      <c r="T3" s="295"/>
      <c r="U3" s="295"/>
      <c r="V3" s="295"/>
      <c r="W3" s="295"/>
      <c r="X3" s="295"/>
      <c r="Y3" s="295"/>
      <c r="Z3" s="295"/>
      <c r="AA3" s="295"/>
      <c r="AB3" s="295"/>
      <c r="AC3" s="295"/>
      <c r="AD3" s="295"/>
      <c r="AE3" s="295"/>
      <c r="AF3" s="503"/>
      <c r="AG3" s="503"/>
      <c r="AH3" s="295"/>
      <c r="AI3" s="295"/>
      <c r="AJ3" s="295"/>
      <c r="AK3" s="295"/>
      <c r="AL3" s="295"/>
      <c r="AM3" s="295"/>
      <c r="AN3" s="295"/>
      <c r="AO3" s="295"/>
      <c r="AP3" s="296"/>
      <c r="AQ3" s="296"/>
      <c r="AR3" s="295"/>
      <c r="AS3" s="295"/>
      <c r="AT3" s="295"/>
      <c r="AU3" s="295"/>
      <c r="AV3" s="295"/>
      <c r="AW3" s="295"/>
      <c r="AX3" s="295"/>
      <c r="AY3" s="295"/>
      <c r="AZ3" s="295"/>
      <c r="BA3" s="295"/>
    </row>
    <row r="4" spans="1:53" ht="19.5" customHeight="1">
      <c r="B4" s="1095" t="s">
        <v>112</v>
      </c>
      <c r="C4" s="1095"/>
      <c r="D4" s="1095"/>
      <c r="E4" s="1095"/>
      <c r="F4" s="1095"/>
      <c r="G4" s="1095"/>
      <c r="H4" s="1095"/>
      <c r="I4" s="1095"/>
      <c r="J4" s="1095"/>
      <c r="K4" s="1095"/>
      <c r="L4" s="1095"/>
      <c r="M4" s="1095"/>
      <c r="N4" s="1095"/>
      <c r="O4" s="1095"/>
      <c r="P4" s="1095"/>
      <c r="Q4" s="1095"/>
      <c r="R4" s="1095"/>
      <c r="S4" s="298"/>
      <c r="T4" s="300"/>
      <c r="U4" s="300"/>
      <c r="V4" s="300"/>
      <c r="W4" s="300"/>
      <c r="X4" s="300"/>
      <c r="Y4" s="300"/>
      <c r="Z4" s="300"/>
      <c r="AA4" s="300"/>
      <c r="AB4" s="300"/>
      <c r="AC4" s="300"/>
      <c r="AD4" s="300"/>
      <c r="AE4" s="300"/>
      <c r="AF4" s="300"/>
      <c r="AG4" s="300"/>
      <c r="AH4" s="300"/>
      <c r="AI4" s="300"/>
      <c r="AJ4" s="300"/>
      <c r="AK4" s="300"/>
      <c r="AL4" s="300"/>
      <c r="AM4" s="300"/>
      <c r="AN4" s="300"/>
      <c r="AO4" s="300"/>
      <c r="AP4" s="350"/>
      <c r="AQ4" s="350"/>
      <c r="AR4" s="300"/>
      <c r="AS4" s="300"/>
      <c r="AT4" s="300"/>
      <c r="AU4" s="300"/>
      <c r="AV4" s="300"/>
      <c r="AW4" s="300"/>
      <c r="AX4" s="300"/>
      <c r="AY4" s="300"/>
      <c r="AZ4" s="300"/>
      <c r="BA4" s="300"/>
    </row>
    <row r="5" spans="1:53" ht="15">
      <c r="B5" s="1096" t="s">
        <v>235</v>
      </c>
      <c r="C5" s="1096"/>
      <c r="D5" s="1096"/>
      <c r="E5" s="1096"/>
      <c r="F5" s="1096"/>
      <c r="G5" s="1096"/>
      <c r="H5" s="1096"/>
      <c r="I5" s="1096"/>
      <c r="J5" s="1096"/>
      <c r="K5" s="1096"/>
      <c r="L5" s="1096"/>
      <c r="M5" s="1096"/>
      <c r="N5" s="1096"/>
      <c r="O5" s="1096"/>
      <c r="P5" s="1096"/>
      <c r="Q5" s="1096"/>
      <c r="R5" s="1096"/>
      <c r="S5" s="301"/>
      <c r="AP5" s="301"/>
      <c r="AQ5" s="301"/>
    </row>
    <row r="7" spans="1:53" ht="13.5" customHeight="1">
      <c r="A7" s="1097" t="s">
        <v>37</v>
      </c>
      <c r="B7" s="1099" t="s">
        <v>22</v>
      </c>
      <c r="C7" s="1100" t="s">
        <v>1</v>
      </c>
      <c r="D7" s="1101"/>
      <c r="E7" s="1099" t="s">
        <v>0</v>
      </c>
      <c r="F7" s="1099" t="s">
        <v>113</v>
      </c>
      <c r="G7" s="1102" t="s">
        <v>114</v>
      </c>
      <c r="H7" s="1102"/>
      <c r="I7" s="1103" t="s">
        <v>37</v>
      </c>
      <c r="J7" s="1099" t="s">
        <v>206</v>
      </c>
      <c r="K7" s="1099"/>
      <c r="L7" s="1099" t="s">
        <v>207</v>
      </c>
      <c r="M7" s="1099"/>
      <c r="N7" s="1099" t="s">
        <v>284</v>
      </c>
      <c r="O7" s="1099"/>
      <c r="P7" s="1099" t="s">
        <v>208</v>
      </c>
      <c r="Q7" s="1099"/>
      <c r="R7" s="1099" t="s">
        <v>209</v>
      </c>
      <c r="S7" s="1099"/>
      <c r="T7" s="1099" t="s">
        <v>210</v>
      </c>
      <c r="U7" s="1099"/>
      <c r="V7" s="1099" t="s">
        <v>211</v>
      </c>
      <c r="W7" s="1099"/>
      <c r="X7" s="1099" t="s">
        <v>212</v>
      </c>
      <c r="Y7" s="1099"/>
      <c r="Z7" s="1099" t="s">
        <v>213</v>
      </c>
      <c r="AA7" s="1099"/>
      <c r="AB7" s="1099" t="s">
        <v>214</v>
      </c>
      <c r="AC7" s="1099"/>
      <c r="AD7" s="1099" t="s">
        <v>215</v>
      </c>
      <c r="AE7" s="1099"/>
      <c r="AF7" s="1099" t="s">
        <v>279</v>
      </c>
      <c r="AG7" s="1099"/>
      <c r="AH7" s="1099" t="s">
        <v>216</v>
      </c>
      <c r="AI7" s="1099"/>
      <c r="AJ7" s="1099" t="s">
        <v>217</v>
      </c>
      <c r="AK7" s="1099"/>
      <c r="AL7" s="1099" t="s">
        <v>218</v>
      </c>
      <c r="AM7" s="1099"/>
      <c r="AN7" s="1099" t="s">
        <v>219</v>
      </c>
      <c r="AO7" s="1099"/>
      <c r="AP7" s="1099" t="s">
        <v>220</v>
      </c>
      <c r="AQ7" s="1099"/>
      <c r="AR7" s="1099" t="s">
        <v>221</v>
      </c>
      <c r="AS7" s="1099"/>
      <c r="AT7" s="1099" t="s">
        <v>222</v>
      </c>
      <c r="AU7" s="1099"/>
      <c r="AV7" s="1099" t="s">
        <v>223</v>
      </c>
      <c r="AW7" s="1099"/>
      <c r="AX7" s="1099" t="s">
        <v>224</v>
      </c>
      <c r="AY7" s="1099"/>
      <c r="AZ7" s="1099" t="s">
        <v>225</v>
      </c>
      <c r="BA7" s="1099"/>
    </row>
    <row r="8" spans="1:53" ht="22.5" customHeight="1">
      <c r="A8" s="1098"/>
      <c r="B8" s="1099"/>
      <c r="C8" s="304" t="s">
        <v>17</v>
      </c>
      <c r="D8" s="303" t="s">
        <v>34</v>
      </c>
      <c r="E8" s="1099"/>
      <c r="F8" s="1099"/>
      <c r="G8" s="305" t="s">
        <v>24</v>
      </c>
      <c r="H8" s="305" t="s">
        <v>25</v>
      </c>
      <c r="I8" s="1103"/>
      <c r="J8" s="303" t="s">
        <v>24</v>
      </c>
      <c r="K8" s="303" t="s">
        <v>25</v>
      </c>
      <c r="L8" s="303" t="s">
        <v>24</v>
      </c>
      <c r="M8" s="303" t="s">
        <v>25</v>
      </c>
      <c r="N8" s="505" t="s">
        <v>24</v>
      </c>
      <c r="O8" s="505" t="s">
        <v>25</v>
      </c>
      <c r="P8" s="303" t="s">
        <v>24</v>
      </c>
      <c r="Q8" s="303" t="s">
        <v>25</v>
      </c>
      <c r="R8" s="303" t="s">
        <v>24</v>
      </c>
      <c r="S8" s="303" t="s">
        <v>25</v>
      </c>
      <c r="T8" s="303" t="s">
        <v>24</v>
      </c>
      <c r="U8" s="303" t="s">
        <v>25</v>
      </c>
      <c r="V8" s="303" t="s">
        <v>24</v>
      </c>
      <c r="W8" s="303" t="s">
        <v>25</v>
      </c>
      <c r="X8" s="303" t="s">
        <v>24</v>
      </c>
      <c r="Y8" s="303" t="s">
        <v>25</v>
      </c>
      <c r="Z8" s="303" t="s">
        <v>24</v>
      </c>
      <c r="AA8" s="303" t="s">
        <v>25</v>
      </c>
      <c r="AB8" s="303" t="s">
        <v>24</v>
      </c>
      <c r="AC8" s="303" t="s">
        <v>25</v>
      </c>
      <c r="AD8" s="303" t="s">
        <v>24</v>
      </c>
      <c r="AE8" s="303" t="s">
        <v>25</v>
      </c>
      <c r="AF8" s="501" t="s">
        <v>24</v>
      </c>
      <c r="AG8" s="501" t="s">
        <v>25</v>
      </c>
      <c r="AH8" s="303" t="s">
        <v>24</v>
      </c>
      <c r="AI8" s="303" t="s">
        <v>25</v>
      </c>
      <c r="AJ8" s="303" t="s">
        <v>24</v>
      </c>
      <c r="AK8" s="303" t="s">
        <v>25</v>
      </c>
      <c r="AL8" s="303" t="s">
        <v>24</v>
      </c>
      <c r="AM8" s="303" t="s">
        <v>25</v>
      </c>
      <c r="AN8" s="303" t="s">
        <v>24</v>
      </c>
      <c r="AO8" s="303" t="s">
        <v>25</v>
      </c>
      <c r="AP8" s="303" t="s">
        <v>24</v>
      </c>
      <c r="AQ8" s="303" t="s">
        <v>25</v>
      </c>
      <c r="AR8" s="303" t="s">
        <v>24</v>
      </c>
      <c r="AS8" s="303" t="s">
        <v>25</v>
      </c>
      <c r="AT8" s="303" t="s">
        <v>24</v>
      </c>
      <c r="AU8" s="303" t="s">
        <v>25</v>
      </c>
      <c r="AV8" s="303" t="s">
        <v>24</v>
      </c>
      <c r="AW8" s="303" t="s">
        <v>25</v>
      </c>
      <c r="AX8" s="303" t="s">
        <v>24</v>
      </c>
      <c r="AY8" s="303" t="s">
        <v>25</v>
      </c>
      <c r="AZ8" s="303" t="s">
        <v>24</v>
      </c>
      <c r="BA8" s="303"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5.75" customHeight="1">
      <c r="A10" s="63" t="str">
        <f t="array" ref="A10">IF(C10&lt;&gt;0,SUM(($C10:C$16&lt;&gt;0)*1),"")</f>
        <v/>
      </c>
      <c r="B10" s="308"/>
      <c r="C10" s="309"/>
      <c r="D10" s="308"/>
      <c r="E10" s="310" t="s">
        <v>184</v>
      </c>
      <c r="F10" s="311"/>
      <c r="G10" s="312"/>
      <c r="H10" s="312"/>
      <c r="I10" s="313"/>
      <c r="J10" s="314">
        <f ca="1">'SC-II'!J156</f>
        <v>3705039095</v>
      </c>
      <c r="K10" s="314">
        <f ca="1">'SC-II'!K156</f>
        <v>0</v>
      </c>
      <c r="L10" s="314">
        <f ca="1">'SC-II'!L156</f>
        <v>19829295</v>
      </c>
      <c r="M10" s="314">
        <f ca="1">'SC-II'!M156</f>
        <v>0</v>
      </c>
      <c r="N10" s="314">
        <f ca="1">'SC-II'!N156</f>
        <v>2236796790</v>
      </c>
      <c r="O10" s="314">
        <f ca="1">'SC-II'!O156</f>
        <v>0</v>
      </c>
      <c r="P10" s="314">
        <f ca="1">'SC-II'!P156</f>
        <v>162420936</v>
      </c>
      <c r="Q10" s="314">
        <f ca="1">'SC-II'!Q156</f>
        <v>0</v>
      </c>
      <c r="R10" s="314">
        <f ca="1">'SC-II'!R156</f>
        <v>1500000000</v>
      </c>
      <c r="S10" s="314">
        <f ca="1">'SC-II'!S156</f>
        <v>0</v>
      </c>
      <c r="T10" s="314">
        <f ca="1">'SC-II'!T156</f>
        <v>0</v>
      </c>
      <c r="U10" s="314">
        <f ca="1">'SC-II'!U156</f>
        <v>0</v>
      </c>
      <c r="V10" s="314">
        <f ca="1">'SC-II'!V156</f>
        <v>0</v>
      </c>
      <c r="W10" s="314">
        <f ca="1">'SC-II'!W156</f>
        <v>476953252</v>
      </c>
      <c r="X10" s="314">
        <f ca="1">'SC-II'!X156</f>
        <v>0</v>
      </c>
      <c r="Y10" s="314">
        <f ca="1">'SC-II'!Y156</f>
        <v>3313435</v>
      </c>
      <c r="Z10" s="314">
        <f ca="1">'SC-II'!Z156</f>
        <v>0</v>
      </c>
      <c r="AA10" s="314">
        <f ca="1">'SC-II'!AA156</f>
        <v>0</v>
      </c>
      <c r="AB10" s="314">
        <f ca="1">'SC-II'!AB156</f>
        <v>0</v>
      </c>
      <c r="AC10" s="314">
        <f ca="1">'SC-II'!AC156</f>
        <v>0</v>
      </c>
      <c r="AD10" s="314">
        <f ca="1">'SC-II'!AD156</f>
        <v>0</v>
      </c>
      <c r="AE10" s="314">
        <f ca="1">'SC-II'!AE156</f>
        <v>2169121879</v>
      </c>
      <c r="AF10" s="314">
        <f ca="1">'SC-II'!AF156</f>
        <v>0</v>
      </c>
      <c r="AG10" s="314">
        <f ca="1">'SC-II'!AG156</f>
        <v>21202920500</v>
      </c>
      <c r="AH10" s="314">
        <f ca="1">'SC-II'!AH156</f>
        <v>0</v>
      </c>
      <c r="AI10" s="314">
        <f ca="1">'SC-II'!AI156</f>
        <v>10000000000</v>
      </c>
      <c r="AJ10" s="314">
        <f ca="1">'SC-II'!AJ156</f>
        <v>0</v>
      </c>
      <c r="AK10" s="314">
        <f ca="1">'SC-II'!AK156</f>
        <v>486535137</v>
      </c>
      <c r="AL10" s="314">
        <f ca="1">'SC-II'!AL156</f>
        <v>13985338.999999523</v>
      </c>
      <c r="AM10" s="314">
        <f ca="1">'SC-II'!AM156</f>
        <v>0</v>
      </c>
      <c r="AN10" s="314">
        <f ca="1">'SC-II'!AN156</f>
        <v>0</v>
      </c>
      <c r="AO10" s="314">
        <f ca="1">'SC-II'!AO156</f>
        <v>0</v>
      </c>
      <c r="AP10" s="314">
        <f ca="1">'SC-II'!AP156</f>
        <v>0</v>
      </c>
      <c r="AQ10" s="314">
        <f ca="1">'SC-II'!AQ156</f>
        <v>0</v>
      </c>
      <c r="AR10" s="314">
        <f ca="1">'SC-II'!AR156</f>
        <v>0</v>
      </c>
      <c r="AS10" s="314">
        <f ca="1">'SC-II'!AS156</f>
        <v>0</v>
      </c>
      <c r="AT10" s="314">
        <f ca="1">'SC-II'!AT156</f>
        <v>0</v>
      </c>
      <c r="AU10" s="314">
        <f ca="1">'SC-II'!AU156</f>
        <v>0</v>
      </c>
      <c r="AV10" s="314">
        <f ca="1">'SC-II'!AV156</f>
        <v>0</v>
      </c>
      <c r="AW10" s="314">
        <f ca="1">'SC-II'!AW156</f>
        <v>0</v>
      </c>
      <c r="AX10" s="314">
        <f ca="1">'SC-II'!AX156</f>
        <v>0</v>
      </c>
      <c r="AY10" s="314">
        <f ca="1">'SC-II'!AY156</f>
        <v>0</v>
      </c>
      <c r="AZ10" s="314">
        <f ca="1">'SC-II'!AZ156</f>
        <v>0</v>
      </c>
      <c r="BA10" s="314">
        <f ca="1">'SC-II'!BA156</f>
        <v>44146223</v>
      </c>
    </row>
    <row r="11" spans="1:53" s="315" customFormat="1" ht="15.75" customHeight="1">
      <c r="A11" s="63">
        <f t="array" aca="1" ref="A11" ca="1">IF(C11&lt;&gt;0,SUM(($C$11:C11&lt;&gt;0)*1),"")</f>
        <v>1</v>
      </c>
      <c r="B11" s="316" t="str">
        <f ca="1">IF(ROWS($1:1)&gt;COUNT(Dong8),"",OFFSET(TH!C$1,SMALL(Dong8,ROWS($1:1)),))</f>
        <v/>
      </c>
      <c r="C11" s="316" t="str">
        <f ca="1">IF(ROWS($1:1)&gt;COUNT(Dong8),"",OFFSET(TH!D$1,SMALL(Dong8,ROWS($1:1)),))</f>
        <v/>
      </c>
      <c r="D11" s="316" t="str">
        <f ca="1">IF(ROWS($1:1)&gt;COUNT(Dong8),"",OFFSET(TH!E$1,SMALL(Dong8,ROWS($1:1)),))</f>
        <v/>
      </c>
      <c r="E11" s="436" t="str">
        <f ca="1">IF(ROWS($1:1)&gt;COUNT(Dong8),"",OFFSET(TH!F$1,SMALL(Dong8,ROWS($1:1)),))</f>
        <v/>
      </c>
      <c r="F11" s="372" t="str">
        <f ca="1">IF(ROWS($1:1)&gt;COUNT(Dong8),"",OFFSET(TH!M$1,SMALL(Dong8,ROWS($1:1)),))</f>
        <v/>
      </c>
      <c r="G11" s="374" t="str">
        <f ca="1">IF(ROWS($1:1)&gt;COUNT(Dong8),"",OFFSET(TH!N$1,SMALL(Dong8,ROWS($1:1)),))</f>
        <v/>
      </c>
      <c r="H11" s="374" t="str">
        <f ca="1">IF(ROWS($1:1)&gt;COUNT(Dong8),"",OFFSET(TH!O$1,SMALL(Dong8,ROWS($1:1)),))</f>
        <v/>
      </c>
      <c r="I11" s="63">
        <f t="shared" ref="I11:I26" ca="1" si="0">A11</f>
        <v>1</v>
      </c>
      <c r="J11" s="318">
        <f t="shared" ref="J11:J74" ca="1" si="1">IF($G11="1111",$F11,0)</f>
        <v>0</v>
      </c>
      <c r="K11" s="318">
        <f t="shared" ref="K11:K74" ca="1" si="2">IF($H11="1111",$F11,0)</f>
        <v>0</v>
      </c>
      <c r="L11" s="318">
        <f t="shared" ref="L11:L74" ca="1" si="3">IF($G11="1121",$F11,0)</f>
        <v>0</v>
      </c>
      <c r="M11" s="318">
        <f t="shared" ref="M11:M74" ca="1" si="4">IF($H11="1121",$F11,0)</f>
        <v>0</v>
      </c>
      <c r="N11" s="318">
        <f ca="1">IF($G11="1122",$F11,0)</f>
        <v>0</v>
      </c>
      <c r="O11" s="318">
        <f ca="1">IF($H11="1122",$F11,0)</f>
        <v>0</v>
      </c>
      <c r="P11" s="318">
        <f t="shared" ref="P11:P74" ca="1" si="5">IF($G11="1331",$F11,0)</f>
        <v>0</v>
      </c>
      <c r="Q11" s="318">
        <f t="shared" ref="Q11:Q74" ca="1" si="6">IF($H11="1331",$F11,0)</f>
        <v>0</v>
      </c>
      <c r="R11" s="318">
        <f t="shared" ref="R11:R74" ca="1" si="7">IF($G11="1388",$F11,0)</f>
        <v>0</v>
      </c>
      <c r="S11" s="318">
        <f t="shared" ref="S11:S74" ca="1" si="8">IF($H11="1388",$F11,0)</f>
        <v>0</v>
      </c>
      <c r="T11" s="318">
        <f ca="1">IF($G11="2412",$F11,0)</f>
        <v>0</v>
      </c>
      <c r="U11" s="318">
        <f ca="1">IF($H11="2412",$F11,0)</f>
        <v>0</v>
      </c>
      <c r="V11" s="318">
        <f t="shared" ref="V11:V74" ca="1" si="9">IF($G11="331",$F11,0)</f>
        <v>0</v>
      </c>
      <c r="W11" s="318">
        <f t="shared" ref="W11:W74" ca="1" si="10">IF($H11="331",$F11,0)</f>
        <v>0</v>
      </c>
      <c r="X11" s="318">
        <f t="shared" ref="X11:X74" ca="1" si="11">IF($G11="3334",$F11,0)</f>
        <v>0</v>
      </c>
      <c r="Y11" s="318">
        <f t="shared" ref="Y11:Y74" ca="1" si="12">IF($H11="3334",$F11,0)</f>
        <v>0</v>
      </c>
      <c r="Z11" s="318">
        <f t="shared" ref="Z11:Z74" ca="1" si="13">IF($G11="33382",$F11,0)</f>
        <v>0</v>
      </c>
      <c r="AA11" s="318">
        <f t="shared" ref="AA11:AA74" ca="1" si="14">IF($H11="33382",$F11,0)</f>
        <v>0</v>
      </c>
      <c r="AB11" s="318">
        <f t="shared" ref="AB11:AB74" ca="1" si="15">IF($G11="3388",$F11,0)</f>
        <v>0</v>
      </c>
      <c r="AC11" s="318">
        <f t="shared" ref="AC11:AC74" ca="1" si="16">IF($H11="3388",$F11,0)</f>
        <v>0</v>
      </c>
      <c r="AD11" s="318">
        <f t="shared" ref="AD11:AD74" ca="1" si="17">IF($G11="3411",$F11,0)</f>
        <v>0</v>
      </c>
      <c r="AE11" s="318">
        <f t="shared" ref="AE11:AE74" ca="1" si="18">IF($H11="3411",$F11,0)</f>
        <v>0</v>
      </c>
      <c r="AF11" s="318">
        <f ca="1">IF($G11="3412",$F11,0)</f>
        <v>0</v>
      </c>
      <c r="AG11" s="318">
        <f ca="1">IF($H11="3412",$F11,0)</f>
        <v>0</v>
      </c>
      <c r="AH11" s="318">
        <f t="shared" ref="AH11:AH74" ca="1" si="19">IF($G11="4111",$F11,0)</f>
        <v>0</v>
      </c>
      <c r="AI11" s="318">
        <f t="shared" ref="AI11:AI74" ca="1" si="20">IF($H11="4111",$F11,0)</f>
        <v>0</v>
      </c>
      <c r="AJ11" s="318">
        <f t="shared" ref="AJ11:AJ74" ca="1" si="21">IF($G11="4211",$F11,0)</f>
        <v>0</v>
      </c>
      <c r="AK11" s="318">
        <f t="shared" ref="AK11:AK74" ca="1" si="22">IF($H11="4211",$F11,0)</f>
        <v>0</v>
      </c>
      <c r="AL11" s="318">
        <f t="shared" ref="AL11:AL74" ca="1" si="23">IF($G11="4212",$F11,0)</f>
        <v>0</v>
      </c>
      <c r="AM11" s="318">
        <f t="shared" ref="AM11:AM74" ca="1" si="24">IF($H11="4212",$F11,0)</f>
        <v>0</v>
      </c>
      <c r="AN11" s="318">
        <f t="shared" ref="AN11:AN74" ca="1" si="25">IF($G11="515",$F11,0)</f>
        <v>0</v>
      </c>
      <c r="AO11" s="318">
        <f t="shared" ref="AO11:AO74" ca="1" si="26">IF($H11="515",$F11,0)</f>
        <v>0</v>
      </c>
      <c r="AP11" s="318">
        <f t="shared" ref="AP11:AP74" ca="1" si="27">IF($G11="635",$F11,0)</f>
        <v>0</v>
      </c>
      <c r="AQ11" s="318">
        <f t="shared" ref="AQ11:AQ74" ca="1" si="28">IF($H11="635",$F11,0)</f>
        <v>0</v>
      </c>
      <c r="AR11" s="318">
        <f t="shared" ref="AR11:AR74" ca="1" si="29">IF($G11="642",$F11,0)</f>
        <v>0</v>
      </c>
      <c r="AS11" s="318">
        <f t="shared" ref="AS11:AS74" ca="1" si="30">IF($H11="642",$F11,0)</f>
        <v>0</v>
      </c>
      <c r="AT11" s="318">
        <f t="shared" ref="AT11:AT74" ca="1" si="31">IF($G11="711",$F11,0)</f>
        <v>0</v>
      </c>
      <c r="AU11" s="318">
        <f t="shared" ref="AU11:AU74" ca="1" si="32">IF($H11="711",$F11,0)</f>
        <v>0</v>
      </c>
      <c r="AV11" s="318">
        <f t="shared" ref="AV11:AV74" ca="1" si="33">IF($G11="811",$F11,0)</f>
        <v>0</v>
      </c>
      <c r="AW11" s="318">
        <f t="shared" ref="AW11:AW74" ca="1" si="34">IF($H11="811",$F11,0)</f>
        <v>0</v>
      </c>
      <c r="AX11" s="318">
        <f t="shared" ref="AX11:AX74" ca="1" si="35">IF($G11="821",$F11,0)</f>
        <v>0</v>
      </c>
      <c r="AY11" s="318">
        <f t="shared" ref="AY11:AY74" ca="1" si="36">IF($H11="821",$F11,0)</f>
        <v>0</v>
      </c>
      <c r="AZ11" s="318">
        <f t="shared" ref="AZ11:AZ74" ca="1" si="37">IF($G11="911",$F11,0)</f>
        <v>0</v>
      </c>
      <c r="BA11" s="318">
        <f t="shared" ref="BA11:BA74" ca="1" si="38">IF($H11="911",$F11,0)</f>
        <v>0</v>
      </c>
    </row>
    <row r="12" spans="1:53" s="315" customFormat="1" ht="15.75" customHeight="1">
      <c r="A12" s="63" t="str">
        <f t="array" ref="A12">IF(C12&lt;&gt;0,SUM(($C$11:C12&lt;&gt;0)*1),"")</f>
        <v/>
      </c>
      <c r="B12" s="316"/>
      <c r="C12" s="316"/>
      <c r="D12" s="316"/>
      <c r="E12" s="436"/>
      <c r="F12" s="372"/>
      <c r="G12" s="374"/>
      <c r="H12" s="374"/>
      <c r="I12" s="63" t="str">
        <f t="shared" si="0"/>
        <v/>
      </c>
      <c r="J12" s="318">
        <f t="shared" si="1"/>
        <v>0</v>
      </c>
      <c r="K12" s="318">
        <f t="shared" si="2"/>
        <v>0</v>
      </c>
      <c r="L12" s="318">
        <f t="shared" si="3"/>
        <v>0</v>
      </c>
      <c r="M12" s="318">
        <f t="shared" si="4"/>
        <v>0</v>
      </c>
      <c r="N12" s="318">
        <f t="shared" ref="N12:N75" si="39">IF($G12="1122",$F12,0)</f>
        <v>0</v>
      </c>
      <c r="O12" s="318">
        <f t="shared" ref="O12:O75" si="40">IF($H12="1122",$F12,0)</f>
        <v>0</v>
      </c>
      <c r="P12" s="318">
        <f t="shared" si="5"/>
        <v>0</v>
      </c>
      <c r="Q12" s="318">
        <f t="shared" si="6"/>
        <v>0</v>
      </c>
      <c r="R12" s="318">
        <f t="shared" si="7"/>
        <v>0</v>
      </c>
      <c r="S12" s="318">
        <f t="shared" si="8"/>
        <v>0</v>
      </c>
      <c r="T12" s="318">
        <f t="shared" ref="T12:T75" si="41">IF($G12="2412",$F12,0)</f>
        <v>0</v>
      </c>
      <c r="U12" s="318">
        <f t="shared" ref="U12:U75"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5" si="43">IF($G12="3412",$F12,0)</f>
        <v>0</v>
      </c>
      <c r="AG12" s="318">
        <f t="shared" ref="AG12:AG75"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5.75" customHeight="1">
      <c r="A13" s="63" t="str">
        <f t="array" ref="A13">IF(C13&lt;&gt;0,SUM(($C$11:C13&lt;&gt;0)*1),"")</f>
        <v/>
      </c>
      <c r="B13" s="316"/>
      <c r="C13" s="316"/>
      <c r="D13" s="316"/>
      <c r="E13" s="436"/>
      <c r="F13" s="372"/>
      <c r="G13" s="374"/>
      <c r="H13" s="374"/>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5.75" customHeight="1">
      <c r="A14" s="63" t="str">
        <f t="array" ref="A14">IF(C14&lt;&gt;0,SUM(($C$11:C14&lt;&gt;0)*1),"")</f>
        <v/>
      </c>
      <c r="B14" s="316"/>
      <c r="C14" s="316"/>
      <c r="D14" s="316"/>
      <c r="E14" s="436"/>
      <c r="F14" s="372"/>
      <c r="G14" s="374"/>
      <c r="H14" s="374"/>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5.75" customHeight="1">
      <c r="A15" s="63" t="str">
        <f t="array" ref="A15">IF(C15&lt;&gt;0,SUM(($C$11:C15&lt;&gt;0)*1),"")</f>
        <v/>
      </c>
      <c r="B15" s="316"/>
      <c r="C15" s="316"/>
      <c r="D15" s="316"/>
      <c r="E15" s="436"/>
      <c r="F15" s="372"/>
      <c r="G15" s="374"/>
      <c r="H15" s="374"/>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5.75" customHeight="1">
      <c r="A16" s="63" t="str">
        <f t="array" ref="A16">IF(C16&lt;&gt;0,SUM(($C$11:C16&lt;&gt;0)*1),"")</f>
        <v/>
      </c>
      <c r="B16" s="316"/>
      <c r="C16" s="316"/>
      <c r="D16" s="316"/>
      <c r="E16" s="436"/>
      <c r="F16" s="372"/>
      <c r="G16" s="374"/>
      <c r="H16" s="374"/>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5.75" customHeight="1">
      <c r="A17" s="63" t="str">
        <f t="array" ref="A17">IF(C17&lt;&gt;0,SUM(($C$11:C17&lt;&gt;0)*1),"")</f>
        <v/>
      </c>
      <c r="B17" s="316"/>
      <c r="C17" s="316"/>
      <c r="D17" s="316"/>
      <c r="E17" s="436"/>
      <c r="F17" s="372"/>
      <c r="G17" s="374"/>
      <c r="H17" s="374"/>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5.75" customHeight="1">
      <c r="A18" s="63" t="str">
        <f t="array" ref="A18">IF(C18&lt;&gt;0,SUM(($C$11:C18&lt;&gt;0)*1),"")</f>
        <v/>
      </c>
      <c r="B18" s="316"/>
      <c r="C18" s="316"/>
      <c r="D18" s="316"/>
      <c r="E18" s="436"/>
      <c r="F18" s="372"/>
      <c r="G18" s="374"/>
      <c r="H18" s="374"/>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5.75" customHeight="1">
      <c r="A19" s="63" t="str">
        <f t="array" ref="A19">IF(C19&lt;&gt;0,SUM(($C$11:C19&lt;&gt;0)*1),"")</f>
        <v/>
      </c>
      <c r="B19" s="316"/>
      <c r="C19" s="316"/>
      <c r="D19" s="316"/>
      <c r="E19" s="436"/>
      <c r="F19" s="372"/>
      <c r="G19" s="374"/>
      <c r="H19" s="374"/>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5.75" customHeight="1">
      <c r="A20" s="63" t="str">
        <f t="array" ref="A20">IF(C20&lt;&gt;0,SUM(($C$11:C20&lt;&gt;0)*1),"")</f>
        <v/>
      </c>
      <c r="B20" s="316"/>
      <c r="C20" s="316"/>
      <c r="D20" s="316"/>
      <c r="E20" s="436"/>
      <c r="F20" s="372"/>
      <c r="G20" s="374"/>
      <c r="H20" s="374"/>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5.75" customHeight="1">
      <c r="A21" s="63" t="str">
        <f t="array" ref="A21">IF(C21&lt;&gt;0,SUM(($C$11:C21&lt;&gt;0)*1),"")</f>
        <v/>
      </c>
      <c r="B21" s="316"/>
      <c r="C21" s="316"/>
      <c r="D21" s="316"/>
      <c r="E21" s="436"/>
      <c r="F21" s="372"/>
      <c r="G21" s="374"/>
      <c r="H21" s="374"/>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5.75" customHeight="1">
      <c r="A22" s="63" t="str">
        <f t="array" ref="A22">IF(C22&lt;&gt;0,SUM(($C$11:C22&lt;&gt;0)*1),"")</f>
        <v/>
      </c>
      <c r="B22" s="316"/>
      <c r="C22" s="316"/>
      <c r="D22" s="316"/>
      <c r="E22" s="436"/>
      <c r="F22" s="372"/>
      <c r="G22" s="374"/>
      <c r="H22" s="374"/>
      <c r="I22" s="63" t="str">
        <f t="shared" si="0"/>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5.75" customHeight="1">
      <c r="A23" s="63" t="str">
        <f t="array" ref="A23">IF(C23&lt;&gt;0,SUM(($C$11:C23&lt;&gt;0)*1),"")</f>
        <v/>
      </c>
      <c r="B23" s="316"/>
      <c r="C23" s="316"/>
      <c r="D23" s="316"/>
      <c r="E23" s="436"/>
      <c r="F23" s="372"/>
      <c r="G23" s="374"/>
      <c r="H23" s="374"/>
      <c r="I23" s="63" t="str">
        <f t="shared" si="0"/>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5.75" customHeight="1">
      <c r="A24" s="63" t="str">
        <f t="array" ref="A24">IF(C24&lt;&gt;0,SUM(($C$11:C24&lt;&gt;0)*1),"")</f>
        <v/>
      </c>
      <c r="B24" s="316"/>
      <c r="C24" s="316"/>
      <c r="D24" s="316"/>
      <c r="E24" s="436"/>
      <c r="F24" s="372"/>
      <c r="G24" s="374"/>
      <c r="H24" s="374"/>
      <c r="I24" s="63" t="str">
        <f t="shared" si="0"/>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5.75" customHeight="1">
      <c r="A25" s="63" t="str">
        <f t="array" ref="A25">IF(C25&lt;&gt;0,SUM(($C$11:C25&lt;&gt;0)*1),"")</f>
        <v/>
      </c>
      <c r="B25" s="316"/>
      <c r="C25" s="316"/>
      <c r="D25" s="316"/>
      <c r="E25" s="436"/>
      <c r="F25" s="372"/>
      <c r="G25" s="374"/>
      <c r="H25" s="374"/>
      <c r="I25" s="63" t="str">
        <f t="shared" si="0"/>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5.75" customHeight="1">
      <c r="A26" s="63" t="str">
        <f t="array" ref="A26">IF(C26&lt;&gt;0,SUM(($C$11:C26&lt;&gt;0)*1),"")</f>
        <v/>
      </c>
      <c r="B26" s="316"/>
      <c r="C26" s="316"/>
      <c r="D26" s="316"/>
      <c r="E26" s="436"/>
      <c r="F26" s="372"/>
      <c r="G26" s="374"/>
      <c r="H26" s="374"/>
      <c r="I26" s="63" t="str">
        <f t="shared" si="0"/>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5.75" customHeight="1">
      <c r="A27" s="63" t="str">
        <f t="array" ref="A27">IF(C27&lt;&gt;0,SUM(($C$11:C27&lt;&gt;0)*1),"")</f>
        <v/>
      </c>
      <c r="B27" s="316"/>
      <c r="C27" s="316"/>
      <c r="D27" s="316"/>
      <c r="E27" s="436"/>
      <c r="F27" s="372"/>
      <c r="G27" s="374"/>
      <c r="H27" s="374"/>
      <c r="I27" s="63" t="str">
        <f>A27</f>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5.75" customHeight="1">
      <c r="A28" s="63" t="str">
        <f t="array" ref="A28">IF(C28&lt;&gt;0,SUM(($C$11:C28&lt;&gt;0)*1),"")</f>
        <v/>
      </c>
      <c r="B28" s="316"/>
      <c r="C28" s="316"/>
      <c r="D28" s="316"/>
      <c r="E28" s="436"/>
      <c r="F28" s="372"/>
      <c r="G28" s="374"/>
      <c r="H28" s="374"/>
      <c r="I28" s="63" t="str">
        <f t="shared" ref="I28:I91" si="45">A28</f>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5.75" customHeight="1">
      <c r="A29" s="63" t="str">
        <f t="array" ref="A29">IF(C29&lt;&gt;0,SUM(($C$11:C29&lt;&gt;0)*1),"")</f>
        <v/>
      </c>
      <c r="B29" s="316"/>
      <c r="C29" s="316"/>
      <c r="D29" s="316"/>
      <c r="E29" s="436"/>
      <c r="F29" s="372"/>
      <c r="G29" s="374"/>
      <c r="H29" s="374"/>
      <c r="I29" s="63" t="str">
        <f t="shared" si="45"/>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5.75" customHeight="1">
      <c r="A30" s="63" t="str">
        <f t="array" ref="A30">IF(C30&lt;&gt;0,SUM(($C$11:C30&lt;&gt;0)*1),"")</f>
        <v/>
      </c>
      <c r="B30" s="316"/>
      <c r="C30" s="316"/>
      <c r="D30" s="316"/>
      <c r="E30" s="436"/>
      <c r="F30" s="372"/>
      <c r="G30" s="374"/>
      <c r="H30" s="374"/>
      <c r="I30" s="63" t="str">
        <f t="shared" si="45"/>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5.75" customHeight="1">
      <c r="A31" s="63" t="str">
        <f t="array" ref="A31">IF(C31&lt;&gt;0,SUM(($C$11:C31&lt;&gt;0)*1),"")</f>
        <v/>
      </c>
      <c r="B31" s="316"/>
      <c r="C31" s="316"/>
      <c r="D31" s="316"/>
      <c r="E31" s="436"/>
      <c r="F31" s="372"/>
      <c r="G31" s="374"/>
      <c r="H31" s="374"/>
      <c r="I31" s="63" t="str">
        <f t="shared" si="45"/>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5.75" customHeight="1">
      <c r="A32" s="63" t="str">
        <f t="array" ref="A32">IF(C32&lt;&gt;0,SUM(($C$11:C32&lt;&gt;0)*1),"")</f>
        <v/>
      </c>
      <c r="B32" s="316"/>
      <c r="C32" s="316"/>
      <c r="D32" s="316"/>
      <c r="E32" s="436"/>
      <c r="F32" s="372"/>
      <c r="G32" s="374"/>
      <c r="H32" s="374"/>
      <c r="I32" s="63" t="str">
        <f t="shared" si="45"/>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5.75" customHeight="1">
      <c r="A33" s="63" t="str">
        <f t="array" ref="A33">IF(C33&lt;&gt;0,SUM(($C$11:C33&lt;&gt;0)*1),"")</f>
        <v/>
      </c>
      <c r="B33" s="316"/>
      <c r="C33" s="316"/>
      <c r="D33" s="316"/>
      <c r="E33" s="436"/>
      <c r="F33" s="372"/>
      <c r="G33" s="374"/>
      <c r="H33" s="374"/>
      <c r="I33" s="63" t="str">
        <f t="shared" si="45"/>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5.75" customHeight="1">
      <c r="A34" s="63" t="str">
        <f t="array" ref="A34">IF(C34&lt;&gt;0,SUM(($C$11:C34&lt;&gt;0)*1),"")</f>
        <v/>
      </c>
      <c r="B34" s="316"/>
      <c r="C34" s="316"/>
      <c r="D34" s="316"/>
      <c r="E34" s="436"/>
      <c r="F34" s="372"/>
      <c r="G34" s="374"/>
      <c r="H34" s="374"/>
      <c r="I34" s="63" t="str">
        <f t="shared" si="45"/>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5.75" customHeight="1">
      <c r="A35" s="63" t="str">
        <f t="array" ref="A35">IF(C35&lt;&gt;0,SUM(($C$11:C35&lt;&gt;0)*1),"")</f>
        <v/>
      </c>
      <c r="B35" s="316"/>
      <c r="C35" s="316"/>
      <c r="D35" s="316"/>
      <c r="E35" s="436"/>
      <c r="F35" s="372"/>
      <c r="G35" s="374"/>
      <c r="H35" s="374"/>
      <c r="I35" s="63" t="str">
        <f t="shared" si="45"/>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5.75" customHeight="1">
      <c r="A36" s="63" t="str">
        <f t="array" ref="A36">IF(C36&lt;&gt;0,SUM(($C$11:C36&lt;&gt;0)*1),"")</f>
        <v/>
      </c>
      <c r="B36" s="316"/>
      <c r="C36" s="316"/>
      <c r="D36" s="316"/>
      <c r="E36" s="436"/>
      <c r="F36" s="372"/>
      <c r="G36" s="374"/>
      <c r="H36" s="374"/>
      <c r="I36" s="63" t="str">
        <f t="shared" si="45"/>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5.75" customHeight="1">
      <c r="A37" s="63" t="str">
        <f t="array" ref="A37">IF(C37&lt;&gt;0,SUM(($C$11:C37&lt;&gt;0)*1),"")</f>
        <v/>
      </c>
      <c r="B37" s="316"/>
      <c r="C37" s="316"/>
      <c r="D37" s="316"/>
      <c r="E37" s="436"/>
      <c r="F37" s="372"/>
      <c r="G37" s="374"/>
      <c r="H37" s="374"/>
      <c r="I37" s="63" t="str">
        <f t="shared" si="45"/>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5.75" customHeight="1">
      <c r="A38" s="63" t="str">
        <f t="array" ref="A38">IF(C38&lt;&gt;0,SUM(($C$11:C38&lt;&gt;0)*1),"")</f>
        <v/>
      </c>
      <c r="B38" s="316"/>
      <c r="C38" s="316"/>
      <c r="D38" s="316"/>
      <c r="E38" s="436"/>
      <c r="F38" s="372"/>
      <c r="G38" s="374"/>
      <c r="H38" s="374"/>
      <c r="I38" s="63" t="str">
        <f t="shared" si="45"/>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5.75" customHeight="1">
      <c r="A39" s="63" t="str">
        <f t="array" ref="A39">IF(C39&lt;&gt;0,SUM(($C$11:C39&lt;&gt;0)*1),"")</f>
        <v/>
      </c>
      <c r="B39" s="316"/>
      <c r="C39" s="316"/>
      <c r="D39" s="316"/>
      <c r="E39" s="436"/>
      <c r="F39" s="372"/>
      <c r="G39" s="374"/>
      <c r="H39" s="374"/>
      <c r="I39" s="63" t="str">
        <f t="shared" si="45"/>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5.75" customHeight="1">
      <c r="A40" s="63" t="str">
        <f t="array" ref="A40">IF(C40&lt;&gt;0,SUM(($C$11:C40&lt;&gt;0)*1),"")</f>
        <v/>
      </c>
      <c r="B40" s="316"/>
      <c r="C40" s="316"/>
      <c r="D40" s="316"/>
      <c r="E40" s="436"/>
      <c r="F40" s="372"/>
      <c r="G40" s="374"/>
      <c r="H40" s="374"/>
      <c r="I40" s="63" t="str">
        <f t="shared" si="45"/>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5.75" customHeight="1">
      <c r="A41" s="63" t="str">
        <f t="array" ref="A41">IF(C41&lt;&gt;0,SUM(($C$11:C41&lt;&gt;0)*1),"")</f>
        <v/>
      </c>
      <c r="B41" s="316"/>
      <c r="C41" s="316"/>
      <c r="D41" s="316"/>
      <c r="E41" s="436"/>
      <c r="F41" s="372"/>
      <c r="G41" s="374"/>
      <c r="H41" s="374"/>
      <c r="I41" s="63" t="str">
        <f t="shared" si="45"/>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5.75" customHeight="1">
      <c r="A42" s="63" t="str">
        <f t="array" ref="A42">IF(C42&lt;&gt;0,SUM(($C$11:C42&lt;&gt;0)*1),"")</f>
        <v/>
      </c>
      <c r="B42" s="316"/>
      <c r="C42" s="316"/>
      <c r="D42" s="316"/>
      <c r="E42" s="436"/>
      <c r="F42" s="372"/>
      <c r="G42" s="374"/>
      <c r="H42" s="374"/>
      <c r="I42" s="63" t="str">
        <f t="shared" si="45"/>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5.75" customHeight="1">
      <c r="A43" s="63" t="str">
        <f t="array" ref="A43">IF(C43&lt;&gt;0,SUM(($C$11:C43&lt;&gt;0)*1),"")</f>
        <v/>
      </c>
      <c r="B43" s="316"/>
      <c r="C43" s="316"/>
      <c r="D43" s="316"/>
      <c r="E43" s="436"/>
      <c r="F43" s="372"/>
      <c r="G43" s="374"/>
      <c r="H43" s="374"/>
      <c r="I43" s="63" t="str">
        <f t="shared" si="45"/>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5.75" customHeight="1">
      <c r="A44" s="63" t="str">
        <f t="array" ref="A44">IF(C44&lt;&gt;0,SUM(($C$11:C44&lt;&gt;0)*1),"")</f>
        <v/>
      </c>
      <c r="B44" s="316"/>
      <c r="C44" s="316"/>
      <c r="D44" s="316"/>
      <c r="E44" s="436"/>
      <c r="F44" s="372"/>
      <c r="G44" s="374"/>
      <c r="H44" s="374"/>
      <c r="I44" s="63" t="str">
        <f t="shared" si="45"/>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5.75" customHeight="1">
      <c r="A45" s="63" t="str">
        <f t="array" ref="A45">IF(C45&lt;&gt;0,SUM(($C$11:C45&lt;&gt;0)*1),"")</f>
        <v/>
      </c>
      <c r="B45" s="316"/>
      <c r="C45" s="316"/>
      <c r="D45" s="316"/>
      <c r="E45" s="436"/>
      <c r="F45" s="372"/>
      <c r="G45" s="374"/>
      <c r="H45" s="374"/>
      <c r="I45" s="63" t="str">
        <f t="shared" si="45"/>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5.75" customHeight="1">
      <c r="A46" s="63" t="str">
        <f t="array" ref="A46">IF(C46&lt;&gt;0,SUM(($C$11:C46&lt;&gt;0)*1),"")</f>
        <v/>
      </c>
      <c r="B46" s="316"/>
      <c r="C46" s="316"/>
      <c r="D46" s="316"/>
      <c r="E46" s="436"/>
      <c r="F46" s="372"/>
      <c r="G46" s="374"/>
      <c r="H46" s="374"/>
      <c r="I46" s="63" t="str">
        <f t="shared" si="45"/>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5.75" customHeight="1">
      <c r="A47" s="63" t="str">
        <f t="array" ref="A47">IF(C47&lt;&gt;0,SUM(($C$11:C47&lt;&gt;0)*1),"")</f>
        <v/>
      </c>
      <c r="B47" s="316"/>
      <c r="C47" s="316"/>
      <c r="D47" s="316"/>
      <c r="E47" s="436"/>
      <c r="F47" s="372"/>
      <c r="G47" s="374"/>
      <c r="H47" s="374"/>
      <c r="I47" s="63" t="str">
        <f t="shared" si="45"/>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5.75" customHeight="1">
      <c r="A48" s="63" t="str">
        <f t="array" ref="A48">IF(C48&lt;&gt;0,SUM(($C$11:C48&lt;&gt;0)*1),"")</f>
        <v/>
      </c>
      <c r="B48" s="316"/>
      <c r="C48" s="316"/>
      <c r="D48" s="316"/>
      <c r="E48" s="436"/>
      <c r="F48" s="372"/>
      <c r="G48" s="374"/>
      <c r="H48" s="374"/>
      <c r="I48" s="63" t="str">
        <f t="shared" si="45"/>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5.75" customHeight="1">
      <c r="A49" s="63" t="str">
        <f t="array" ref="A49">IF(C49&lt;&gt;0,SUM(($C$11:C49&lt;&gt;0)*1),"")</f>
        <v/>
      </c>
      <c r="B49" s="316"/>
      <c r="C49" s="316"/>
      <c r="D49" s="316"/>
      <c r="E49" s="436"/>
      <c r="F49" s="372"/>
      <c r="G49" s="374"/>
      <c r="H49" s="374"/>
      <c r="I49" s="63" t="str">
        <f t="shared" si="45"/>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5.75" customHeight="1">
      <c r="A50" s="63" t="str">
        <f t="array" ref="A50">IF(C50&lt;&gt;0,SUM(($C$11:C50&lt;&gt;0)*1),"")</f>
        <v/>
      </c>
      <c r="B50" s="316"/>
      <c r="C50" s="316"/>
      <c r="D50" s="316"/>
      <c r="E50" s="436"/>
      <c r="F50" s="372"/>
      <c r="G50" s="374"/>
      <c r="H50" s="374"/>
      <c r="I50" s="63" t="str">
        <f t="shared" si="45"/>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5.75" customHeight="1">
      <c r="A51" s="63" t="str">
        <f t="array" ref="A51">IF(C51&lt;&gt;0,SUM(($C$11:C51&lt;&gt;0)*1),"")</f>
        <v/>
      </c>
      <c r="B51" s="316"/>
      <c r="C51" s="316"/>
      <c r="D51" s="316"/>
      <c r="E51" s="436"/>
      <c r="F51" s="372"/>
      <c r="G51" s="374"/>
      <c r="H51" s="374"/>
      <c r="I51" s="63" t="str">
        <f t="shared" si="45"/>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5.75" customHeight="1">
      <c r="A52" s="63" t="str">
        <f t="array" ref="A52">IF(C52&lt;&gt;0,SUM(($C$11:C52&lt;&gt;0)*1),"")</f>
        <v/>
      </c>
      <c r="B52" s="316"/>
      <c r="C52" s="316"/>
      <c r="D52" s="316"/>
      <c r="E52" s="436"/>
      <c r="F52" s="372"/>
      <c r="G52" s="374"/>
      <c r="H52" s="374"/>
      <c r="I52" s="63" t="str">
        <f t="shared" si="45"/>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5.75" customHeight="1">
      <c r="A53" s="63" t="str">
        <f t="array" ref="A53">IF(C53&lt;&gt;0,SUM(($C$11:C53&lt;&gt;0)*1),"")</f>
        <v/>
      </c>
      <c r="B53" s="316"/>
      <c r="C53" s="316"/>
      <c r="D53" s="316"/>
      <c r="E53" s="436"/>
      <c r="F53" s="372"/>
      <c r="G53" s="374"/>
      <c r="H53" s="374"/>
      <c r="I53" s="63" t="str">
        <f t="shared" si="45"/>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5.75" customHeight="1">
      <c r="A54" s="63" t="str">
        <f t="array" ref="A54">IF(C54&lt;&gt;0,SUM(($C$11:C54&lt;&gt;0)*1),"")</f>
        <v/>
      </c>
      <c r="B54" s="316"/>
      <c r="C54" s="316"/>
      <c r="D54" s="316"/>
      <c r="E54" s="436"/>
      <c r="F54" s="372"/>
      <c r="G54" s="374"/>
      <c r="H54" s="374"/>
      <c r="I54" s="63" t="str">
        <f t="shared" si="45"/>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5.75" customHeight="1">
      <c r="A55" s="63" t="str">
        <f t="array" ref="A55">IF(C55&lt;&gt;0,SUM(($C$11:C55&lt;&gt;0)*1),"")</f>
        <v/>
      </c>
      <c r="B55" s="316"/>
      <c r="C55" s="316"/>
      <c r="D55" s="316"/>
      <c r="E55" s="436"/>
      <c r="F55" s="372"/>
      <c r="G55" s="374"/>
      <c r="H55" s="374"/>
      <c r="I55" s="63" t="str">
        <f t="shared" si="45"/>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5.75" customHeight="1">
      <c r="A56" s="63" t="str">
        <f t="array" ref="A56">IF(C56&lt;&gt;0,SUM(($C$11:C56&lt;&gt;0)*1),"")</f>
        <v/>
      </c>
      <c r="B56" s="316"/>
      <c r="C56" s="316"/>
      <c r="D56" s="316"/>
      <c r="E56" s="436"/>
      <c r="F56" s="372"/>
      <c r="G56" s="374"/>
      <c r="H56" s="374"/>
      <c r="I56" s="63" t="str">
        <f t="shared" si="45"/>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5.75" customHeight="1">
      <c r="A57" s="63" t="str">
        <f t="array" ref="A57">IF(C57&lt;&gt;0,SUM(($C$11:C57&lt;&gt;0)*1),"")</f>
        <v/>
      </c>
      <c r="B57" s="316"/>
      <c r="C57" s="316"/>
      <c r="D57" s="316"/>
      <c r="E57" s="436"/>
      <c r="F57" s="372"/>
      <c r="G57" s="374"/>
      <c r="H57" s="374"/>
      <c r="I57" s="63" t="str">
        <f t="shared" si="45"/>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5.75" customHeight="1">
      <c r="A58" s="63" t="str">
        <f t="array" ref="A58">IF(C58&lt;&gt;0,SUM(($C$11:C58&lt;&gt;0)*1),"")</f>
        <v/>
      </c>
      <c r="B58" s="316"/>
      <c r="C58" s="316"/>
      <c r="D58" s="316"/>
      <c r="E58" s="436"/>
      <c r="F58" s="372"/>
      <c r="G58" s="374"/>
      <c r="H58" s="374"/>
      <c r="I58" s="63" t="str">
        <f t="shared" si="45"/>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5.75" customHeight="1">
      <c r="A59" s="63" t="str">
        <f t="array" ref="A59">IF(C59&lt;&gt;0,SUM(($C$11:C59&lt;&gt;0)*1),"")</f>
        <v/>
      </c>
      <c r="B59" s="316"/>
      <c r="C59" s="316"/>
      <c r="D59" s="316"/>
      <c r="E59" s="436"/>
      <c r="F59" s="372"/>
      <c r="G59" s="374"/>
      <c r="H59" s="374"/>
      <c r="I59" s="63" t="str">
        <f t="shared" si="45"/>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5.75" customHeight="1">
      <c r="A60" s="63" t="str">
        <f t="array" ref="A60">IF(C60&lt;&gt;0,SUM(($C$11:C60&lt;&gt;0)*1),"")</f>
        <v/>
      </c>
      <c r="B60" s="316"/>
      <c r="C60" s="316"/>
      <c r="D60" s="316"/>
      <c r="E60" s="436"/>
      <c r="F60" s="372"/>
      <c r="G60" s="374"/>
      <c r="H60" s="374"/>
      <c r="I60" s="63" t="str">
        <f t="shared" si="45"/>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5.75" customHeight="1">
      <c r="A61" s="63" t="str">
        <f t="array" ref="A61">IF(C61&lt;&gt;0,SUM(($C$11:C61&lt;&gt;0)*1),"")</f>
        <v/>
      </c>
      <c r="B61" s="316"/>
      <c r="C61" s="316"/>
      <c r="D61" s="316"/>
      <c r="E61" s="436"/>
      <c r="F61" s="372"/>
      <c r="G61" s="374"/>
      <c r="H61" s="374"/>
      <c r="I61" s="63" t="str">
        <f t="shared" si="45"/>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5.75" customHeight="1">
      <c r="A62" s="63" t="str">
        <f t="array" ref="A62">IF(C62&lt;&gt;0,SUM(($C$11:C62&lt;&gt;0)*1),"")</f>
        <v/>
      </c>
      <c r="B62" s="316"/>
      <c r="C62" s="316"/>
      <c r="D62" s="316"/>
      <c r="E62" s="436"/>
      <c r="F62" s="372"/>
      <c r="G62" s="374"/>
      <c r="H62" s="374"/>
      <c r="I62" s="63" t="str">
        <f t="shared" si="45"/>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5.75" customHeight="1">
      <c r="A63" s="63" t="str">
        <f t="array" ref="A63">IF(C63&lt;&gt;0,SUM(($C$11:C63&lt;&gt;0)*1),"")</f>
        <v/>
      </c>
      <c r="B63" s="316"/>
      <c r="C63" s="316"/>
      <c r="D63" s="316"/>
      <c r="E63" s="436"/>
      <c r="F63" s="372"/>
      <c r="G63" s="374"/>
      <c r="H63" s="374"/>
      <c r="I63" s="63" t="str">
        <f t="shared" si="45"/>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5.75" customHeight="1">
      <c r="A64" s="63" t="str">
        <f t="array" ref="A64">IF(C64&lt;&gt;0,SUM(($C$11:C64&lt;&gt;0)*1),"")</f>
        <v/>
      </c>
      <c r="B64" s="316"/>
      <c r="C64" s="316"/>
      <c r="D64" s="316"/>
      <c r="E64" s="436"/>
      <c r="F64" s="372"/>
      <c r="G64" s="374"/>
      <c r="H64" s="374"/>
      <c r="I64" s="63" t="str">
        <f t="shared" si="45"/>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5.75" customHeight="1">
      <c r="A65" s="63" t="str">
        <f t="array" ref="A65">IF(C65&lt;&gt;0,SUM(($C$11:C65&lt;&gt;0)*1),"")</f>
        <v/>
      </c>
      <c r="B65" s="316"/>
      <c r="C65" s="316"/>
      <c r="D65" s="316"/>
      <c r="E65" s="436"/>
      <c r="F65" s="372"/>
      <c r="G65" s="374"/>
      <c r="H65" s="374"/>
      <c r="I65" s="63" t="str">
        <f t="shared" si="45"/>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5.75" customHeight="1">
      <c r="A66" s="63" t="str">
        <f t="array" ref="A66">IF(C66&lt;&gt;0,SUM(($C$11:C66&lt;&gt;0)*1),"")</f>
        <v/>
      </c>
      <c r="B66" s="316"/>
      <c r="C66" s="316"/>
      <c r="D66" s="316"/>
      <c r="E66" s="436"/>
      <c r="F66" s="372"/>
      <c r="G66" s="374"/>
      <c r="H66" s="374"/>
      <c r="I66" s="63" t="str">
        <f t="shared" si="45"/>
        <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5.75" customHeight="1">
      <c r="A67" s="63" t="str">
        <f t="array" ref="A67">IF(C67&lt;&gt;0,SUM(($C$11:C67&lt;&gt;0)*1),"")</f>
        <v/>
      </c>
      <c r="B67" s="316"/>
      <c r="C67" s="316"/>
      <c r="D67" s="316"/>
      <c r="E67" s="436"/>
      <c r="F67" s="372"/>
      <c r="G67" s="374"/>
      <c r="H67" s="374"/>
      <c r="I67" s="63" t="str">
        <f t="shared" si="45"/>
        <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5.75" customHeight="1">
      <c r="A68" s="63" t="str">
        <f t="array" ref="A68">IF(C68&lt;&gt;0,SUM(($C$11:C68&lt;&gt;0)*1),"")</f>
        <v/>
      </c>
      <c r="B68" s="316"/>
      <c r="C68" s="316"/>
      <c r="D68" s="316"/>
      <c r="E68" s="436"/>
      <c r="F68" s="372"/>
      <c r="G68" s="374"/>
      <c r="H68" s="374"/>
      <c r="I68" s="63" t="str">
        <f t="shared" si="45"/>
        <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si="30"/>
        <v>0</v>
      </c>
      <c r="AT68" s="318">
        <f t="shared" si="31"/>
        <v>0</v>
      </c>
      <c r="AU68" s="318">
        <f t="shared" si="32"/>
        <v>0</v>
      </c>
      <c r="AV68" s="318">
        <f t="shared" si="33"/>
        <v>0</v>
      </c>
      <c r="AW68" s="318">
        <f t="shared" si="34"/>
        <v>0</v>
      </c>
      <c r="AX68" s="318">
        <f t="shared" si="35"/>
        <v>0</v>
      </c>
      <c r="AY68" s="318">
        <f t="shared" si="36"/>
        <v>0</v>
      </c>
      <c r="AZ68" s="318">
        <f t="shared" si="37"/>
        <v>0</v>
      </c>
      <c r="BA68" s="318">
        <f t="shared" si="38"/>
        <v>0</v>
      </c>
    </row>
    <row r="69" spans="1:53" s="315" customFormat="1" ht="15.75" customHeight="1">
      <c r="A69" s="63" t="str">
        <f t="array" ref="A69">IF(C69&lt;&gt;0,SUM(($C$11:C69&lt;&gt;0)*1),"")</f>
        <v/>
      </c>
      <c r="B69" s="316"/>
      <c r="C69" s="316"/>
      <c r="D69" s="316"/>
      <c r="E69" s="436"/>
      <c r="F69" s="372"/>
      <c r="G69" s="374"/>
      <c r="H69" s="374"/>
      <c r="I69" s="63" t="str">
        <f t="shared" si="45"/>
        <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0</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0</v>
      </c>
    </row>
    <row r="70" spans="1:53" s="315" customFormat="1" ht="15.75" customHeight="1">
      <c r="A70" s="63" t="str">
        <f t="array" ref="A70">IF(C70&lt;&gt;0,SUM(($C$11:C70&lt;&gt;0)*1),"")</f>
        <v/>
      </c>
      <c r="B70" s="316"/>
      <c r="C70" s="316"/>
      <c r="D70" s="316"/>
      <c r="E70" s="436"/>
      <c r="F70" s="372"/>
      <c r="G70" s="374"/>
      <c r="H70" s="374"/>
      <c r="I70" s="63" t="str">
        <f t="shared" si="45"/>
        <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si="38"/>
        <v>0</v>
      </c>
    </row>
    <row r="71" spans="1:53" s="315" customFormat="1" ht="15.75" customHeight="1">
      <c r="A71" s="63" t="str">
        <f t="array" ref="A71">IF(C71&lt;&gt;0,SUM(($C$11:C71&lt;&gt;0)*1),"")</f>
        <v/>
      </c>
      <c r="B71" s="316"/>
      <c r="C71" s="316"/>
      <c r="D71" s="316"/>
      <c r="E71" s="436"/>
      <c r="F71" s="372"/>
      <c r="G71" s="374"/>
      <c r="H71" s="374"/>
      <c r="I71" s="63" t="str">
        <f t="shared" si="45"/>
        <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si="31"/>
        <v>0</v>
      </c>
      <c r="AU71" s="318">
        <f t="shared" si="32"/>
        <v>0</v>
      </c>
      <c r="AV71" s="318">
        <f t="shared" si="33"/>
        <v>0</v>
      </c>
      <c r="AW71" s="318">
        <f t="shared" si="34"/>
        <v>0</v>
      </c>
      <c r="AX71" s="318">
        <f t="shared" si="35"/>
        <v>0</v>
      </c>
      <c r="AY71" s="318">
        <f t="shared" si="36"/>
        <v>0</v>
      </c>
      <c r="AZ71" s="318">
        <f t="shared" si="37"/>
        <v>0</v>
      </c>
      <c r="BA71" s="318">
        <f t="shared" si="38"/>
        <v>0</v>
      </c>
    </row>
    <row r="72" spans="1:53" s="315" customFormat="1" ht="15.75" customHeight="1">
      <c r="A72" s="63" t="str">
        <f t="array" ref="A72">IF(C72&lt;&gt;0,SUM(($C$11:C72&lt;&gt;0)*1),"")</f>
        <v/>
      </c>
      <c r="B72" s="316"/>
      <c r="C72" s="316"/>
      <c r="D72" s="316"/>
      <c r="E72" s="436"/>
      <c r="F72" s="372"/>
      <c r="G72" s="374"/>
      <c r="H72" s="374"/>
      <c r="I72" s="63" t="str">
        <f t="shared" si="45"/>
        <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si="34"/>
        <v>0</v>
      </c>
      <c r="AX72" s="318">
        <f t="shared" si="35"/>
        <v>0</v>
      </c>
      <c r="AY72" s="318">
        <f t="shared" si="36"/>
        <v>0</v>
      </c>
      <c r="AZ72" s="318">
        <f t="shared" si="37"/>
        <v>0</v>
      </c>
      <c r="BA72" s="318">
        <f t="shared" si="38"/>
        <v>0</v>
      </c>
    </row>
    <row r="73" spans="1:53" s="315" customFormat="1" ht="15.75" customHeight="1">
      <c r="A73" s="63" t="str">
        <f t="array" ref="A73">IF(C73&lt;&gt;0,SUM(($C$11:C73&lt;&gt;0)*1),"")</f>
        <v/>
      </c>
      <c r="B73" s="316"/>
      <c r="C73" s="316"/>
      <c r="D73" s="316"/>
      <c r="E73" s="436"/>
      <c r="F73" s="372"/>
      <c r="G73" s="374"/>
      <c r="H73" s="374"/>
      <c r="I73" s="63" t="str">
        <f t="shared" si="45"/>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5.75" customHeight="1">
      <c r="A74" s="63" t="str">
        <f t="array" ref="A74">IF(C74&lt;&gt;0,SUM(($C$11:C74&lt;&gt;0)*1),"")</f>
        <v/>
      </c>
      <c r="B74" s="316"/>
      <c r="C74" s="316"/>
      <c r="D74" s="316"/>
      <c r="E74" s="436"/>
      <c r="F74" s="372"/>
      <c r="G74" s="374"/>
      <c r="H74" s="374"/>
      <c r="I74" s="63" t="str">
        <f t="shared" si="45"/>
        <v/>
      </c>
      <c r="J74" s="318">
        <f t="shared" si="1"/>
        <v>0</v>
      </c>
      <c r="K74" s="318">
        <f t="shared" si="2"/>
        <v>0</v>
      </c>
      <c r="L74" s="318">
        <f t="shared" si="3"/>
        <v>0</v>
      </c>
      <c r="M74" s="318">
        <f t="shared" si="4"/>
        <v>0</v>
      </c>
      <c r="N74" s="318">
        <f t="shared" si="39"/>
        <v>0</v>
      </c>
      <c r="O74" s="318">
        <f t="shared" si="40"/>
        <v>0</v>
      </c>
      <c r="P74" s="318">
        <f t="shared" si="5"/>
        <v>0</v>
      </c>
      <c r="Q74" s="318">
        <f t="shared" si="6"/>
        <v>0</v>
      </c>
      <c r="R74" s="318">
        <f t="shared" si="7"/>
        <v>0</v>
      </c>
      <c r="S74" s="318">
        <f t="shared" si="8"/>
        <v>0</v>
      </c>
      <c r="T74" s="318">
        <f t="shared" si="41"/>
        <v>0</v>
      </c>
      <c r="U74" s="318">
        <f t="shared" si="42"/>
        <v>0</v>
      </c>
      <c r="V74" s="318">
        <f t="shared" si="9"/>
        <v>0</v>
      </c>
      <c r="W74" s="318">
        <f t="shared" si="10"/>
        <v>0</v>
      </c>
      <c r="X74" s="318">
        <f t="shared" si="11"/>
        <v>0</v>
      </c>
      <c r="Y74" s="318">
        <f t="shared" si="12"/>
        <v>0</v>
      </c>
      <c r="Z74" s="318">
        <f t="shared" si="13"/>
        <v>0</v>
      </c>
      <c r="AA74" s="318">
        <f t="shared" si="14"/>
        <v>0</v>
      </c>
      <c r="AB74" s="318">
        <f t="shared" si="15"/>
        <v>0</v>
      </c>
      <c r="AC74" s="318">
        <f t="shared" si="16"/>
        <v>0</v>
      </c>
      <c r="AD74" s="318">
        <f t="shared" si="17"/>
        <v>0</v>
      </c>
      <c r="AE74" s="318">
        <f t="shared" si="18"/>
        <v>0</v>
      </c>
      <c r="AF74" s="318">
        <f t="shared" si="43"/>
        <v>0</v>
      </c>
      <c r="AG74" s="318">
        <f t="shared" si="44"/>
        <v>0</v>
      </c>
      <c r="AH74" s="318">
        <f t="shared" si="19"/>
        <v>0</v>
      </c>
      <c r="AI74" s="318">
        <f t="shared" si="20"/>
        <v>0</v>
      </c>
      <c r="AJ74" s="318">
        <f t="shared" si="21"/>
        <v>0</v>
      </c>
      <c r="AK74" s="318">
        <f t="shared" si="22"/>
        <v>0</v>
      </c>
      <c r="AL74" s="318">
        <f t="shared" si="23"/>
        <v>0</v>
      </c>
      <c r="AM74" s="318">
        <f t="shared" si="24"/>
        <v>0</v>
      </c>
      <c r="AN74" s="318">
        <f t="shared" si="25"/>
        <v>0</v>
      </c>
      <c r="AO74" s="318">
        <f t="shared" si="26"/>
        <v>0</v>
      </c>
      <c r="AP74" s="318">
        <f t="shared" si="27"/>
        <v>0</v>
      </c>
      <c r="AQ74" s="318">
        <f t="shared" si="28"/>
        <v>0</v>
      </c>
      <c r="AR74" s="318">
        <f t="shared" si="29"/>
        <v>0</v>
      </c>
      <c r="AS74" s="318">
        <f t="shared" si="30"/>
        <v>0</v>
      </c>
      <c r="AT74" s="318">
        <f t="shared" si="31"/>
        <v>0</v>
      </c>
      <c r="AU74" s="318">
        <f t="shared" si="32"/>
        <v>0</v>
      </c>
      <c r="AV74" s="318">
        <f t="shared" si="33"/>
        <v>0</v>
      </c>
      <c r="AW74" s="318">
        <f t="shared" si="34"/>
        <v>0</v>
      </c>
      <c r="AX74" s="318">
        <f t="shared" si="35"/>
        <v>0</v>
      </c>
      <c r="AY74" s="318">
        <f t="shared" si="36"/>
        <v>0</v>
      </c>
      <c r="AZ74" s="318">
        <f t="shared" si="37"/>
        <v>0</v>
      </c>
      <c r="BA74" s="318">
        <f t="shared" si="38"/>
        <v>0</v>
      </c>
    </row>
    <row r="75" spans="1:53" s="315" customFormat="1" ht="15.75" customHeight="1">
      <c r="A75" s="63" t="str">
        <f t="array" ref="A75">IF(C75&lt;&gt;0,SUM(($C$11:C75&lt;&gt;0)*1),"")</f>
        <v/>
      </c>
      <c r="B75" s="316"/>
      <c r="C75" s="316"/>
      <c r="D75" s="316"/>
      <c r="E75" s="436"/>
      <c r="F75" s="372"/>
      <c r="G75" s="374"/>
      <c r="H75" s="374"/>
      <c r="I75" s="63" t="str">
        <f t="shared" si="45"/>
        <v/>
      </c>
      <c r="J75" s="318">
        <f t="shared" ref="J75:J138" si="46">IF($G75="1111",$F75,0)</f>
        <v>0</v>
      </c>
      <c r="K75" s="318">
        <f t="shared" ref="K75:K138" si="47">IF($H75="1111",$F75,0)</f>
        <v>0</v>
      </c>
      <c r="L75" s="318">
        <f t="shared" ref="L75:L138" si="48">IF($G75="1121",$F75,0)</f>
        <v>0</v>
      </c>
      <c r="M75" s="318">
        <f t="shared" ref="M75:M138" si="49">IF($H75="1121",$F75,0)</f>
        <v>0</v>
      </c>
      <c r="N75" s="318">
        <f t="shared" si="39"/>
        <v>0</v>
      </c>
      <c r="O75" s="318">
        <f t="shared" si="40"/>
        <v>0</v>
      </c>
      <c r="P75" s="318">
        <f t="shared" ref="P75:P138" si="50">IF($G75="1331",$F75,0)</f>
        <v>0</v>
      </c>
      <c r="Q75" s="318">
        <f t="shared" ref="Q75:Q138" si="51">IF($H75="1331",$F75,0)</f>
        <v>0</v>
      </c>
      <c r="R75" s="318">
        <f t="shared" ref="R75:R138" si="52">IF($G75="1388",$F75,0)</f>
        <v>0</v>
      </c>
      <c r="S75" s="318">
        <f t="shared" ref="S75:S138" si="53">IF($H75="1388",$F75,0)</f>
        <v>0</v>
      </c>
      <c r="T75" s="318">
        <f t="shared" si="41"/>
        <v>0</v>
      </c>
      <c r="U75" s="318">
        <f t="shared" si="42"/>
        <v>0</v>
      </c>
      <c r="V75" s="318">
        <f t="shared" ref="V75:V138" si="54">IF($G75="331",$F75,0)</f>
        <v>0</v>
      </c>
      <c r="W75" s="318">
        <f t="shared" ref="W75:W138" si="55">IF($H75="331",$F75,0)</f>
        <v>0</v>
      </c>
      <c r="X75" s="318">
        <f t="shared" ref="X75:X138" si="56">IF($G75="3334",$F75,0)</f>
        <v>0</v>
      </c>
      <c r="Y75" s="318">
        <f t="shared" ref="Y75:Y138" si="57">IF($H75="3334",$F75,0)</f>
        <v>0</v>
      </c>
      <c r="Z75" s="318">
        <f t="shared" ref="Z75:Z138" si="58">IF($G75="33382",$F75,0)</f>
        <v>0</v>
      </c>
      <c r="AA75" s="318">
        <f t="shared" ref="AA75:AA138" si="59">IF($H75="33382",$F75,0)</f>
        <v>0</v>
      </c>
      <c r="AB75" s="318">
        <f t="shared" ref="AB75:AB138" si="60">IF($G75="3388",$F75,0)</f>
        <v>0</v>
      </c>
      <c r="AC75" s="318">
        <f t="shared" ref="AC75:AC138" si="61">IF($H75="3388",$F75,0)</f>
        <v>0</v>
      </c>
      <c r="AD75" s="318">
        <f t="shared" ref="AD75:AD138" si="62">IF($G75="3411",$F75,0)</f>
        <v>0</v>
      </c>
      <c r="AE75" s="318">
        <f t="shared" ref="AE75:AE138" si="63">IF($H75="3411",$F75,0)</f>
        <v>0</v>
      </c>
      <c r="AF75" s="318">
        <f t="shared" si="43"/>
        <v>0</v>
      </c>
      <c r="AG75" s="318">
        <f t="shared" si="44"/>
        <v>0</v>
      </c>
      <c r="AH75" s="318">
        <f t="shared" ref="AH75:AH138" si="64">IF($G75="4111",$F75,0)</f>
        <v>0</v>
      </c>
      <c r="AI75" s="318">
        <f t="shared" ref="AI75:AI138" si="65">IF($H75="4111",$F75,0)</f>
        <v>0</v>
      </c>
      <c r="AJ75" s="318">
        <f t="shared" ref="AJ75:AJ138" si="66">IF($G75="4211",$F75,0)</f>
        <v>0</v>
      </c>
      <c r="AK75" s="318">
        <f t="shared" ref="AK75:AK138" si="67">IF($H75="4211",$F75,0)</f>
        <v>0</v>
      </c>
      <c r="AL75" s="318">
        <f t="shared" ref="AL75:AL138" si="68">IF($G75="4212",$F75,0)</f>
        <v>0</v>
      </c>
      <c r="AM75" s="318">
        <f t="shared" ref="AM75:AM138" si="69">IF($H75="4212",$F75,0)</f>
        <v>0</v>
      </c>
      <c r="AN75" s="318">
        <f t="shared" ref="AN75:AN138" si="70">IF($G75="515",$F75,0)</f>
        <v>0</v>
      </c>
      <c r="AO75" s="318">
        <f t="shared" ref="AO75:AO138" si="71">IF($H75="515",$F75,0)</f>
        <v>0</v>
      </c>
      <c r="AP75" s="318">
        <f t="shared" ref="AP75:AP138" si="72">IF($G75="635",$F75,0)</f>
        <v>0</v>
      </c>
      <c r="AQ75" s="318">
        <f t="shared" ref="AQ75:AQ138" si="73">IF($H75="635",$F75,0)</f>
        <v>0</v>
      </c>
      <c r="AR75" s="318">
        <f t="shared" ref="AR75:AR138" si="74">IF($G75="642",$F75,0)</f>
        <v>0</v>
      </c>
      <c r="AS75" s="318">
        <f t="shared" ref="AS75:AS138" si="75">IF($H75="642",$F75,0)</f>
        <v>0</v>
      </c>
      <c r="AT75" s="318">
        <f t="shared" ref="AT75:AT138" si="76">IF($G75="711",$F75,0)</f>
        <v>0</v>
      </c>
      <c r="AU75" s="318">
        <f t="shared" ref="AU75:AU138" si="77">IF($H75="711",$F75,0)</f>
        <v>0</v>
      </c>
      <c r="AV75" s="318">
        <f t="shared" ref="AV75:AV138" si="78">IF($G75="811",$F75,0)</f>
        <v>0</v>
      </c>
      <c r="AW75" s="318">
        <f t="shared" ref="AW75:AW138" si="79">IF($H75="811",$F75,0)</f>
        <v>0</v>
      </c>
      <c r="AX75" s="318">
        <f t="shared" ref="AX75:AX138" si="80">IF($G75="821",$F75,0)</f>
        <v>0</v>
      </c>
      <c r="AY75" s="318">
        <f t="shared" ref="AY75:AY138" si="81">IF($H75="821",$F75,0)</f>
        <v>0</v>
      </c>
      <c r="AZ75" s="318">
        <f t="shared" ref="AZ75:AZ138" si="82">IF($G75="911",$F75,0)</f>
        <v>0</v>
      </c>
      <c r="BA75" s="318">
        <f t="shared" ref="BA75:BA138" si="83">IF($H75="911",$F75,0)</f>
        <v>0</v>
      </c>
    </row>
    <row r="76" spans="1:53" s="315" customFormat="1" ht="15.75" customHeight="1">
      <c r="A76" s="63" t="str">
        <f t="array" ref="A76">IF(C76&lt;&gt;0,SUM(($C$11:C76&lt;&gt;0)*1),"")</f>
        <v/>
      </c>
      <c r="B76" s="316"/>
      <c r="C76" s="316"/>
      <c r="D76" s="316"/>
      <c r="E76" s="436"/>
      <c r="F76" s="372"/>
      <c r="G76" s="374"/>
      <c r="H76" s="374"/>
      <c r="I76" s="63" t="str">
        <f t="shared" si="45"/>
        <v/>
      </c>
      <c r="J76" s="318">
        <f t="shared" si="46"/>
        <v>0</v>
      </c>
      <c r="K76" s="318">
        <f t="shared" si="47"/>
        <v>0</v>
      </c>
      <c r="L76" s="318">
        <f t="shared" si="48"/>
        <v>0</v>
      </c>
      <c r="M76" s="318">
        <f t="shared" si="49"/>
        <v>0</v>
      </c>
      <c r="N76" s="318">
        <f t="shared" ref="N76:N139" si="84">IF($G76="1122",$F76,0)</f>
        <v>0</v>
      </c>
      <c r="O76" s="318">
        <f t="shared" ref="O76:O139" si="85">IF($H76="1122",$F76,0)</f>
        <v>0</v>
      </c>
      <c r="P76" s="318">
        <f t="shared" si="50"/>
        <v>0</v>
      </c>
      <c r="Q76" s="318">
        <f t="shared" si="51"/>
        <v>0</v>
      </c>
      <c r="R76" s="318">
        <f t="shared" si="52"/>
        <v>0</v>
      </c>
      <c r="S76" s="318">
        <f t="shared" si="53"/>
        <v>0</v>
      </c>
      <c r="T76" s="318">
        <f t="shared" ref="T76:T139" si="86">IF($G76="2412",$F76,0)</f>
        <v>0</v>
      </c>
      <c r="U76" s="318">
        <f t="shared" ref="U76:U139" si="87">IF($H76="2412",$F76,0)</f>
        <v>0</v>
      </c>
      <c r="V76" s="318">
        <f t="shared" si="54"/>
        <v>0</v>
      </c>
      <c r="W76" s="318">
        <f t="shared" si="55"/>
        <v>0</v>
      </c>
      <c r="X76" s="318">
        <f t="shared" si="56"/>
        <v>0</v>
      </c>
      <c r="Y76" s="318">
        <f t="shared" si="57"/>
        <v>0</v>
      </c>
      <c r="Z76" s="318">
        <f t="shared" si="58"/>
        <v>0</v>
      </c>
      <c r="AA76" s="318">
        <f t="shared" si="59"/>
        <v>0</v>
      </c>
      <c r="AB76" s="318">
        <f t="shared" si="60"/>
        <v>0</v>
      </c>
      <c r="AC76" s="318">
        <f t="shared" si="61"/>
        <v>0</v>
      </c>
      <c r="AD76" s="318">
        <f t="shared" si="62"/>
        <v>0</v>
      </c>
      <c r="AE76" s="318">
        <f t="shared" si="63"/>
        <v>0</v>
      </c>
      <c r="AF76" s="318">
        <f t="shared" ref="AF76:AF139" si="88">IF($G76="3412",$F76,0)</f>
        <v>0</v>
      </c>
      <c r="AG76" s="318">
        <f t="shared" ref="AG76:AG139" si="89">IF($H76="3412",$F76,0)</f>
        <v>0</v>
      </c>
      <c r="AH76" s="318">
        <f t="shared" si="64"/>
        <v>0</v>
      </c>
      <c r="AI76" s="318">
        <f t="shared" si="65"/>
        <v>0</v>
      </c>
      <c r="AJ76" s="318">
        <f t="shared" si="66"/>
        <v>0</v>
      </c>
      <c r="AK76" s="318">
        <f t="shared" si="67"/>
        <v>0</v>
      </c>
      <c r="AL76" s="318">
        <f t="shared" si="68"/>
        <v>0</v>
      </c>
      <c r="AM76" s="318">
        <f t="shared" si="69"/>
        <v>0</v>
      </c>
      <c r="AN76" s="318">
        <f t="shared" si="70"/>
        <v>0</v>
      </c>
      <c r="AO76" s="318">
        <f t="shared" si="71"/>
        <v>0</v>
      </c>
      <c r="AP76" s="318">
        <f t="shared" si="72"/>
        <v>0</v>
      </c>
      <c r="AQ76" s="318">
        <f t="shared" si="73"/>
        <v>0</v>
      </c>
      <c r="AR76" s="318">
        <f t="shared" si="74"/>
        <v>0</v>
      </c>
      <c r="AS76" s="318">
        <f t="shared" si="75"/>
        <v>0</v>
      </c>
      <c r="AT76" s="318">
        <f t="shared" si="76"/>
        <v>0</v>
      </c>
      <c r="AU76" s="318">
        <f t="shared" si="77"/>
        <v>0</v>
      </c>
      <c r="AV76" s="318">
        <f t="shared" si="78"/>
        <v>0</v>
      </c>
      <c r="AW76" s="318">
        <f t="shared" si="79"/>
        <v>0</v>
      </c>
      <c r="AX76" s="318">
        <f t="shared" si="80"/>
        <v>0</v>
      </c>
      <c r="AY76" s="318">
        <f t="shared" si="81"/>
        <v>0</v>
      </c>
      <c r="AZ76" s="318">
        <f t="shared" si="82"/>
        <v>0</v>
      </c>
      <c r="BA76" s="318">
        <f t="shared" si="83"/>
        <v>0</v>
      </c>
    </row>
    <row r="77" spans="1:53" s="315" customFormat="1" ht="15.75" customHeight="1">
      <c r="A77" s="63" t="str">
        <f t="array" ref="A77">IF(C77&lt;&gt;0,SUM(($C$11:C77&lt;&gt;0)*1),"")</f>
        <v/>
      </c>
      <c r="B77" s="316"/>
      <c r="C77" s="316"/>
      <c r="D77" s="316"/>
      <c r="E77" s="436"/>
      <c r="F77" s="372"/>
      <c r="G77" s="374"/>
      <c r="H77" s="374"/>
      <c r="I77" s="63" t="str">
        <f t="shared" si="45"/>
        <v/>
      </c>
      <c r="J77" s="318">
        <f t="shared" si="46"/>
        <v>0</v>
      </c>
      <c r="K77" s="318">
        <f t="shared" si="47"/>
        <v>0</v>
      </c>
      <c r="L77" s="318">
        <f t="shared" si="48"/>
        <v>0</v>
      </c>
      <c r="M77" s="318">
        <f t="shared" si="49"/>
        <v>0</v>
      </c>
      <c r="N77" s="318">
        <f t="shared" si="84"/>
        <v>0</v>
      </c>
      <c r="O77" s="318">
        <f t="shared" si="85"/>
        <v>0</v>
      </c>
      <c r="P77" s="318">
        <f t="shared" si="50"/>
        <v>0</v>
      </c>
      <c r="Q77" s="318">
        <f t="shared" si="51"/>
        <v>0</v>
      </c>
      <c r="R77" s="318">
        <f t="shared" si="52"/>
        <v>0</v>
      </c>
      <c r="S77" s="318">
        <f t="shared" si="53"/>
        <v>0</v>
      </c>
      <c r="T77" s="318">
        <f t="shared" si="86"/>
        <v>0</v>
      </c>
      <c r="U77" s="318">
        <f t="shared" si="87"/>
        <v>0</v>
      </c>
      <c r="V77" s="318">
        <f t="shared" si="54"/>
        <v>0</v>
      </c>
      <c r="W77" s="318">
        <f t="shared" si="55"/>
        <v>0</v>
      </c>
      <c r="X77" s="318">
        <f t="shared" si="56"/>
        <v>0</v>
      </c>
      <c r="Y77" s="318">
        <f t="shared" si="57"/>
        <v>0</v>
      </c>
      <c r="Z77" s="318">
        <f t="shared" si="58"/>
        <v>0</v>
      </c>
      <c r="AA77" s="318">
        <f t="shared" si="59"/>
        <v>0</v>
      </c>
      <c r="AB77" s="318">
        <f t="shared" si="60"/>
        <v>0</v>
      </c>
      <c r="AC77" s="318">
        <f t="shared" si="61"/>
        <v>0</v>
      </c>
      <c r="AD77" s="318">
        <f t="shared" si="62"/>
        <v>0</v>
      </c>
      <c r="AE77" s="318">
        <f t="shared" si="63"/>
        <v>0</v>
      </c>
      <c r="AF77" s="318">
        <f t="shared" si="88"/>
        <v>0</v>
      </c>
      <c r="AG77" s="318">
        <f t="shared" si="89"/>
        <v>0</v>
      </c>
      <c r="AH77" s="318">
        <f t="shared" si="64"/>
        <v>0</v>
      </c>
      <c r="AI77" s="318">
        <f t="shared" si="65"/>
        <v>0</v>
      </c>
      <c r="AJ77" s="318">
        <f t="shared" si="66"/>
        <v>0</v>
      </c>
      <c r="AK77" s="318">
        <f t="shared" si="67"/>
        <v>0</v>
      </c>
      <c r="AL77" s="318">
        <f t="shared" si="68"/>
        <v>0</v>
      </c>
      <c r="AM77" s="318">
        <f t="shared" si="69"/>
        <v>0</v>
      </c>
      <c r="AN77" s="318">
        <f t="shared" si="70"/>
        <v>0</v>
      </c>
      <c r="AO77" s="318">
        <f t="shared" si="71"/>
        <v>0</v>
      </c>
      <c r="AP77" s="318">
        <f t="shared" si="72"/>
        <v>0</v>
      </c>
      <c r="AQ77" s="318">
        <f t="shared" si="73"/>
        <v>0</v>
      </c>
      <c r="AR77" s="318">
        <f t="shared" si="74"/>
        <v>0</v>
      </c>
      <c r="AS77" s="318">
        <f t="shared" si="75"/>
        <v>0</v>
      </c>
      <c r="AT77" s="318">
        <f t="shared" si="76"/>
        <v>0</v>
      </c>
      <c r="AU77" s="318">
        <f t="shared" si="77"/>
        <v>0</v>
      </c>
      <c r="AV77" s="318">
        <f t="shared" si="78"/>
        <v>0</v>
      </c>
      <c r="AW77" s="318">
        <f t="shared" si="79"/>
        <v>0</v>
      </c>
      <c r="AX77" s="318">
        <f t="shared" si="80"/>
        <v>0</v>
      </c>
      <c r="AY77" s="318">
        <f t="shared" si="81"/>
        <v>0</v>
      </c>
      <c r="AZ77" s="318">
        <f t="shared" si="82"/>
        <v>0</v>
      </c>
      <c r="BA77" s="318">
        <f t="shared" si="83"/>
        <v>0</v>
      </c>
    </row>
    <row r="78" spans="1:53" s="315" customFormat="1" ht="15.75" customHeight="1">
      <c r="A78" s="63" t="str">
        <f t="array" ref="A78">IF(C78&lt;&gt;0,SUM(($C$11:C78&lt;&gt;0)*1),"")</f>
        <v/>
      </c>
      <c r="B78" s="316"/>
      <c r="C78" s="316"/>
      <c r="D78" s="316"/>
      <c r="E78" s="436"/>
      <c r="F78" s="372"/>
      <c r="G78" s="374"/>
      <c r="H78" s="374"/>
      <c r="I78" s="63" t="str">
        <f t="shared" si="45"/>
        <v/>
      </c>
      <c r="J78" s="318">
        <f t="shared" si="46"/>
        <v>0</v>
      </c>
      <c r="K78" s="318">
        <f t="shared" si="47"/>
        <v>0</v>
      </c>
      <c r="L78" s="318">
        <f t="shared" si="48"/>
        <v>0</v>
      </c>
      <c r="M78" s="318">
        <f t="shared" si="49"/>
        <v>0</v>
      </c>
      <c r="N78" s="318">
        <f t="shared" si="84"/>
        <v>0</v>
      </c>
      <c r="O78" s="318">
        <f t="shared" si="85"/>
        <v>0</v>
      </c>
      <c r="P78" s="318">
        <f t="shared" si="50"/>
        <v>0</v>
      </c>
      <c r="Q78" s="318">
        <f t="shared" si="51"/>
        <v>0</v>
      </c>
      <c r="R78" s="318">
        <f t="shared" si="52"/>
        <v>0</v>
      </c>
      <c r="S78" s="318">
        <f t="shared" si="53"/>
        <v>0</v>
      </c>
      <c r="T78" s="318">
        <f t="shared" si="86"/>
        <v>0</v>
      </c>
      <c r="U78" s="318">
        <f t="shared" si="87"/>
        <v>0</v>
      </c>
      <c r="V78" s="318">
        <f t="shared" si="54"/>
        <v>0</v>
      </c>
      <c r="W78" s="318">
        <f t="shared" si="55"/>
        <v>0</v>
      </c>
      <c r="X78" s="318">
        <f t="shared" si="56"/>
        <v>0</v>
      </c>
      <c r="Y78" s="318">
        <f t="shared" si="57"/>
        <v>0</v>
      </c>
      <c r="Z78" s="318">
        <f t="shared" si="58"/>
        <v>0</v>
      </c>
      <c r="AA78" s="318">
        <f t="shared" si="59"/>
        <v>0</v>
      </c>
      <c r="AB78" s="318">
        <f t="shared" si="60"/>
        <v>0</v>
      </c>
      <c r="AC78" s="318">
        <f t="shared" si="61"/>
        <v>0</v>
      </c>
      <c r="AD78" s="318">
        <f t="shared" si="62"/>
        <v>0</v>
      </c>
      <c r="AE78" s="318">
        <f t="shared" si="63"/>
        <v>0</v>
      </c>
      <c r="AF78" s="318">
        <f t="shared" si="88"/>
        <v>0</v>
      </c>
      <c r="AG78" s="318">
        <f t="shared" si="89"/>
        <v>0</v>
      </c>
      <c r="AH78" s="318">
        <f t="shared" si="64"/>
        <v>0</v>
      </c>
      <c r="AI78" s="318">
        <f t="shared" si="65"/>
        <v>0</v>
      </c>
      <c r="AJ78" s="318">
        <f t="shared" si="66"/>
        <v>0</v>
      </c>
      <c r="AK78" s="318">
        <f t="shared" si="67"/>
        <v>0</v>
      </c>
      <c r="AL78" s="318">
        <f t="shared" si="68"/>
        <v>0</v>
      </c>
      <c r="AM78" s="318">
        <f t="shared" si="69"/>
        <v>0</v>
      </c>
      <c r="AN78" s="318">
        <f t="shared" si="70"/>
        <v>0</v>
      </c>
      <c r="AO78" s="318">
        <f t="shared" si="71"/>
        <v>0</v>
      </c>
      <c r="AP78" s="318">
        <f t="shared" si="72"/>
        <v>0</v>
      </c>
      <c r="AQ78" s="318">
        <f t="shared" si="73"/>
        <v>0</v>
      </c>
      <c r="AR78" s="318">
        <f t="shared" si="74"/>
        <v>0</v>
      </c>
      <c r="AS78" s="318">
        <f t="shared" si="75"/>
        <v>0</v>
      </c>
      <c r="AT78" s="318">
        <f t="shared" si="76"/>
        <v>0</v>
      </c>
      <c r="AU78" s="318">
        <f t="shared" si="77"/>
        <v>0</v>
      </c>
      <c r="AV78" s="318">
        <f t="shared" si="78"/>
        <v>0</v>
      </c>
      <c r="AW78" s="318">
        <f t="shared" si="79"/>
        <v>0</v>
      </c>
      <c r="AX78" s="318">
        <f t="shared" si="80"/>
        <v>0</v>
      </c>
      <c r="AY78" s="318">
        <f t="shared" si="81"/>
        <v>0</v>
      </c>
      <c r="AZ78" s="318">
        <f t="shared" si="82"/>
        <v>0</v>
      </c>
      <c r="BA78" s="318">
        <f t="shared" si="83"/>
        <v>0</v>
      </c>
    </row>
    <row r="79" spans="1:53" s="315" customFormat="1" ht="15.75" customHeight="1">
      <c r="A79" s="63" t="str">
        <f t="array" ref="A79">IF(C79&lt;&gt;0,SUM(($C$11:C79&lt;&gt;0)*1),"")</f>
        <v/>
      </c>
      <c r="B79" s="316"/>
      <c r="C79" s="316"/>
      <c r="D79" s="316"/>
      <c r="E79" s="436"/>
      <c r="F79" s="372"/>
      <c r="G79" s="374"/>
      <c r="H79" s="374"/>
      <c r="I79" s="63" t="str">
        <f t="shared" si="45"/>
        <v/>
      </c>
      <c r="J79" s="318">
        <f t="shared" si="46"/>
        <v>0</v>
      </c>
      <c r="K79" s="318">
        <f t="shared" si="47"/>
        <v>0</v>
      </c>
      <c r="L79" s="318">
        <f t="shared" si="48"/>
        <v>0</v>
      </c>
      <c r="M79" s="318">
        <f t="shared" si="49"/>
        <v>0</v>
      </c>
      <c r="N79" s="318">
        <f t="shared" si="84"/>
        <v>0</v>
      </c>
      <c r="O79" s="318">
        <f t="shared" si="85"/>
        <v>0</v>
      </c>
      <c r="P79" s="318">
        <f t="shared" si="50"/>
        <v>0</v>
      </c>
      <c r="Q79" s="318">
        <f t="shared" si="51"/>
        <v>0</v>
      </c>
      <c r="R79" s="318">
        <f t="shared" si="52"/>
        <v>0</v>
      </c>
      <c r="S79" s="318">
        <f t="shared" si="53"/>
        <v>0</v>
      </c>
      <c r="T79" s="318">
        <f t="shared" si="86"/>
        <v>0</v>
      </c>
      <c r="U79" s="318">
        <f t="shared" si="87"/>
        <v>0</v>
      </c>
      <c r="V79" s="318">
        <f t="shared" si="54"/>
        <v>0</v>
      </c>
      <c r="W79" s="318">
        <f t="shared" si="55"/>
        <v>0</v>
      </c>
      <c r="X79" s="318">
        <f t="shared" si="56"/>
        <v>0</v>
      </c>
      <c r="Y79" s="318">
        <f t="shared" si="57"/>
        <v>0</v>
      </c>
      <c r="Z79" s="318">
        <f t="shared" si="58"/>
        <v>0</v>
      </c>
      <c r="AA79" s="318">
        <f t="shared" si="59"/>
        <v>0</v>
      </c>
      <c r="AB79" s="318">
        <f t="shared" si="60"/>
        <v>0</v>
      </c>
      <c r="AC79" s="318">
        <f t="shared" si="61"/>
        <v>0</v>
      </c>
      <c r="AD79" s="318">
        <f t="shared" si="62"/>
        <v>0</v>
      </c>
      <c r="AE79" s="318">
        <f t="shared" si="63"/>
        <v>0</v>
      </c>
      <c r="AF79" s="318">
        <f t="shared" si="88"/>
        <v>0</v>
      </c>
      <c r="AG79" s="318">
        <f t="shared" si="89"/>
        <v>0</v>
      </c>
      <c r="AH79" s="318">
        <f t="shared" si="64"/>
        <v>0</v>
      </c>
      <c r="AI79" s="318">
        <f t="shared" si="65"/>
        <v>0</v>
      </c>
      <c r="AJ79" s="318">
        <f t="shared" si="66"/>
        <v>0</v>
      </c>
      <c r="AK79" s="318">
        <f t="shared" si="67"/>
        <v>0</v>
      </c>
      <c r="AL79" s="318">
        <f t="shared" si="68"/>
        <v>0</v>
      </c>
      <c r="AM79" s="318">
        <f t="shared" si="69"/>
        <v>0</v>
      </c>
      <c r="AN79" s="318">
        <f t="shared" si="70"/>
        <v>0</v>
      </c>
      <c r="AO79" s="318">
        <f t="shared" si="71"/>
        <v>0</v>
      </c>
      <c r="AP79" s="318">
        <f t="shared" si="72"/>
        <v>0</v>
      </c>
      <c r="AQ79" s="318">
        <f t="shared" si="73"/>
        <v>0</v>
      </c>
      <c r="AR79" s="318">
        <f t="shared" si="74"/>
        <v>0</v>
      </c>
      <c r="AS79" s="318">
        <f t="shared" si="75"/>
        <v>0</v>
      </c>
      <c r="AT79" s="318">
        <f t="shared" si="76"/>
        <v>0</v>
      </c>
      <c r="AU79" s="318">
        <f t="shared" si="77"/>
        <v>0</v>
      </c>
      <c r="AV79" s="318">
        <f t="shared" si="78"/>
        <v>0</v>
      </c>
      <c r="AW79" s="318">
        <f t="shared" si="79"/>
        <v>0</v>
      </c>
      <c r="AX79" s="318">
        <f t="shared" si="80"/>
        <v>0</v>
      </c>
      <c r="AY79" s="318">
        <f t="shared" si="81"/>
        <v>0</v>
      </c>
      <c r="AZ79" s="318">
        <f t="shared" si="82"/>
        <v>0</v>
      </c>
      <c r="BA79" s="318">
        <f t="shared" si="83"/>
        <v>0</v>
      </c>
    </row>
    <row r="80" spans="1:53" s="315" customFormat="1" ht="15.75" customHeight="1">
      <c r="A80" s="63" t="str">
        <f t="array" ref="A80">IF(C80&lt;&gt;0,SUM(($C$11:C80&lt;&gt;0)*1),"")</f>
        <v/>
      </c>
      <c r="B80" s="316"/>
      <c r="C80" s="316"/>
      <c r="D80" s="316"/>
      <c r="E80" s="436"/>
      <c r="F80" s="372"/>
      <c r="G80" s="374"/>
      <c r="H80" s="374"/>
      <c r="I80" s="63" t="str">
        <f t="shared" si="45"/>
        <v/>
      </c>
      <c r="J80" s="318">
        <f t="shared" si="46"/>
        <v>0</v>
      </c>
      <c r="K80" s="318">
        <f t="shared" si="47"/>
        <v>0</v>
      </c>
      <c r="L80" s="318">
        <f t="shared" si="48"/>
        <v>0</v>
      </c>
      <c r="M80" s="318">
        <f t="shared" si="49"/>
        <v>0</v>
      </c>
      <c r="N80" s="318">
        <f t="shared" si="84"/>
        <v>0</v>
      </c>
      <c r="O80" s="318">
        <f t="shared" si="85"/>
        <v>0</v>
      </c>
      <c r="P80" s="318">
        <f t="shared" si="50"/>
        <v>0</v>
      </c>
      <c r="Q80" s="318">
        <f t="shared" si="51"/>
        <v>0</v>
      </c>
      <c r="R80" s="318">
        <f t="shared" si="52"/>
        <v>0</v>
      </c>
      <c r="S80" s="318">
        <f t="shared" si="53"/>
        <v>0</v>
      </c>
      <c r="T80" s="318">
        <f t="shared" si="86"/>
        <v>0</v>
      </c>
      <c r="U80" s="318">
        <f t="shared" si="87"/>
        <v>0</v>
      </c>
      <c r="V80" s="318">
        <f t="shared" si="54"/>
        <v>0</v>
      </c>
      <c r="W80" s="318">
        <f t="shared" si="55"/>
        <v>0</v>
      </c>
      <c r="X80" s="318">
        <f t="shared" si="56"/>
        <v>0</v>
      </c>
      <c r="Y80" s="318">
        <f t="shared" si="57"/>
        <v>0</v>
      </c>
      <c r="Z80" s="318">
        <f t="shared" si="58"/>
        <v>0</v>
      </c>
      <c r="AA80" s="318">
        <f t="shared" si="59"/>
        <v>0</v>
      </c>
      <c r="AB80" s="318">
        <f t="shared" si="60"/>
        <v>0</v>
      </c>
      <c r="AC80" s="318">
        <f t="shared" si="61"/>
        <v>0</v>
      </c>
      <c r="AD80" s="318">
        <f t="shared" si="62"/>
        <v>0</v>
      </c>
      <c r="AE80" s="318">
        <f t="shared" si="63"/>
        <v>0</v>
      </c>
      <c r="AF80" s="318">
        <f t="shared" si="88"/>
        <v>0</v>
      </c>
      <c r="AG80" s="318">
        <f t="shared" si="89"/>
        <v>0</v>
      </c>
      <c r="AH80" s="318">
        <f t="shared" si="64"/>
        <v>0</v>
      </c>
      <c r="AI80" s="318">
        <f t="shared" si="65"/>
        <v>0</v>
      </c>
      <c r="AJ80" s="318">
        <f t="shared" si="66"/>
        <v>0</v>
      </c>
      <c r="AK80" s="318">
        <f t="shared" si="67"/>
        <v>0</v>
      </c>
      <c r="AL80" s="318">
        <f t="shared" si="68"/>
        <v>0</v>
      </c>
      <c r="AM80" s="318">
        <f t="shared" si="69"/>
        <v>0</v>
      </c>
      <c r="AN80" s="318">
        <f t="shared" si="70"/>
        <v>0</v>
      </c>
      <c r="AO80" s="318">
        <f t="shared" si="71"/>
        <v>0</v>
      </c>
      <c r="AP80" s="318">
        <f t="shared" si="72"/>
        <v>0</v>
      </c>
      <c r="AQ80" s="318">
        <f t="shared" si="73"/>
        <v>0</v>
      </c>
      <c r="AR80" s="318">
        <f t="shared" si="74"/>
        <v>0</v>
      </c>
      <c r="AS80" s="318">
        <f t="shared" si="75"/>
        <v>0</v>
      </c>
      <c r="AT80" s="318">
        <f t="shared" si="76"/>
        <v>0</v>
      </c>
      <c r="AU80" s="318">
        <f t="shared" si="77"/>
        <v>0</v>
      </c>
      <c r="AV80" s="318">
        <f t="shared" si="78"/>
        <v>0</v>
      </c>
      <c r="AW80" s="318">
        <f t="shared" si="79"/>
        <v>0</v>
      </c>
      <c r="AX80" s="318">
        <f t="shared" si="80"/>
        <v>0</v>
      </c>
      <c r="AY80" s="318">
        <f t="shared" si="81"/>
        <v>0</v>
      </c>
      <c r="AZ80" s="318">
        <f t="shared" si="82"/>
        <v>0</v>
      </c>
      <c r="BA80" s="318">
        <f t="shared" si="83"/>
        <v>0</v>
      </c>
    </row>
    <row r="81" spans="1:53" s="315" customFormat="1" ht="15.75" customHeight="1">
      <c r="A81" s="63" t="str">
        <f t="array" ref="A81">IF(C81&lt;&gt;0,SUM(($C$11:C81&lt;&gt;0)*1),"")</f>
        <v/>
      </c>
      <c r="B81" s="316"/>
      <c r="C81" s="316"/>
      <c r="D81" s="316"/>
      <c r="E81" s="436"/>
      <c r="F81" s="372"/>
      <c r="G81" s="374"/>
      <c r="H81" s="374"/>
      <c r="I81" s="63" t="str">
        <f t="shared" si="45"/>
        <v/>
      </c>
      <c r="J81" s="318">
        <f t="shared" si="46"/>
        <v>0</v>
      </c>
      <c r="K81" s="318">
        <f t="shared" si="47"/>
        <v>0</v>
      </c>
      <c r="L81" s="318">
        <f t="shared" si="48"/>
        <v>0</v>
      </c>
      <c r="M81" s="318">
        <f t="shared" si="49"/>
        <v>0</v>
      </c>
      <c r="N81" s="318">
        <f t="shared" si="84"/>
        <v>0</v>
      </c>
      <c r="O81" s="318">
        <f t="shared" si="85"/>
        <v>0</v>
      </c>
      <c r="P81" s="318">
        <f t="shared" si="50"/>
        <v>0</v>
      </c>
      <c r="Q81" s="318">
        <f t="shared" si="51"/>
        <v>0</v>
      </c>
      <c r="R81" s="318">
        <f t="shared" si="52"/>
        <v>0</v>
      </c>
      <c r="S81" s="318">
        <f t="shared" si="53"/>
        <v>0</v>
      </c>
      <c r="T81" s="318">
        <f t="shared" si="86"/>
        <v>0</v>
      </c>
      <c r="U81" s="318">
        <f t="shared" si="87"/>
        <v>0</v>
      </c>
      <c r="V81" s="318">
        <f t="shared" si="54"/>
        <v>0</v>
      </c>
      <c r="W81" s="318">
        <f t="shared" si="55"/>
        <v>0</v>
      </c>
      <c r="X81" s="318">
        <f t="shared" si="56"/>
        <v>0</v>
      </c>
      <c r="Y81" s="318">
        <f t="shared" si="57"/>
        <v>0</v>
      </c>
      <c r="Z81" s="318">
        <f t="shared" si="58"/>
        <v>0</v>
      </c>
      <c r="AA81" s="318">
        <f t="shared" si="59"/>
        <v>0</v>
      </c>
      <c r="AB81" s="318">
        <f t="shared" si="60"/>
        <v>0</v>
      </c>
      <c r="AC81" s="318">
        <f t="shared" si="61"/>
        <v>0</v>
      </c>
      <c r="AD81" s="318">
        <f t="shared" si="62"/>
        <v>0</v>
      </c>
      <c r="AE81" s="318">
        <f t="shared" si="63"/>
        <v>0</v>
      </c>
      <c r="AF81" s="318">
        <f t="shared" si="88"/>
        <v>0</v>
      </c>
      <c r="AG81" s="318">
        <f t="shared" si="89"/>
        <v>0</v>
      </c>
      <c r="AH81" s="318">
        <f t="shared" si="64"/>
        <v>0</v>
      </c>
      <c r="AI81" s="318">
        <f t="shared" si="65"/>
        <v>0</v>
      </c>
      <c r="AJ81" s="318">
        <f t="shared" si="66"/>
        <v>0</v>
      </c>
      <c r="AK81" s="318">
        <f t="shared" si="67"/>
        <v>0</v>
      </c>
      <c r="AL81" s="318">
        <f t="shared" si="68"/>
        <v>0</v>
      </c>
      <c r="AM81" s="318">
        <f t="shared" si="69"/>
        <v>0</v>
      </c>
      <c r="AN81" s="318">
        <f t="shared" si="70"/>
        <v>0</v>
      </c>
      <c r="AO81" s="318">
        <f t="shared" si="71"/>
        <v>0</v>
      </c>
      <c r="AP81" s="318">
        <f t="shared" si="72"/>
        <v>0</v>
      </c>
      <c r="AQ81" s="318">
        <f t="shared" si="73"/>
        <v>0</v>
      </c>
      <c r="AR81" s="318">
        <f t="shared" si="74"/>
        <v>0</v>
      </c>
      <c r="AS81" s="318">
        <f t="shared" si="75"/>
        <v>0</v>
      </c>
      <c r="AT81" s="318">
        <f t="shared" si="76"/>
        <v>0</v>
      </c>
      <c r="AU81" s="318">
        <f t="shared" si="77"/>
        <v>0</v>
      </c>
      <c r="AV81" s="318">
        <f t="shared" si="78"/>
        <v>0</v>
      </c>
      <c r="AW81" s="318">
        <f t="shared" si="79"/>
        <v>0</v>
      </c>
      <c r="AX81" s="318">
        <f t="shared" si="80"/>
        <v>0</v>
      </c>
      <c r="AY81" s="318">
        <f t="shared" si="81"/>
        <v>0</v>
      </c>
      <c r="AZ81" s="318">
        <f t="shared" si="82"/>
        <v>0</v>
      </c>
      <c r="BA81" s="318">
        <f t="shared" si="83"/>
        <v>0</v>
      </c>
    </row>
    <row r="82" spans="1:53" s="315" customFormat="1" ht="15.75" customHeight="1">
      <c r="A82" s="63" t="str">
        <f t="array" ref="A82">IF(C82&lt;&gt;0,SUM(($C$11:C82&lt;&gt;0)*1),"")</f>
        <v/>
      </c>
      <c r="B82" s="316"/>
      <c r="C82" s="316"/>
      <c r="D82" s="316"/>
      <c r="E82" s="436"/>
      <c r="F82" s="372"/>
      <c r="G82" s="374"/>
      <c r="H82" s="374"/>
      <c r="I82" s="63" t="str">
        <f t="shared" si="45"/>
        <v/>
      </c>
      <c r="J82" s="318">
        <f t="shared" si="46"/>
        <v>0</v>
      </c>
      <c r="K82" s="318">
        <f t="shared" si="47"/>
        <v>0</v>
      </c>
      <c r="L82" s="318">
        <f t="shared" si="48"/>
        <v>0</v>
      </c>
      <c r="M82" s="318">
        <f t="shared" si="49"/>
        <v>0</v>
      </c>
      <c r="N82" s="318">
        <f t="shared" si="84"/>
        <v>0</v>
      </c>
      <c r="O82" s="318">
        <f t="shared" si="85"/>
        <v>0</v>
      </c>
      <c r="P82" s="318">
        <f t="shared" si="50"/>
        <v>0</v>
      </c>
      <c r="Q82" s="318">
        <f t="shared" si="51"/>
        <v>0</v>
      </c>
      <c r="R82" s="318">
        <f t="shared" si="52"/>
        <v>0</v>
      </c>
      <c r="S82" s="318">
        <f t="shared" si="53"/>
        <v>0</v>
      </c>
      <c r="T82" s="318">
        <f t="shared" si="86"/>
        <v>0</v>
      </c>
      <c r="U82" s="318">
        <f t="shared" si="87"/>
        <v>0</v>
      </c>
      <c r="V82" s="318">
        <f t="shared" si="54"/>
        <v>0</v>
      </c>
      <c r="W82" s="318">
        <f t="shared" si="55"/>
        <v>0</v>
      </c>
      <c r="X82" s="318">
        <f t="shared" si="56"/>
        <v>0</v>
      </c>
      <c r="Y82" s="318">
        <f t="shared" si="57"/>
        <v>0</v>
      </c>
      <c r="Z82" s="318">
        <f t="shared" si="58"/>
        <v>0</v>
      </c>
      <c r="AA82" s="318">
        <f t="shared" si="59"/>
        <v>0</v>
      </c>
      <c r="AB82" s="318">
        <f t="shared" si="60"/>
        <v>0</v>
      </c>
      <c r="AC82" s="318">
        <f t="shared" si="61"/>
        <v>0</v>
      </c>
      <c r="AD82" s="318">
        <f t="shared" si="62"/>
        <v>0</v>
      </c>
      <c r="AE82" s="318">
        <f t="shared" si="63"/>
        <v>0</v>
      </c>
      <c r="AF82" s="318">
        <f t="shared" si="88"/>
        <v>0</v>
      </c>
      <c r="AG82" s="318">
        <f t="shared" si="89"/>
        <v>0</v>
      </c>
      <c r="AH82" s="318">
        <f t="shared" si="64"/>
        <v>0</v>
      </c>
      <c r="AI82" s="318">
        <f t="shared" si="65"/>
        <v>0</v>
      </c>
      <c r="AJ82" s="318">
        <f t="shared" si="66"/>
        <v>0</v>
      </c>
      <c r="AK82" s="318">
        <f t="shared" si="67"/>
        <v>0</v>
      </c>
      <c r="AL82" s="318">
        <f t="shared" si="68"/>
        <v>0</v>
      </c>
      <c r="AM82" s="318">
        <f t="shared" si="69"/>
        <v>0</v>
      </c>
      <c r="AN82" s="318">
        <f t="shared" si="70"/>
        <v>0</v>
      </c>
      <c r="AO82" s="318">
        <f t="shared" si="71"/>
        <v>0</v>
      </c>
      <c r="AP82" s="318">
        <f t="shared" si="72"/>
        <v>0</v>
      </c>
      <c r="AQ82" s="318">
        <f t="shared" si="73"/>
        <v>0</v>
      </c>
      <c r="AR82" s="318">
        <f t="shared" si="74"/>
        <v>0</v>
      </c>
      <c r="AS82" s="318">
        <f t="shared" si="75"/>
        <v>0</v>
      </c>
      <c r="AT82" s="318">
        <f t="shared" si="76"/>
        <v>0</v>
      </c>
      <c r="AU82" s="318">
        <f t="shared" si="77"/>
        <v>0</v>
      </c>
      <c r="AV82" s="318">
        <f t="shared" si="78"/>
        <v>0</v>
      </c>
      <c r="AW82" s="318">
        <f t="shared" si="79"/>
        <v>0</v>
      </c>
      <c r="AX82" s="318">
        <f t="shared" si="80"/>
        <v>0</v>
      </c>
      <c r="AY82" s="318">
        <f t="shared" si="81"/>
        <v>0</v>
      </c>
      <c r="AZ82" s="318">
        <f t="shared" si="82"/>
        <v>0</v>
      </c>
      <c r="BA82" s="318">
        <f t="shared" si="83"/>
        <v>0</v>
      </c>
    </row>
    <row r="83" spans="1:53" s="315" customFormat="1" ht="15.75" customHeight="1">
      <c r="A83" s="63" t="str">
        <f t="array" ref="A83">IF(C83&lt;&gt;0,SUM(($C$11:C83&lt;&gt;0)*1),"")</f>
        <v/>
      </c>
      <c r="B83" s="316"/>
      <c r="C83" s="316"/>
      <c r="D83" s="316"/>
      <c r="E83" s="436"/>
      <c r="F83" s="372"/>
      <c r="G83" s="374"/>
      <c r="H83" s="374"/>
      <c r="I83" s="63" t="str">
        <f t="shared" si="45"/>
        <v/>
      </c>
      <c r="J83" s="318">
        <f t="shared" si="46"/>
        <v>0</v>
      </c>
      <c r="K83" s="318">
        <f t="shared" si="47"/>
        <v>0</v>
      </c>
      <c r="L83" s="318">
        <f t="shared" si="48"/>
        <v>0</v>
      </c>
      <c r="M83" s="318">
        <f t="shared" si="49"/>
        <v>0</v>
      </c>
      <c r="N83" s="318">
        <f t="shared" si="84"/>
        <v>0</v>
      </c>
      <c r="O83" s="318">
        <f t="shared" si="85"/>
        <v>0</v>
      </c>
      <c r="P83" s="318">
        <f t="shared" si="50"/>
        <v>0</v>
      </c>
      <c r="Q83" s="318">
        <f t="shared" si="51"/>
        <v>0</v>
      </c>
      <c r="R83" s="318">
        <f t="shared" si="52"/>
        <v>0</v>
      </c>
      <c r="S83" s="318">
        <f t="shared" si="53"/>
        <v>0</v>
      </c>
      <c r="T83" s="318">
        <f t="shared" si="86"/>
        <v>0</v>
      </c>
      <c r="U83" s="318">
        <f t="shared" si="87"/>
        <v>0</v>
      </c>
      <c r="V83" s="318">
        <f t="shared" si="54"/>
        <v>0</v>
      </c>
      <c r="W83" s="318">
        <f t="shared" si="55"/>
        <v>0</v>
      </c>
      <c r="X83" s="318">
        <f t="shared" si="56"/>
        <v>0</v>
      </c>
      <c r="Y83" s="318">
        <f t="shared" si="57"/>
        <v>0</v>
      </c>
      <c r="Z83" s="318">
        <f t="shared" si="58"/>
        <v>0</v>
      </c>
      <c r="AA83" s="318">
        <f t="shared" si="59"/>
        <v>0</v>
      </c>
      <c r="AB83" s="318">
        <f t="shared" si="60"/>
        <v>0</v>
      </c>
      <c r="AC83" s="318">
        <f t="shared" si="61"/>
        <v>0</v>
      </c>
      <c r="AD83" s="318">
        <f t="shared" si="62"/>
        <v>0</v>
      </c>
      <c r="AE83" s="318">
        <f t="shared" si="63"/>
        <v>0</v>
      </c>
      <c r="AF83" s="318">
        <f t="shared" si="88"/>
        <v>0</v>
      </c>
      <c r="AG83" s="318">
        <f t="shared" si="89"/>
        <v>0</v>
      </c>
      <c r="AH83" s="318">
        <f t="shared" si="64"/>
        <v>0</v>
      </c>
      <c r="AI83" s="318">
        <f t="shared" si="65"/>
        <v>0</v>
      </c>
      <c r="AJ83" s="318">
        <f t="shared" si="66"/>
        <v>0</v>
      </c>
      <c r="AK83" s="318">
        <f t="shared" si="67"/>
        <v>0</v>
      </c>
      <c r="AL83" s="318">
        <f t="shared" si="68"/>
        <v>0</v>
      </c>
      <c r="AM83" s="318">
        <f t="shared" si="69"/>
        <v>0</v>
      </c>
      <c r="AN83" s="318">
        <f t="shared" si="70"/>
        <v>0</v>
      </c>
      <c r="AO83" s="318">
        <f t="shared" si="71"/>
        <v>0</v>
      </c>
      <c r="AP83" s="318">
        <f t="shared" si="72"/>
        <v>0</v>
      </c>
      <c r="AQ83" s="318">
        <f t="shared" si="73"/>
        <v>0</v>
      </c>
      <c r="AR83" s="318">
        <f t="shared" si="74"/>
        <v>0</v>
      </c>
      <c r="AS83" s="318">
        <f t="shared" si="75"/>
        <v>0</v>
      </c>
      <c r="AT83" s="318">
        <f t="shared" si="76"/>
        <v>0</v>
      </c>
      <c r="AU83" s="318">
        <f t="shared" si="77"/>
        <v>0</v>
      </c>
      <c r="AV83" s="318">
        <f t="shared" si="78"/>
        <v>0</v>
      </c>
      <c r="AW83" s="318">
        <f t="shared" si="79"/>
        <v>0</v>
      </c>
      <c r="AX83" s="318">
        <f t="shared" si="80"/>
        <v>0</v>
      </c>
      <c r="AY83" s="318">
        <f t="shared" si="81"/>
        <v>0</v>
      </c>
      <c r="AZ83" s="318">
        <f t="shared" si="82"/>
        <v>0</v>
      </c>
      <c r="BA83" s="318">
        <f t="shared" si="83"/>
        <v>0</v>
      </c>
    </row>
    <row r="84" spans="1:53" s="315" customFormat="1" ht="15.75" customHeight="1">
      <c r="A84" s="63" t="str">
        <f t="array" ref="A84">IF(C84&lt;&gt;0,SUM(($C$11:C84&lt;&gt;0)*1),"")</f>
        <v/>
      </c>
      <c r="B84" s="316"/>
      <c r="C84" s="316"/>
      <c r="D84" s="316"/>
      <c r="E84" s="436"/>
      <c r="F84" s="372"/>
      <c r="G84" s="374"/>
      <c r="H84" s="374"/>
      <c r="I84" s="63" t="str">
        <f t="shared" si="45"/>
        <v/>
      </c>
      <c r="J84" s="318">
        <f t="shared" si="46"/>
        <v>0</v>
      </c>
      <c r="K84" s="318">
        <f t="shared" si="47"/>
        <v>0</v>
      </c>
      <c r="L84" s="318">
        <f t="shared" si="48"/>
        <v>0</v>
      </c>
      <c r="M84" s="318">
        <f t="shared" si="49"/>
        <v>0</v>
      </c>
      <c r="N84" s="318">
        <f t="shared" si="84"/>
        <v>0</v>
      </c>
      <c r="O84" s="318">
        <f t="shared" si="85"/>
        <v>0</v>
      </c>
      <c r="P84" s="318">
        <f t="shared" si="50"/>
        <v>0</v>
      </c>
      <c r="Q84" s="318">
        <f t="shared" si="51"/>
        <v>0</v>
      </c>
      <c r="R84" s="318">
        <f t="shared" si="52"/>
        <v>0</v>
      </c>
      <c r="S84" s="318">
        <f t="shared" si="53"/>
        <v>0</v>
      </c>
      <c r="T84" s="318">
        <f t="shared" si="86"/>
        <v>0</v>
      </c>
      <c r="U84" s="318">
        <f t="shared" si="87"/>
        <v>0</v>
      </c>
      <c r="V84" s="318">
        <f t="shared" si="54"/>
        <v>0</v>
      </c>
      <c r="W84" s="318">
        <f t="shared" si="55"/>
        <v>0</v>
      </c>
      <c r="X84" s="318">
        <f t="shared" si="56"/>
        <v>0</v>
      </c>
      <c r="Y84" s="318">
        <f t="shared" si="57"/>
        <v>0</v>
      </c>
      <c r="Z84" s="318">
        <f t="shared" si="58"/>
        <v>0</v>
      </c>
      <c r="AA84" s="318">
        <f t="shared" si="59"/>
        <v>0</v>
      </c>
      <c r="AB84" s="318">
        <f t="shared" si="60"/>
        <v>0</v>
      </c>
      <c r="AC84" s="318">
        <f t="shared" si="61"/>
        <v>0</v>
      </c>
      <c r="AD84" s="318">
        <f t="shared" si="62"/>
        <v>0</v>
      </c>
      <c r="AE84" s="318">
        <f t="shared" si="63"/>
        <v>0</v>
      </c>
      <c r="AF84" s="318">
        <f t="shared" si="88"/>
        <v>0</v>
      </c>
      <c r="AG84" s="318">
        <f t="shared" si="89"/>
        <v>0</v>
      </c>
      <c r="AH84" s="318">
        <f t="shared" si="64"/>
        <v>0</v>
      </c>
      <c r="AI84" s="318">
        <f t="shared" si="65"/>
        <v>0</v>
      </c>
      <c r="AJ84" s="318">
        <f t="shared" si="66"/>
        <v>0</v>
      </c>
      <c r="AK84" s="318">
        <f t="shared" si="67"/>
        <v>0</v>
      </c>
      <c r="AL84" s="318">
        <f t="shared" si="68"/>
        <v>0</v>
      </c>
      <c r="AM84" s="318">
        <f t="shared" si="69"/>
        <v>0</v>
      </c>
      <c r="AN84" s="318">
        <f t="shared" si="70"/>
        <v>0</v>
      </c>
      <c r="AO84" s="318">
        <f t="shared" si="71"/>
        <v>0</v>
      </c>
      <c r="AP84" s="318">
        <f t="shared" si="72"/>
        <v>0</v>
      </c>
      <c r="AQ84" s="318">
        <f t="shared" si="73"/>
        <v>0</v>
      </c>
      <c r="AR84" s="318">
        <f t="shared" si="74"/>
        <v>0</v>
      </c>
      <c r="AS84" s="318">
        <f t="shared" si="75"/>
        <v>0</v>
      </c>
      <c r="AT84" s="318">
        <f t="shared" si="76"/>
        <v>0</v>
      </c>
      <c r="AU84" s="318">
        <f t="shared" si="77"/>
        <v>0</v>
      </c>
      <c r="AV84" s="318">
        <f t="shared" si="78"/>
        <v>0</v>
      </c>
      <c r="AW84" s="318">
        <f t="shared" si="79"/>
        <v>0</v>
      </c>
      <c r="AX84" s="318">
        <f t="shared" si="80"/>
        <v>0</v>
      </c>
      <c r="AY84" s="318">
        <f t="shared" si="81"/>
        <v>0</v>
      </c>
      <c r="AZ84" s="318">
        <f t="shared" si="82"/>
        <v>0</v>
      </c>
      <c r="BA84" s="318">
        <f t="shared" si="83"/>
        <v>0</v>
      </c>
    </row>
    <row r="85" spans="1:53" s="315" customFormat="1" ht="15.75" customHeight="1">
      <c r="A85" s="63" t="str">
        <f t="array" ref="A85">IF(C85&lt;&gt;0,SUM(($C$11:C85&lt;&gt;0)*1),"")</f>
        <v/>
      </c>
      <c r="B85" s="316"/>
      <c r="C85" s="316"/>
      <c r="D85" s="316"/>
      <c r="E85" s="436"/>
      <c r="F85" s="372"/>
      <c r="G85" s="374"/>
      <c r="H85" s="374"/>
      <c r="I85" s="63" t="str">
        <f t="shared" si="45"/>
        <v/>
      </c>
      <c r="J85" s="318">
        <f t="shared" si="46"/>
        <v>0</v>
      </c>
      <c r="K85" s="318">
        <f t="shared" si="47"/>
        <v>0</v>
      </c>
      <c r="L85" s="318">
        <f t="shared" si="48"/>
        <v>0</v>
      </c>
      <c r="M85" s="318">
        <f t="shared" si="49"/>
        <v>0</v>
      </c>
      <c r="N85" s="318">
        <f t="shared" si="84"/>
        <v>0</v>
      </c>
      <c r="O85" s="318">
        <f t="shared" si="85"/>
        <v>0</v>
      </c>
      <c r="P85" s="318">
        <f t="shared" si="50"/>
        <v>0</v>
      </c>
      <c r="Q85" s="318">
        <f t="shared" si="51"/>
        <v>0</v>
      </c>
      <c r="R85" s="318">
        <f t="shared" si="52"/>
        <v>0</v>
      </c>
      <c r="S85" s="318">
        <f t="shared" si="53"/>
        <v>0</v>
      </c>
      <c r="T85" s="318">
        <f t="shared" si="86"/>
        <v>0</v>
      </c>
      <c r="U85" s="318">
        <f t="shared" si="87"/>
        <v>0</v>
      </c>
      <c r="V85" s="318">
        <f t="shared" si="54"/>
        <v>0</v>
      </c>
      <c r="W85" s="318">
        <f t="shared" si="55"/>
        <v>0</v>
      </c>
      <c r="X85" s="318">
        <f t="shared" si="56"/>
        <v>0</v>
      </c>
      <c r="Y85" s="318">
        <f t="shared" si="57"/>
        <v>0</v>
      </c>
      <c r="Z85" s="318">
        <f t="shared" si="58"/>
        <v>0</v>
      </c>
      <c r="AA85" s="318">
        <f t="shared" si="59"/>
        <v>0</v>
      </c>
      <c r="AB85" s="318">
        <f t="shared" si="60"/>
        <v>0</v>
      </c>
      <c r="AC85" s="318">
        <f t="shared" si="61"/>
        <v>0</v>
      </c>
      <c r="AD85" s="318">
        <f t="shared" si="62"/>
        <v>0</v>
      </c>
      <c r="AE85" s="318">
        <f t="shared" si="63"/>
        <v>0</v>
      </c>
      <c r="AF85" s="318">
        <f t="shared" si="88"/>
        <v>0</v>
      </c>
      <c r="AG85" s="318">
        <f t="shared" si="89"/>
        <v>0</v>
      </c>
      <c r="AH85" s="318">
        <f t="shared" si="64"/>
        <v>0</v>
      </c>
      <c r="AI85" s="318">
        <f t="shared" si="65"/>
        <v>0</v>
      </c>
      <c r="AJ85" s="318">
        <f t="shared" si="66"/>
        <v>0</v>
      </c>
      <c r="AK85" s="318">
        <f t="shared" si="67"/>
        <v>0</v>
      </c>
      <c r="AL85" s="318">
        <f t="shared" si="68"/>
        <v>0</v>
      </c>
      <c r="AM85" s="318">
        <f t="shared" si="69"/>
        <v>0</v>
      </c>
      <c r="AN85" s="318">
        <f t="shared" si="70"/>
        <v>0</v>
      </c>
      <c r="AO85" s="318">
        <f t="shared" si="71"/>
        <v>0</v>
      </c>
      <c r="AP85" s="318">
        <f t="shared" si="72"/>
        <v>0</v>
      </c>
      <c r="AQ85" s="318">
        <f t="shared" si="73"/>
        <v>0</v>
      </c>
      <c r="AR85" s="318">
        <f t="shared" si="74"/>
        <v>0</v>
      </c>
      <c r="AS85" s="318">
        <f t="shared" si="75"/>
        <v>0</v>
      </c>
      <c r="AT85" s="318">
        <f t="shared" si="76"/>
        <v>0</v>
      </c>
      <c r="AU85" s="318">
        <f t="shared" si="77"/>
        <v>0</v>
      </c>
      <c r="AV85" s="318">
        <f t="shared" si="78"/>
        <v>0</v>
      </c>
      <c r="AW85" s="318">
        <f t="shared" si="79"/>
        <v>0</v>
      </c>
      <c r="AX85" s="318">
        <f t="shared" si="80"/>
        <v>0</v>
      </c>
      <c r="AY85" s="318">
        <f t="shared" si="81"/>
        <v>0</v>
      </c>
      <c r="AZ85" s="318">
        <f t="shared" si="82"/>
        <v>0</v>
      </c>
      <c r="BA85" s="318">
        <f t="shared" si="83"/>
        <v>0</v>
      </c>
    </row>
    <row r="86" spans="1:53" s="315" customFormat="1" ht="15.75" customHeight="1">
      <c r="A86" s="63" t="str">
        <f t="array" ref="A86">IF(C86&lt;&gt;0,SUM(($C$11:C86&lt;&gt;0)*1),"")</f>
        <v/>
      </c>
      <c r="B86" s="316"/>
      <c r="C86" s="316"/>
      <c r="D86" s="316"/>
      <c r="E86" s="436"/>
      <c r="F86" s="372"/>
      <c r="G86" s="374"/>
      <c r="H86" s="374"/>
      <c r="I86" s="63" t="str">
        <f t="shared" si="45"/>
        <v/>
      </c>
      <c r="J86" s="318">
        <f t="shared" si="46"/>
        <v>0</v>
      </c>
      <c r="K86" s="318">
        <f t="shared" si="47"/>
        <v>0</v>
      </c>
      <c r="L86" s="318">
        <f t="shared" si="48"/>
        <v>0</v>
      </c>
      <c r="M86" s="318">
        <f t="shared" si="49"/>
        <v>0</v>
      </c>
      <c r="N86" s="318">
        <f t="shared" si="84"/>
        <v>0</v>
      </c>
      <c r="O86" s="318">
        <f t="shared" si="85"/>
        <v>0</v>
      </c>
      <c r="P86" s="318">
        <f t="shared" si="50"/>
        <v>0</v>
      </c>
      <c r="Q86" s="318">
        <f t="shared" si="51"/>
        <v>0</v>
      </c>
      <c r="R86" s="318">
        <f t="shared" si="52"/>
        <v>0</v>
      </c>
      <c r="S86" s="318">
        <f t="shared" si="53"/>
        <v>0</v>
      </c>
      <c r="T86" s="318">
        <f t="shared" si="86"/>
        <v>0</v>
      </c>
      <c r="U86" s="318">
        <f t="shared" si="87"/>
        <v>0</v>
      </c>
      <c r="V86" s="318">
        <f t="shared" si="54"/>
        <v>0</v>
      </c>
      <c r="W86" s="318">
        <f t="shared" si="55"/>
        <v>0</v>
      </c>
      <c r="X86" s="318">
        <f t="shared" si="56"/>
        <v>0</v>
      </c>
      <c r="Y86" s="318">
        <f t="shared" si="57"/>
        <v>0</v>
      </c>
      <c r="Z86" s="318">
        <f t="shared" si="58"/>
        <v>0</v>
      </c>
      <c r="AA86" s="318">
        <f t="shared" si="59"/>
        <v>0</v>
      </c>
      <c r="AB86" s="318">
        <f t="shared" si="60"/>
        <v>0</v>
      </c>
      <c r="AC86" s="318">
        <f t="shared" si="61"/>
        <v>0</v>
      </c>
      <c r="AD86" s="318">
        <f t="shared" si="62"/>
        <v>0</v>
      </c>
      <c r="AE86" s="318">
        <f t="shared" si="63"/>
        <v>0</v>
      </c>
      <c r="AF86" s="318">
        <f t="shared" si="88"/>
        <v>0</v>
      </c>
      <c r="AG86" s="318">
        <f t="shared" si="89"/>
        <v>0</v>
      </c>
      <c r="AH86" s="318">
        <f t="shared" si="64"/>
        <v>0</v>
      </c>
      <c r="AI86" s="318">
        <f t="shared" si="65"/>
        <v>0</v>
      </c>
      <c r="AJ86" s="318">
        <f t="shared" si="66"/>
        <v>0</v>
      </c>
      <c r="AK86" s="318">
        <f t="shared" si="67"/>
        <v>0</v>
      </c>
      <c r="AL86" s="318">
        <f t="shared" si="68"/>
        <v>0</v>
      </c>
      <c r="AM86" s="318">
        <f t="shared" si="69"/>
        <v>0</v>
      </c>
      <c r="AN86" s="318">
        <f t="shared" si="70"/>
        <v>0</v>
      </c>
      <c r="AO86" s="318">
        <f t="shared" si="71"/>
        <v>0</v>
      </c>
      <c r="AP86" s="318">
        <f t="shared" si="72"/>
        <v>0</v>
      </c>
      <c r="AQ86" s="318">
        <f t="shared" si="73"/>
        <v>0</v>
      </c>
      <c r="AR86" s="318">
        <f t="shared" si="74"/>
        <v>0</v>
      </c>
      <c r="AS86" s="318">
        <f t="shared" si="75"/>
        <v>0</v>
      </c>
      <c r="AT86" s="318">
        <f t="shared" si="76"/>
        <v>0</v>
      </c>
      <c r="AU86" s="318">
        <f t="shared" si="77"/>
        <v>0</v>
      </c>
      <c r="AV86" s="318">
        <f t="shared" si="78"/>
        <v>0</v>
      </c>
      <c r="AW86" s="318">
        <f t="shared" si="79"/>
        <v>0</v>
      </c>
      <c r="AX86" s="318">
        <f t="shared" si="80"/>
        <v>0</v>
      </c>
      <c r="AY86" s="318">
        <f t="shared" si="81"/>
        <v>0</v>
      </c>
      <c r="AZ86" s="318">
        <f t="shared" si="82"/>
        <v>0</v>
      </c>
      <c r="BA86" s="318">
        <f t="shared" si="83"/>
        <v>0</v>
      </c>
    </row>
    <row r="87" spans="1:53" s="315" customFormat="1" ht="15.75" customHeight="1">
      <c r="A87" s="63" t="str">
        <f t="array" ref="A87">IF(C87&lt;&gt;0,SUM(($C$11:C87&lt;&gt;0)*1),"")</f>
        <v/>
      </c>
      <c r="B87" s="316"/>
      <c r="C87" s="316"/>
      <c r="D87" s="316"/>
      <c r="E87" s="436"/>
      <c r="F87" s="372"/>
      <c r="G87" s="374"/>
      <c r="H87" s="374"/>
      <c r="I87" s="63" t="str">
        <f t="shared" si="45"/>
        <v/>
      </c>
      <c r="J87" s="318">
        <f t="shared" si="46"/>
        <v>0</v>
      </c>
      <c r="K87" s="318">
        <f t="shared" si="47"/>
        <v>0</v>
      </c>
      <c r="L87" s="318">
        <f t="shared" si="48"/>
        <v>0</v>
      </c>
      <c r="M87" s="318">
        <f t="shared" si="49"/>
        <v>0</v>
      </c>
      <c r="N87" s="318">
        <f t="shared" si="84"/>
        <v>0</v>
      </c>
      <c r="O87" s="318">
        <f t="shared" si="85"/>
        <v>0</v>
      </c>
      <c r="P87" s="318">
        <f t="shared" si="50"/>
        <v>0</v>
      </c>
      <c r="Q87" s="318">
        <f t="shared" si="51"/>
        <v>0</v>
      </c>
      <c r="R87" s="318">
        <f t="shared" si="52"/>
        <v>0</v>
      </c>
      <c r="S87" s="318">
        <f t="shared" si="53"/>
        <v>0</v>
      </c>
      <c r="T87" s="318">
        <f t="shared" si="86"/>
        <v>0</v>
      </c>
      <c r="U87" s="318">
        <f t="shared" si="87"/>
        <v>0</v>
      </c>
      <c r="V87" s="318">
        <f t="shared" si="54"/>
        <v>0</v>
      </c>
      <c r="W87" s="318">
        <f t="shared" si="55"/>
        <v>0</v>
      </c>
      <c r="X87" s="318">
        <f t="shared" si="56"/>
        <v>0</v>
      </c>
      <c r="Y87" s="318">
        <f t="shared" si="57"/>
        <v>0</v>
      </c>
      <c r="Z87" s="318">
        <f t="shared" si="58"/>
        <v>0</v>
      </c>
      <c r="AA87" s="318">
        <f t="shared" si="59"/>
        <v>0</v>
      </c>
      <c r="AB87" s="318">
        <f t="shared" si="60"/>
        <v>0</v>
      </c>
      <c r="AC87" s="318">
        <f t="shared" si="61"/>
        <v>0</v>
      </c>
      <c r="AD87" s="318">
        <f t="shared" si="62"/>
        <v>0</v>
      </c>
      <c r="AE87" s="318">
        <f t="shared" si="63"/>
        <v>0</v>
      </c>
      <c r="AF87" s="318">
        <f t="shared" si="88"/>
        <v>0</v>
      </c>
      <c r="AG87" s="318">
        <f t="shared" si="89"/>
        <v>0</v>
      </c>
      <c r="AH87" s="318">
        <f t="shared" si="64"/>
        <v>0</v>
      </c>
      <c r="AI87" s="318">
        <f t="shared" si="65"/>
        <v>0</v>
      </c>
      <c r="AJ87" s="318">
        <f t="shared" si="66"/>
        <v>0</v>
      </c>
      <c r="AK87" s="318">
        <f t="shared" si="67"/>
        <v>0</v>
      </c>
      <c r="AL87" s="318">
        <f t="shared" si="68"/>
        <v>0</v>
      </c>
      <c r="AM87" s="318">
        <f t="shared" si="69"/>
        <v>0</v>
      </c>
      <c r="AN87" s="318">
        <f t="shared" si="70"/>
        <v>0</v>
      </c>
      <c r="AO87" s="318">
        <f t="shared" si="71"/>
        <v>0</v>
      </c>
      <c r="AP87" s="318">
        <f t="shared" si="72"/>
        <v>0</v>
      </c>
      <c r="AQ87" s="318">
        <f t="shared" si="73"/>
        <v>0</v>
      </c>
      <c r="AR87" s="318">
        <f t="shared" si="74"/>
        <v>0</v>
      </c>
      <c r="AS87" s="318">
        <f t="shared" si="75"/>
        <v>0</v>
      </c>
      <c r="AT87" s="318">
        <f t="shared" si="76"/>
        <v>0</v>
      </c>
      <c r="AU87" s="318">
        <f t="shared" si="77"/>
        <v>0</v>
      </c>
      <c r="AV87" s="318">
        <f t="shared" si="78"/>
        <v>0</v>
      </c>
      <c r="AW87" s="318">
        <f t="shared" si="79"/>
        <v>0</v>
      </c>
      <c r="AX87" s="318">
        <f t="shared" si="80"/>
        <v>0</v>
      </c>
      <c r="AY87" s="318">
        <f t="shared" si="81"/>
        <v>0</v>
      </c>
      <c r="AZ87" s="318">
        <f t="shared" si="82"/>
        <v>0</v>
      </c>
      <c r="BA87" s="318">
        <f t="shared" si="83"/>
        <v>0</v>
      </c>
    </row>
    <row r="88" spans="1:53" s="315" customFormat="1" ht="15.75" customHeight="1">
      <c r="A88" s="63" t="str">
        <f t="array" ref="A88">IF(C88&lt;&gt;0,SUM(($C$11:C88&lt;&gt;0)*1),"")</f>
        <v/>
      </c>
      <c r="B88" s="316"/>
      <c r="C88" s="316"/>
      <c r="D88" s="316"/>
      <c r="E88" s="436"/>
      <c r="F88" s="372"/>
      <c r="G88" s="374"/>
      <c r="H88" s="374"/>
      <c r="I88" s="63" t="str">
        <f t="shared" si="45"/>
        <v/>
      </c>
      <c r="J88" s="318">
        <f t="shared" si="46"/>
        <v>0</v>
      </c>
      <c r="K88" s="318">
        <f t="shared" si="47"/>
        <v>0</v>
      </c>
      <c r="L88" s="318">
        <f t="shared" si="48"/>
        <v>0</v>
      </c>
      <c r="M88" s="318">
        <f t="shared" si="49"/>
        <v>0</v>
      </c>
      <c r="N88" s="318">
        <f t="shared" si="84"/>
        <v>0</v>
      </c>
      <c r="O88" s="318">
        <f t="shared" si="85"/>
        <v>0</v>
      </c>
      <c r="P88" s="318">
        <f t="shared" si="50"/>
        <v>0</v>
      </c>
      <c r="Q88" s="318">
        <f t="shared" si="51"/>
        <v>0</v>
      </c>
      <c r="R88" s="318">
        <f t="shared" si="52"/>
        <v>0</v>
      </c>
      <c r="S88" s="318">
        <f t="shared" si="53"/>
        <v>0</v>
      </c>
      <c r="T88" s="318">
        <f t="shared" si="86"/>
        <v>0</v>
      </c>
      <c r="U88" s="318">
        <f t="shared" si="87"/>
        <v>0</v>
      </c>
      <c r="V88" s="318">
        <f t="shared" si="54"/>
        <v>0</v>
      </c>
      <c r="W88" s="318">
        <f t="shared" si="55"/>
        <v>0</v>
      </c>
      <c r="X88" s="318">
        <f t="shared" si="56"/>
        <v>0</v>
      </c>
      <c r="Y88" s="318">
        <f t="shared" si="57"/>
        <v>0</v>
      </c>
      <c r="Z88" s="318">
        <f t="shared" si="58"/>
        <v>0</v>
      </c>
      <c r="AA88" s="318">
        <f t="shared" si="59"/>
        <v>0</v>
      </c>
      <c r="AB88" s="318">
        <f t="shared" si="60"/>
        <v>0</v>
      </c>
      <c r="AC88" s="318">
        <f t="shared" si="61"/>
        <v>0</v>
      </c>
      <c r="AD88" s="318">
        <f t="shared" si="62"/>
        <v>0</v>
      </c>
      <c r="AE88" s="318">
        <f t="shared" si="63"/>
        <v>0</v>
      </c>
      <c r="AF88" s="318">
        <f t="shared" si="88"/>
        <v>0</v>
      </c>
      <c r="AG88" s="318">
        <f t="shared" si="89"/>
        <v>0</v>
      </c>
      <c r="AH88" s="318">
        <f t="shared" si="64"/>
        <v>0</v>
      </c>
      <c r="AI88" s="318">
        <f t="shared" si="65"/>
        <v>0</v>
      </c>
      <c r="AJ88" s="318">
        <f t="shared" si="66"/>
        <v>0</v>
      </c>
      <c r="AK88" s="318">
        <f t="shared" si="67"/>
        <v>0</v>
      </c>
      <c r="AL88" s="318">
        <f t="shared" si="68"/>
        <v>0</v>
      </c>
      <c r="AM88" s="318">
        <f t="shared" si="69"/>
        <v>0</v>
      </c>
      <c r="AN88" s="318">
        <f t="shared" si="70"/>
        <v>0</v>
      </c>
      <c r="AO88" s="318">
        <f t="shared" si="71"/>
        <v>0</v>
      </c>
      <c r="AP88" s="318">
        <f t="shared" si="72"/>
        <v>0</v>
      </c>
      <c r="AQ88" s="318">
        <f t="shared" si="73"/>
        <v>0</v>
      </c>
      <c r="AR88" s="318">
        <f t="shared" si="74"/>
        <v>0</v>
      </c>
      <c r="AS88" s="318">
        <f t="shared" si="75"/>
        <v>0</v>
      </c>
      <c r="AT88" s="318">
        <f t="shared" si="76"/>
        <v>0</v>
      </c>
      <c r="AU88" s="318">
        <f t="shared" si="77"/>
        <v>0</v>
      </c>
      <c r="AV88" s="318">
        <f t="shared" si="78"/>
        <v>0</v>
      </c>
      <c r="AW88" s="318">
        <f t="shared" si="79"/>
        <v>0</v>
      </c>
      <c r="AX88" s="318">
        <f t="shared" si="80"/>
        <v>0</v>
      </c>
      <c r="AY88" s="318">
        <f t="shared" si="81"/>
        <v>0</v>
      </c>
      <c r="AZ88" s="318">
        <f t="shared" si="82"/>
        <v>0</v>
      </c>
      <c r="BA88" s="318">
        <f t="shared" si="83"/>
        <v>0</v>
      </c>
    </row>
    <row r="89" spans="1:53" s="315" customFormat="1" ht="15.75" customHeight="1">
      <c r="A89" s="63" t="str">
        <f t="array" ref="A89">IF(C89&lt;&gt;0,SUM(($C$11:C89&lt;&gt;0)*1),"")</f>
        <v/>
      </c>
      <c r="B89" s="316"/>
      <c r="C89" s="316"/>
      <c r="D89" s="316"/>
      <c r="E89" s="436"/>
      <c r="F89" s="372"/>
      <c r="G89" s="374"/>
      <c r="H89" s="374"/>
      <c r="I89" s="63" t="str">
        <f t="shared" si="45"/>
        <v/>
      </c>
      <c r="J89" s="318">
        <f t="shared" si="46"/>
        <v>0</v>
      </c>
      <c r="K89" s="318">
        <f t="shared" si="47"/>
        <v>0</v>
      </c>
      <c r="L89" s="318">
        <f t="shared" si="48"/>
        <v>0</v>
      </c>
      <c r="M89" s="318">
        <f t="shared" si="49"/>
        <v>0</v>
      </c>
      <c r="N89" s="318">
        <f t="shared" si="84"/>
        <v>0</v>
      </c>
      <c r="O89" s="318">
        <f t="shared" si="85"/>
        <v>0</v>
      </c>
      <c r="P89" s="318">
        <f t="shared" si="50"/>
        <v>0</v>
      </c>
      <c r="Q89" s="318">
        <f t="shared" si="51"/>
        <v>0</v>
      </c>
      <c r="R89" s="318">
        <f t="shared" si="52"/>
        <v>0</v>
      </c>
      <c r="S89" s="318">
        <f t="shared" si="53"/>
        <v>0</v>
      </c>
      <c r="T89" s="318">
        <f t="shared" si="86"/>
        <v>0</v>
      </c>
      <c r="U89" s="318">
        <f t="shared" si="87"/>
        <v>0</v>
      </c>
      <c r="V89" s="318">
        <f t="shared" si="54"/>
        <v>0</v>
      </c>
      <c r="W89" s="318">
        <f t="shared" si="55"/>
        <v>0</v>
      </c>
      <c r="X89" s="318">
        <f t="shared" si="56"/>
        <v>0</v>
      </c>
      <c r="Y89" s="318">
        <f t="shared" si="57"/>
        <v>0</v>
      </c>
      <c r="Z89" s="318">
        <f t="shared" si="58"/>
        <v>0</v>
      </c>
      <c r="AA89" s="318">
        <f t="shared" si="59"/>
        <v>0</v>
      </c>
      <c r="AB89" s="318">
        <f t="shared" si="60"/>
        <v>0</v>
      </c>
      <c r="AC89" s="318">
        <f t="shared" si="61"/>
        <v>0</v>
      </c>
      <c r="AD89" s="318">
        <f t="shared" si="62"/>
        <v>0</v>
      </c>
      <c r="AE89" s="318">
        <f t="shared" si="63"/>
        <v>0</v>
      </c>
      <c r="AF89" s="318">
        <f t="shared" si="88"/>
        <v>0</v>
      </c>
      <c r="AG89" s="318">
        <f t="shared" si="89"/>
        <v>0</v>
      </c>
      <c r="AH89" s="318">
        <f t="shared" si="64"/>
        <v>0</v>
      </c>
      <c r="AI89" s="318">
        <f t="shared" si="65"/>
        <v>0</v>
      </c>
      <c r="AJ89" s="318">
        <f t="shared" si="66"/>
        <v>0</v>
      </c>
      <c r="AK89" s="318">
        <f t="shared" si="67"/>
        <v>0</v>
      </c>
      <c r="AL89" s="318">
        <f t="shared" si="68"/>
        <v>0</v>
      </c>
      <c r="AM89" s="318">
        <f t="shared" si="69"/>
        <v>0</v>
      </c>
      <c r="AN89" s="318">
        <f t="shared" si="70"/>
        <v>0</v>
      </c>
      <c r="AO89" s="318">
        <f t="shared" si="71"/>
        <v>0</v>
      </c>
      <c r="AP89" s="318">
        <f t="shared" si="72"/>
        <v>0</v>
      </c>
      <c r="AQ89" s="318">
        <f t="shared" si="73"/>
        <v>0</v>
      </c>
      <c r="AR89" s="318">
        <f t="shared" si="74"/>
        <v>0</v>
      </c>
      <c r="AS89" s="318">
        <f t="shared" si="75"/>
        <v>0</v>
      </c>
      <c r="AT89" s="318">
        <f t="shared" si="76"/>
        <v>0</v>
      </c>
      <c r="AU89" s="318">
        <f t="shared" si="77"/>
        <v>0</v>
      </c>
      <c r="AV89" s="318">
        <f t="shared" si="78"/>
        <v>0</v>
      </c>
      <c r="AW89" s="318">
        <f t="shared" si="79"/>
        <v>0</v>
      </c>
      <c r="AX89" s="318">
        <f t="shared" si="80"/>
        <v>0</v>
      </c>
      <c r="AY89" s="318">
        <f t="shared" si="81"/>
        <v>0</v>
      </c>
      <c r="AZ89" s="318">
        <f t="shared" si="82"/>
        <v>0</v>
      </c>
      <c r="BA89" s="318">
        <f t="shared" si="83"/>
        <v>0</v>
      </c>
    </row>
    <row r="90" spans="1:53" s="315" customFormat="1" ht="15.75" customHeight="1">
      <c r="A90" s="63" t="str">
        <f t="array" ref="A90">IF(C90&lt;&gt;0,SUM(($C$11:C90&lt;&gt;0)*1),"")</f>
        <v/>
      </c>
      <c r="B90" s="316"/>
      <c r="C90" s="316"/>
      <c r="D90" s="316"/>
      <c r="E90" s="436"/>
      <c r="F90" s="372"/>
      <c r="G90" s="374"/>
      <c r="H90" s="374"/>
      <c r="I90" s="63" t="str">
        <f t="shared" si="45"/>
        <v/>
      </c>
      <c r="J90" s="318">
        <f t="shared" si="46"/>
        <v>0</v>
      </c>
      <c r="K90" s="318">
        <f t="shared" si="47"/>
        <v>0</v>
      </c>
      <c r="L90" s="318">
        <f t="shared" si="48"/>
        <v>0</v>
      </c>
      <c r="M90" s="318">
        <f t="shared" si="49"/>
        <v>0</v>
      </c>
      <c r="N90" s="318">
        <f t="shared" si="84"/>
        <v>0</v>
      </c>
      <c r="O90" s="318">
        <f t="shared" si="85"/>
        <v>0</v>
      </c>
      <c r="P90" s="318">
        <f t="shared" si="50"/>
        <v>0</v>
      </c>
      <c r="Q90" s="318">
        <f t="shared" si="51"/>
        <v>0</v>
      </c>
      <c r="R90" s="318">
        <f t="shared" si="52"/>
        <v>0</v>
      </c>
      <c r="S90" s="318">
        <f t="shared" si="53"/>
        <v>0</v>
      </c>
      <c r="T90" s="318">
        <f t="shared" si="86"/>
        <v>0</v>
      </c>
      <c r="U90" s="318">
        <f t="shared" si="87"/>
        <v>0</v>
      </c>
      <c r="V90" s="318">
        <f t="shared" si="54"/>
        <v>0</v>
      </c>
      <c r="W90" s="318">
        <f t="shared" si="55"/>
        <v>0</v>
      </c>
      <c r="X90" s="318">
        <f t="shared" si="56"/>
        <v>0</v>
      </c>
      <c r="Y90" s="318">
        <f t="shared" si="57"/>
        <v>0</v>
      </c>
      <c r="Z90" s="318">
        <f t="shared" si="58"/>
        <v>0</v>
      </c>
      <c r="AA90" s="318">
        <f t="shared" si="59"/>
        <v>0</v>
      </c>
      <c r="AB90" s="318">
        <f t="shared" si="60"/>
        <v>0</v>
      </c>
      <c r="AC90" s="318">
        <f t="shared" si="61"/>
        <v>0</v>
      </c>
      <c r="AD90" s="318">
        <f t="shared" si="62"/>
        <v>0</v>
      </c>
      <c r="AE90" s="318">
        <f t="shared" si="63"/>
        <v>0</v>
      </c>
      <c r="AF90" s="318">
        <f t="shared" si="88"/>
        <v>0</v>
      </c>
      <c r="AG90" s="318">
        <f t="shared" si="89"/>
        <v>0</v>
      </c>
      <c r="AH90" s="318">
        <f t="shared" si="64"/>
        <v>0</v>
      </c>
      <c r="AI90" s="318">
        <f t="shared" si="65"/>
        <v>0</v>
      </c>
      <c r="AJ90" s="318">
        <f t="shared" si="66"/>
        <v>0</v>
      </c>
      <c r="AK90" s="318">
        <f t="shared" si="67"/>
        <v>0</v>
      </c>
      <c r="AL90" s="318">
        <f t="shared" si="68"/>
        <v>0</v>
      </c>
      <c r="AM90" s="318">
        <f t="shared" si="69"/>
        <v>0</v>
      </c>
      <c r="AN90" s="318">
        <f t="shared" si="70"/>
        <v>0</v>
      </c>
      <c r="AO90" s="318">
        <f t="shared" si="71"/>
        <v>0</v>
      </c>
      <c r="AP90" s="318">
        <f t="shared" si="72"/>
        <v>0</v>
      </c>
      <c r="AQ90" s="318">
        <f t="shared" si="73"/>
        <v>0</v>
      </c>
      <c r="AR90" s="318">
        <f t="shared" si="74"/>
        <v>0</v>
      </c>
      <c r="AS90" s="318">
        <f t="shared" si="75"/>
        <v>0</v>
      </c>
      <c r="AT90" s="318">
        <f t="shared" si="76"/>
        <v>0</v>
      </c>
      <c r="AU90" s="318">
        <f t="shared" si="77"/>
        <v>0</v>
      </c>
      <c r="AV90" s="318">
        <f t="shared" si="78"/>
        <v>0</v>
      </c>
      <c r="AW90" s="318">
        <f t="shared" si="79"/>
        <v>0</v>
      </c>
      <c r="AX90" s="318">
        <f t="shared" si="80"/>
        <v>0</v>
      </c>
      <c r="AY90" s="318">
        <f t="shared" si="81"/>
        <v>0</v>
      </c>
      <c r="AZ90" s="318">
        <f t="shared" si="82"/>
        <v>0</v>
      </c>
      <c r="BA90" s="318">
        <f t="shared" si="83"/>
        <v>0</v>
      </c>
    </row>
    <row r="91" spans="1:53" s="315" customFormat="1" ht="15.75" customHeight="1">
      <c r="A91" s="63" t="str">
        <f t="array" ref="A91">IF(C91&lt;&gt;0,SUM(($C$11:C91&lt;&gt;0)*1),"")</f>
        <v/>
      </c>
      <c r="B91" s="316"/>
      <c r="C91" s="316"/>
      <c r="D91" s="316"/>
      <c r="E91" s="436"/>
      <c r="F91" s="372"/>
      <c r="G91" s="374"/>
      <c r="H91" s="374"/>
      <c r="I91" s="63" t="str">
        <f t="shared" si="45"/>
        <v/>
      </c>
      <c r="J91" s="318">
        <f t="shared" si="46"/>
        <v>0</v>
      </c>
      <c r="K91" s="318">
        <f t="shared" si="47"/>
        <v>0</v>
      </c>
      <c r="L91" s="318">
        <f t="shared" si="48"/>
        <v>0</v>
      </c>
      <c r="M91" s="318">
        <f t="shared" si="49"/>
        <v>0</v>
      </c>
      <c r="N91" s="318">
        <f t="shared" si="84"/>
        <v>0</v>
      </c>
      <c r="O91" s="318">
        <f t="shared" si="85"/>
        <v>0</v>
      </c>
      <c r="P91" s="318">
        <f t="shared" si="50"/>
        <v>0</v>
      </c>
      <c r="Q91" s="318">
        <f t="shared" si="51"/>
        <v>0</v>
      </c>
      <c r="R91" s="318">
        <f t="shared" si="52"/>
        <v>0</v>
      </c>
      <c r="S91" s="318">
        <f t="shared" si="53"/>
        <v>0</v>
      </c>
      <c r="T91" s="318">
        <f t="shared" si="86"/>
        <v>0</v>
      </c>
      <c r="U91" s="318">
        <f t="shared" si="87"/>
        <v>0</v>
      </c>
      <c r="V91" s="318">
        <f t="shared" si="54"/>
        <v>0</v>
      </c>
      <c r="W91" s="318">
        <f t="shared" si="55"/>
        <v>0</v>
      </c>
      <c r="X91" s="318">
        <f t="shared" si="56"/>
        <v>0</v>
      </c>
      <c r="Y91" s="318">
        <f t="shared" si="57"/>
        <v>0</v>
      </c>
      <c r="Z91" s="318">
        <f t="shared" si="58"/>
        <v>0</v>
      </c>
      <c r="AA91" s="318">
        <f t="shared" si="59"/>
        <v>0</v>
      </c>
      <c r="AB91" s="318">
        <f t="shared" si="60"/>
        <v>0</v>
      </c>
      <c r="AC91" s="318">
        <f t="shared" si="61"/>
        <v>0</v>
      </c>
      <c r="AD91" s="318">
        <f t="shared" si="62"/>
        <v>0</v>
      </c>
      <c r="AE91" s="318">
        <f t="shared" si="63"/>
        <v>0</v>
      </c>
      <c r="AF91" s="318">
        <f t="shared" si="88"/>
        <v>0</v>
      </c>
      <c r="AG91" s="318">
        <f t="shared" si="89"/>
        <v>0</v>
      </c>
      <c r="AH91" s="318">
        <f t="shared" si="64"/>
        <v>0</v>
      </c>
      <c r="AI91" s="318">
        <f t="shared" si="65"/>
        <v>0</v>
      </c>
      <c r="AJ91" s="318">
        <f t="shared" si="66"/>
        <v>0</v>
      </c>
      <c r="AK91" s="318">
        <f t="shared" si="67"/>
        <v>0</v>
      </c>
      <c r="AL91" s="318">
        <f t="shared" si="68"/>
        <v>0</v>
      </c>
      <c r="AM91" s="318">
        <f t="shared" si="69"/>
        <v>0</v>
      </c>
      <c r="AN91" s="318">
        <f t="shared" si="70"/>
        <v>0</v>
      </c>
      <c r="AO91" s="318">
        <f t="shared" si="71"/>
        <v>0</v>
      </c>
      <c r="AP91" s="318">
        <f t="shared" si="72"/>
        <v>0</v>
      </c>
      <c r="AQ91" s="318">
        <f t="shared" si="73"/>
        <v>0</v>
      </c>
      <c r="AR91" s="318">
        <f t="shared" si="74"/>
        <v>0</v>
      </c>
      <c r="AS91" s="318">
        <f t="shared" si="75"/>
        <v>0</v>
      </c>
      <c r="AT91" s="318">
        <f t="shared" si="76"/>
        <v>0</v>
      </c>
      <c r="AU91" s="318">
        <f t="shared" si="77"/>
        <v>0</v>
      </c>
      <c r="AV91" s="318">
        <f t="shared" si="78"/>
        <v>0</v>
      </c>
      <c r="AW91" s="318">
        <f t="shared" si="79"/>
        <v>0</v>
      </c>
      <c r="AX91" s="318">
        <f t="shared" si="80"/>
        <v>0</v>
      </c>
      <c r="AY91" s="318">
        <f t="shared" si="81"/>
        <v>0</v>
      </c>
      <c r="AZ91" s="318">
        <f t="shared" si="82"/>
        <v>0</v>
      </c>
      <c r="BA91" s="318">
        <f t="shared" si="83"/>
        <v>0</v>
      </c>
    </row>
    <row r="92" spans="1:53" s="315" customFormat="1" ht="15.75" customHeight="1">
      <c r="A92" s="63" t="str">
        <f t="array" ref="A92">IF(C92&lt;&gt;0,SUM(($C$11:C92&lt;&gt;0)*1),"")</f>
        <v/>
      </c>
      <c r="B92" s="316"/>
      <c r="C92" s="316"/>
      <c r="D92" s="316"/>
      <c r="E92" s="436"/>
      <c r="F92" s="372"/>
      <c r="G92" s="374"/>
      <c r="H92" s="374"/>
      <c r="I92" s="63" t="str">
        <f t="shared" ref="I92:I104" si="90">A92</f>
        <v/>
      </c>
      <c r="J92" s="318">
        <f t="shared" si="46"/>
        <v>0</v>
      </c>
      <c r="K92" s="318">
        <f t="shared" si="47"/>
        <v>0</v>
      </c>
      <c r="L92" s="318">
        <f t="shared" si="48"/>
        <v>0</v>
      </c>
      <c r="M92" s="318">
        <f t="shared" si="49"/>
        <v>0</v>
      </c>
      <c r="N92" s="318">
        <f t="shared" si="84"/>
        <v>0</v>
      </c>
      <c r="O92" s="318">
        <f t="shared" si="85"/>
        <v>0</v>
      </c>
      <c r="P92" s="318">
        <f t="shared" si="50"/>
        <v>0</v>
      </c>
      <c r="Q92" s="318">
        <f t="shared" si="51"/>
        <v>0</v>
      </c>
      <c r="R92" s="318">
        <f t="shared" si="52"/>
        <v>0</v>
      </c>
      <c r="S92" s="318">
        <f t="shared" si="53"/>
        <v>0</v>
      </c>
      <c r="T92" s="318">
        <f t="shared" si="86"/>
        <v>0</v>
      </c>
      <c r="U92" s="318">
        <f t="shared" si="87"/>
        <v>0</v>
      </c>
      <c r="V92" s="318">
        <f t="shared" si="54"/>
        <v>0</v>
      </c>
      <c r="W92" s="318">
        <f t="shared" si="55"/>
        <v>0</v>
      </c>
      <c r="X92" s="318">
        <f t="shared" si="56"/>
        <v>0</v>
      </c>
      <c r="Y92" s="318">
        <f t="shared" si="57"/>
        <v>0</v>
      </c>
      <c r="Z92" s="318">
        <f t="shared" si="58"/>
        <v>0</v>
      </c>
      <c r="AA92" s="318">
        <f t="shared" si="59"/>
        <v>0</v>
      </c>
      <c r="AB92" s="318">
        <f t="shared" si="60"/>
        <v>0</v>
      </c>
      <c r="AC92" s="318">
        <f t="shared" si="61"/>
        <v>0</v>
      </c>
      <c r="AD92" s="318">
        <f t="shared" si="62"/>
        <v>0</v>
      </c>
      <c r="AE92" s="318">
        <f t="shared" si="63"/>
        <v>0</v>
      </c>
      <c r="AF92" s="318">
        <f t="shared" si="88"/>
        <v>0</v>
      </c>
      <c r="AG92" s="318">
        <f t="shared" si="89"/>
        <v>0</v>
      </c>
      <c r="AH92" s="318">
        <f t="shared" si="64"/>
        <v>0</v>
      </c>
      <c r="AI92" s="318">
        <f t="shared" si="65"/>
        <v>0</v>
      </c>
      <c r="AJ92" s="318">
        <f t="shared" si="66"/>
        <v>0</v>
      </c>
      <c r="AK92" s="318">
        <f t="shared" si="67"/>
        <v>0</v>
      </c>
      <c r="AL92" s="318">
        <f t="shared" si="68"/>
        <v>0</v>
      </c>
      <c r="AM92" s="318">
        <f t="shared" si="69"/>
        <v>0</v>
      </c>
      <c r="AN92" s="318">
        <f t="shared" si="70"/>
        <v>0</v>
      </c>
      <c r="AO92" s="318">
        <f t="shared" si="71"/>
        <v>0</v>
      </c>
      <c r="AP92" s="318">
        <f t="shared" si="72"/>
        <v>0</v>
      </c>
      <c r="AQ92" s="318">
        <f t="shared" si="73"/>
        <v>0</v>
      </c>
      <c r="AR92" s="318">
        <f t="shared" si="74"/>
        <v>0</v>
      </c>
      <c r="AS92" s="318">
        <f t="shared" si="75"/>
        <v>0</v>
      </c>
      <c r="AT92" s="318">
        <f t="shared" si="76"/>
        <v>0</v>
      </c>
      <c r="AU92" s="318">
        <f t="shared" si="77"/>
        <v>0</v>
      </c>
      <c r="AV92" s="318">
        <f t="shared" si="78"/>
        <v>0</v>
      </c>
      <c r="AW92" s="318">
        <f t="shared" si="79"/>
        <v>0</v>
      </c>
      <c r="AX92" s="318">
        <f t="shared" si="80"/>
        <v>0</v>
      </c>
      <c r="AY92" s="318">
        <f t="shared" si="81"/>
        <v>0</v>
      </c>
      <c r="AZ92" s="318">
        <f t="shared" si="82"/>
        <v>0</v>
      </c>
      <c r="BA92" s="318">
        <f t="shared" si="83"/>
        <v>0</v>
      </c>
    </row>
    <row r="93" spans="1:53" s="315" customFormat="1" ht="15.75" customHeight="1">
      <c r="A93" s="63" t="str">
        <f t="array" ref="A93">IF(C93&lt;&gt;0,SUM(($C$11:C93&lt;&gt;0)*1),"")</f>
        <v/>
      </c>
      <c r="B93" s="316"/>
      <c r="C93" s="316"/>
      <c r="D93" s="316"/>
      <c r="E93" s="436"/>
      <c r="F93" s="372"/>
      <c r="G93" s="374"/>
      <c r="H93" s="374"/>
      <c r="I93" s="63" t="str">
        <f t="shared" si="90"/>
        <v/>
      </c>
      <c r="J93" s="318">
        <f t="shared" si="46"/>
        <v>0</v>
      </c>
      <c r="K93" s="318">
        <f t="shared" si="47"/>
        <v>0</v>
      </c>
      <c r="L93" s="318">
        <f t="shared" si="48"/>
        <v>0</v>
      </c>
      <c r="M93" s="318">
        <f t="shared" si="49"/>
        <v>0</v>
      </c>
      <c r="N93" s="318">
        <f t="shared" si="84"/>
        <v>0</v>
      </c>
      <c r="O93" s="318">
        <f t="shared" si="85"/>
        <v>0</v>
      </c>
      <c r="P93" s="318">
        <f t="shared" si="50"/>
        <v>0</v>
      </c>
      <c r="Q93" s="318">
        <f t="shared" si="51"/>
        <v>0</v>
      </c>
      <c r="R93" s="318">
        <f t="shared" si="52"/>
        <v>0</v>
      </c>
      <c r="S93" s="318">
        <f t="shared" si="53"/>
        <v>0</v>
      </c>
      <c r="T93" s="318">
        <f t="shared" si="86"/>
        <v>0</v>
      </c>
      <c r="U93" s="318">
        <f t="shared" si="87"/>
        <v>0</v>
      </c>
      <c r="V93" s="318">
        <f t="shared" si="54"/>
        <v>0</v>
      </c>
      <c r="W93" s="318">
        <f t="shared" si="55"/>
        <v>0</v>
      </c>
      <c r="X93" s="318">
        <f t="shared" si="56"/>
        <v>0</v>
      </c>
      <c r="Y93" s="318">
        <f t="shared" si="57"/>
        <v>0</v>
      </c>
      <c r="Z93" s="318">
        <f t="shared" si="58"/>
        <v>0</v>
      </c>
      <c r="AA93" s="318">
        <f t="shared" si="59"/>
        <v>0</v>
      </c>
      <c r="AB93" s="318">
        <f t="shared" si="60"/>
        <v>0</v>
      </c>
      <c r="AC93" s="318">
        <f t="shared" si="61"/>
        <v>0</v>
      </c>
      <c r="AD93" s="318">
        <f t="shared" si="62"/>
        <v>0</v>
      </c>
      <c r="AE93" s="318">
        <f t="shared" si="63"/>
        <v>0</v>
      </c>
      <c r="AF93" s="318">
        <f t="shared" si="88"/>
        <v>0</v>
      </c>
      <c r="AG93" s="318">
        <f t="shared" si="89"/>
        <v>0</v>
      </c>
      <c r="AH93" s="318">
        <f t="shared" si="64"/>
        <v>0</v>
      </c>
      <c r="AI93" s="318">
        <f t="shared" si="65"/>
        <v>0</v>
      </c>
      <c r="AJ93" s="318">
        <f t="shared" si="66"/>
        <v>0</v>
      </c>
      <c r="AK93" s="318">
        <f t="shared" si="67"/>
        <v>0</v>
      </c>
      <c r="AL93" s="318">
        <f t="shared" si="68"/>
        <v>0</v>
      </c>
      <c r="AM93" s="318">
        <f t="shared" si="69"/>
        <v>0</v>
      </c>
      <c r="AN93" s="318">
        <f t="shared" si="70"/>
        <v>0</v>
      </c>
      <c r="AO93" s="318">
        <f t="shared" si="71"/>
        <v>0</v>
      </c>
      <c r="AP93" s="318">
        <f t="shared" si="72"/>
        <v>0</v>
      </c>
      <c r="AQ93" s="318">
        <f t="shared" si="73"/>
        <v>0</v>
      </c>
      <c r="AR93" s="318">
        <f t="shared" si="74"/>
        <v>0</v>
      </c>
      <c r="AS93" s="318">
        <f t="shared" si="75"/>
        <v>0</v>
      </c>
      <c r="AT93" s="318">
        <f t="shared" si="76"/>
        <v>0</v>
      </c>
      <c r="AU93" s="318">
        <f t="shared" si="77"/>
        <v>0</v>
      </c>
      <c r="AV93" s="318">
        <f t="shared" si="78"/>
        <v>0</v>
      </c>
      <c r="AW93" s="318">
        <f t="shared" si="79"/>
        <v>0</v>
      </c>
      <c r="AX93" s="318">
        <f t="shared" si="80"/>
        <v>0</v>
      </c>
      <c r="AY93" s="318">
        <f t="shared" si="81"/>
        <v>0</v>
      </c>
      <c r="AZ93" s="318">
        <f t="shared" si="82"/>
        <v>0</v>
      </c>
      <c r="BA93" s="318">
        <f t="shared" si="83"/>
        <v>0</v>
      </c>
    </row>
    <row r="94" spans="1:53" s="315" customFormat="1" ht="15.75" customHeight="1">
      <c r="A94" s="63" t="str">
        <f t="array" ref="A94">IF(C94&lt;&gt;0,SUM(($C$11:C94&lt;&gt;0)*1),"")</f>
        <v/>
      </c>
      <c r="B94" s="316"/>
      <c r="C94" s="316"/>
      <c r="D94" s="316"/>
      <c r="E94" s="436"/>
      <c r="F94" s="372"/>
      <c r="G94" s="374"/>
      <c r="H94" s="374"/>
      <c r="I94" s="63" t="str">
        <f t="shared" si="90"/>
        <v/>
      </c>
      <c r="J94" s="318">
        <f t="shared" si="46"/>
        <v>0</v>
      </c>
      <c r="K94" s="318">
        <f t="shared" si="47"/>
        <v>0</v>
      </c>
      <c r="L94" s="318">
        <f t="shared" si="48"/>
        <v>0</v>
      </c>
      <c r="M94" s="318">
        <f t="shared" si="49"/>
        <v>0</v>
      </c>
      <c r="N94" s="318">
        <f t="shared" si="84"/>
        <v>0</v>
      </c>
      <c r="O94" s="318">
        <f t="shared" si="85"/>
        <v>0</v>
      </c>
      <c r="P94" s="318">
        <f t="shared" si="50"/>
        <v>0</v>
      </c>
      <c r="Q94" s="318">
        <f t="shared" si="51"/>
        <v>0</v>
      </c>
      <c r="R94" s="318">
        <f t="shared" si="52"/>
        <v>0</v>
      </c>
      <c r="S94" s="318">
        <f t="shared" si="53"/>
        <v>0</v>
      </c>
      <c r="T94" s="318">
        <f t="shared" si="86"/>
        <v>0</v>
      </c>
      <c r="U94" s="318">
        <f t="shared" si="87"/>
        <v>0</v>
      </c>
      <c r="V94" s="318">
        <f t="shared" si="54"/>
        <v>0</v>
      </c>
      <c r="W94" s="318">
        <f t="shared" si="55"/>
        <v>0</v>
      </c>
      <c r="X94" s="318">
        <f t="shared" si="56"/>
        <v>0</v>
      </c>
      <c r="Y94" s="318">
        <f t="shared" si="57"/>
        <v>0</v>
      </c>
      <c r="Z94" s="318">
        <f t="shared" si="58"/>
        <v>0</v>
      </c>
      <c r="AA94" s="318">
        <f t="shared" si="59"/>
        <v>0</v>
      </c>
      <c r="AB94" s="318">
        <f t="shared" si="60"/>
        <v>0</v>
      </c>
      <c r="AC94" s="318">
        <f t="shared" si="61"/>
        <v>0</v>
      </c>
      <c r="AD94" s="318">
        <f t="shared" si="62"/>
        <v>0</v>
      </c>
      <c r="AE94" s="318">
        <f t="shared" si="63"/>
        <v>0</v>
      </c>
      <c r="AF94" s="318">
        <f t="shared" si="88"/>
        <v>0</v>
      </c>
      <c r="AG94" s="318">
        <f t="shared" si="89"/>
        <v>0</v>
      </c>
      <c r="AH94" s="318">
        <f t="shared" si="64"/>
        <v>0</v>
      </c>
      <c r="AI94" s="318">
        <f t="shared" si="65"/>
        <v>0</v>
      </c>
      <c r="AJ94" s="318">
        <f t="shared" si="66"/>
        <v>0</v>
      </c>
      <c r="AK94" s="318">
        <f t="shared" si="67"/>
        <v>0</v>
      </c>
      <c r="AL94" s="318">
        <f t="shared" si="68"/>
        <v>0</v>
      </c>
      <c r="AM94" s="318">
        <f t="shared" si="69"/>
        <v>0</v>
      </c>
      <c r="AN94" s="318">
        <f t="shared" si="70"/>
        <v>0</v>
      </c>
      <c r="AO94" s="318">
        <f t="shared" si="71"/>
        <v>0</v>
      </c>
      <c r="AP94" s="318">
        <f t="shared" si="72"/>
        <v>0</v>
      </c>
      <c r="AQ94" s="318">
        <f t="shared" si="73"/>
        <v>0</v>
      </c>
      <c r="AR94" s="318">
        <f t="shared" si="74"/>
        <v>0</v>
      </c>
      <c r="AS94" s="318">
        <f t="shared" si="75"/>
        <v>0</v>
      </c>
      <c r="AT94" s="318">
        <f t="shared" si="76"/>
        <v>0</v>
      </c>
      <c r="AU94" s="318">
        <f t="shared" si="77"/>
        <v>0</v>
      </c>
      <c r="AV94" s="318">
        <f t="shared" si="78"/>
        <v>0</v>
      </c>
      <c r="AW94" s="318">
        <f t="shared" si="79"/>
        <v>0</v>
      </c>
      <c r="AX94" s="318">
        <f t="shared" si="80"/>
        <v>0</v>
      </c>
      <c r="AY94" s="318">
        <f t="shared" si="81"/>
        <v>0</v>
      </c>
      <c r="AZ94" s="318">
        <f t="shared" si="82"/>
        <v>0</v>
      </c>
      <c r="BA94" s="318">
        <f t="shared" si="83"/>
        <v>0</v>
      </c>
    </row>
    <row r="95" spans="1:53" s="315" customFormat="1" ht="15.75" customHeight="1">
      <c r="A95" s="63" t="str">
        <f t="array" ref="A95">IF(C95&lt;&gt;0,SUM(($C$11:C95&lt;&gt;0)*1),"")</f>
        <v/>
      </c>
      <c r="B95" s="316"/>
      <c r="C95" s="316"/>
      <c r="D95" s="316"/>
      <c r="E95" s="436"/>
      <c r="F95" s="372"/>
      <c r="G95" s="374"/>
      <c r="H95" s="374"/>
      <c r="I95" s="63" t="str">
        <f t="shared" si="90"/>
        <v/>
      </c>
      <c r="J95" s="318">
        <f t="shared" si="46"/>
        <v>0</v>
      </c>
      <c r="K95" s="318">
        <f t="shared" si="47"/>
        <v>0</v>
      </c>
      <c r="L95" s="318">
        <f t="shared" si="48"/>
        <v>0</v>
      </c>
      <c r="M95" s="318">
        <f t="shared" si="49"/>
        <v>0</v>
      </c>
      <c r="N95" s="318">
        <f t="shared" si="84"/>
        <v>0</v>
      </c>
      <c r="O95" s="318">
        <f t="shared" si="85"/>
        <v>0</v>
      </c>
      <c r="P95" s="318">
        <f t="shared" si="50"/>
        <v>0</v>
      </c>
      <c r="Q95" s="318">
        <f t="shared" si="51"/>
        <v>0</v>
      </c>
      <c r="R95" s="318">
        <f t="shared" si="52"/>
        <v>0</v>
      </c>
      <c r="S95" s="318">
        <f t="shared" si="53"/>
        <v>0</v>
      </c>
      <c r="T95" s="318">
        <f t="shared" si="86"/>
        <v>0</v>
      </c>
      <c r="U95" s="318">
        <f t="shared" si="87"/>
        <v>0</v>
      </c>
      <c r="V95" s="318">
        <f t="shared" si="54"/>
        <v>0</v>
      </c>
      <c r="W95" s="318">
        <f t="shared" si="55"/>
        <v>0</v>
      </c>
      <c r="X95" s="318">
        <f t="shared" si="56"/>
        <v>0</v>
      </c>
      <c r="Y95" s="318">
        <f t="shared" si="57"/>
        <v>0</v>
      </c>
      <c r="Z95" s="318">
        <f t="shared" si="58"/>
        <v>0</v>
      </c>
      <c r="AA95" s="318">
        <f t="shared" si="59"/>
        <v>0</v>
      </c>
      <c r="AB95" s="318">
        <f t="shared" si="60"/>
        <v>0</v>
      </c>
      <c r="AC95" s="318">
        <f t="shared" si="61"/>
        <v>0</v>
      </c>
      <c r="AD95" s="318">
        <f t="shared" si="62"/>
        <v>0</v>
      </c>
      <c r="AE95" s="318">
        <f t="shared" si="63"/>
        <v>0</v>
      </c>
      <c r="AF95" s="318">
        <f t="shared" si="88"/>
        <v>0</v>
      </c>
      <c r="AG95" s="318">
        <f t="shared" si="89"/>
        <v>0</v>
      </c>
      <c r="AH95" s="318">
        <f t="shared" si="64"/>
        <v>0</v>
      </c>
      <c r="AI95" s="318">
        <f t="shared" si="65"/>
        <v>0</v>
      </c>
      <c r="AJ95" s="318">
        <f t="shared" si="66"/>
        <v>0</v>
      </c>
      <c r="AK95" s="318">
        <f t="shared" si="67"/>
        <v>0</v>
      </c>
      <c r="AL95" s="318">
        <f t="shared" si="68"/>
        <v>0</v>
      </c>
      <c r="AM95" s="318">
        <f t="shared" si="69"/>
        <v>0</v>
      </c>
      <c r="AN95" s="318">
        <f t="shared" si="70"/>
        <v>0</v>
      </c>
      <c r="AO95" s="318">
        <f t="shared" si="71"/>
        <v>0</v>
      </c>
      <c r="AP95" s="318">
        <f t="shared" si="72"/>
        <v>0</v>
      </c>
      <c r="AQ95" s="318">
        <f t="shared" si="73"/>
        <v>0</v>
      </c>
      <c r="AR95" s="318">
        <f t="shared" si="74"/>
        <v>0</v>
      </c>
      <c r="AS95" s="318">
        <f t="shared" si="75"/>
        <v>0</v>
      </c>
      <c r="AT95" s="318">
        <f t="shared" si="76"/>
        <v>0</v>
      </c>
      <c r="AU95" s="318">
        <f t="shared" si="77"/>
        <v>0</v>
      </c>
      <c r="AV95" s="318">
        <f t="shared" si="78"/>
        <v>0</v>
      </c>
      <c r="AW95" s="318">
        <f t="shared" si="79"/>
        <v>0</v>
      </c>
      <c r="AX95" s="318">
        <f t="shared" si="80"/>
        <v>0</v>
      </c>
      <c r="AY95" s="318">
        <f t="shared" si="81"/>
        <v>0</v>
      </c>
      <c r="AZ95" s="318">
        <f t="shared" si="82"/>
        <v>0</v>
      </c>
      <c r="BA95" s="318">
        <f t="shared" si="83"/>
        <v>0</v>
      </c>
    </row>
    <row r="96" spans="1:53" s="315" customFormat="1" ht="15.75" customHeight="1">
      <c r="A96" s="63" t="str">
        <f t="array" ref="A96">IF(C96&lt;&gt;0,SUM(($C$11:C96&lt;&gt;0)*1),"")</f>
        <v/>
      </c>
      <c r="B96" s="316"/>
      <c r="C96" s="316"/>
      <c r="D96" s="316"/>
      <c r="E96" s="436"/>
      <c r="F96" s="372"/>
      <c r="G96" s="374"/>
      <c r="H96" s="374"/>
      <c r="I96" s="63" t="str">
        <f t="shared" si="90"/>
        <v/>
      </c>
      <c r="J96" s="318">
        <f t="shared" si="46"/>
        <v>0</v>
      </c>
      <c r="K96" s="318">
        <f t="shared" si="47"/>
        <v>0</v>
      </c>
      <c r="L96" s="318">
        <f t="shared" si="48"/>
        <v>0</v>
      </c>
      <c r="M96" s="318">
        <f t="shared" si="49"/>
        <v>0</v>
      </c>
      <c r="N96" s="318">
        <f t="shared" si="84"/>
        <v>0</v>
      </c>
      <c r="O96" s="318">
        <f t="shared" si="85"/>
        <v>0</v>
      </c>
      <c r="P96" s="318">
        <f t="shared" si="50"/>
        <v>0</v>
      </c>
      <c r="Q96" s="318">
        <f t="shared" si="51"/>
        <v>0</v>
      </c>
      <c r="R96" s="318">
        <f t="shared" si="52"/>
        <v>0</v>
      </c>
      <c r="S96" s="318">
        <f t="shared" si="53"/>
        <v>0</v>
      </c>
      <c r="T96" s="318">
        <f t="shared" si="86"/>
        <v>0</v>
      </c>
      <c r="U96" s="318">
        <f t="shared" si="87"/>
        <v>0</v>
      </c>
      <c r="V96" s="318">
        <f t="shared" si="54"/>
        <v>0</v>
      </c>
      <c r="W96" s="318">
        <f t="shared" si="55"/>
        <v>0</v>
      </c>
      <c r="X96" s="318">
        <f t="shared" si="56"/>
        <v>0</v>
      </c>
      <c r="Y96" s="318">
        <f t="shared" si="57"/>
        <v>0</v>
      </c>
      <c r="Z96" s="318">
        <f t="shared" si="58"/>
        <v>0</v>
      </c>
      <c r="AA96" s="318">
        <f t="shared" si="59"/>
        <v>0</v>
      </c>
      <c r="AB96" s="318">
        <f t="shared" si="60"/>
        <v>0</v>
      </c>
      <c r="AC96" s="318">
        <f t="shared" si="61"/>
        <v>0</v>
      </c>
      <c r="AD96" s="318">
        <f t="shared" si="62"/>
        <v>0</v>
      </c>
      <c r="AE96" s="318">
        <f t="shared" si="63"/>
        <v>0</v>
      </c>
      <c r="AF96" s="318">
        <f t="shared" si="88"/>
        <v>0</v>
      </c>
      <c r="AG96" s="318">
        <f t="shared" si="89"/>
        <v>0</v>
      </c>
      <c r="AH96" s="318">
        <f t="shared" si="64"/>
        <v>0</v>
      </c>
      <c r="AI96" s="318">
        <f t="shared" si="65"/>
        <v>0</v>
      </c>
      <c r="AJ96" s="318">
        <f t="shared" si="66"/>
        <v>0</v>
      </c>
      <c r="AK96" s="318">
        <f t="shared" si="67"/>
        <v>0</v>
      </c>
      <c r="AL96" s="318">
        <f t="shared" si="68"/>
        <v>0</v>
      </c>
      <c r="AM96" s="318">
        <f t="shared" si="69"/>
        <v>0</v>
      </c>
      <c r="AN96" s="318">
        <f t="shared" si="70"/>
        <v>0</v>
      </c>
      <c r="AO96" s="318">
        <f t="shared" si="71"/>
        <v>0</v>
      </c>
      <c r="AP96" s="318">
        <f t="shared" si="72"/>
        <v>0</v>
      </c>
      <c r="AQ96" s="318">
        <f t="shared" si="73"/>
        <v>0</v>
      </c>
      <c r="AR96" s="318">
        <f t="shared" si="74"/>
        <v>0</v>
      </c>
      <c r="AS96" s="318">
        <f t="shared" si="75"/>
        <v>0</v>
      </c>
      <c r="AT96" s="318">
        <f t="shared" si="76"/>
        <v>0</v>
      </c>
      <c r="AU96" s="318">
        <f t="shared" si="77"/>
        <v>0</v>
      </c>
      <c r="AV96" s="318">
        <f t="shared" si="78"/>
        <v>0</v>
      </c>
      <c r="AW96" s="318">
        <f t="shared" si="79"/>
        <v>0</v>
      </c>
      <c r="AX96" s="318">
        <f t="shared" si="80"/>
        <v>0</v>
      </c>
      <c r="AY96" s="318">
        <f t="shared" si="81"/>
        <v>0</v>
      </c>
      <c r="AZ96" s="318">
        <f t="shared" si="82"/>
        <v>0</v>
      </c>
      <c r="BA96" s="318">
        <f t="shared" si="83"/>
        <v>0</v>
      </c>
    </row>
    <row r="97" spans="1:53" s="315" customFormat="1" ht="15.75" customHeight="1">
      <c r="A97" s="63" t="str">
        <f t="array" ref="A97">IF(C97&lt;&gt;0,SUM(($C$11:C97&lt;&gt;0)*1),"")</f>
        <v/>
      </c>
      <c r="B97" s="316"/>
      <c r="C97" s="316"/>
      <c r="D97" s="316"/>
      <c r="E97" s="436"/>
      <c r="F97" s="372"/>
      <c r="G97" s="374"/>
      <c r="H97" s="374"/>
      <c r="I97" s="63" t="str">
        <f t="shared" si="90"/>
        <v/>
      </c>
      <c r="J97" s="318">
        <f t="shared" si="46"/>
        <v>0</v>
      </c>
      <c r="K97" s="318">
        <f t="shared" si="47"/>
        <v>0</v>
      </c>
      <c r="L97" s="318">
        <f t="shared" si="48"/>
        <v>0</v>
      </c>
      <c r="M97" s="318">
        <f t="shared" si="49"/>
        <v>0</v>
      </c>
      <c r="N97" s="318">
        <f t="shared" si="84"/>
        <v>0</v>
      </c>
      <c r="O97" s="318">
        <f t="shared" si="85"/>
        <v>0</v>
      </c>
      <c r="P97" s="318">
        <f t="shared" si="50"/>
        <v>0</v>
      </c>
      <c r="Q97" s="318">
        <f t="shared" si="51"/>
        <v>0</v>
      </c>
      <c r="R97" s="318">
        <f t="shared" si="52"/>
        <v>0</v>
      </c>
      <c r="S97" s="318">
        <f t="shared" si="53"/>
        <v>0</v>
      </c>
      <c r="T97" s="318">
        <f t="shared" si="86"/>
        <v>0</v>
      </c>
      <c r="U97" s="318">
        <f t="shared" si="87"/>
        <v>0</v>
      </c>
      <c r="V97" s="318">
        <f t="shared" si="54"/>
        <v>0</v>
      </c>
      <c r="W97" s="318">
        <f t="shared" si="55"/>
        <v>0</v>
      </c>
      <c r="X97" s="318">
        <f t="shared" si="56"/>
        <v>0</v>
      </c>
      <c r="Y97" s="318">
        <f t="shared" si="57"/>
        <v>0</v>
      </c>
      <c r="Z97" s="318">
        <f t="shared" si="58"/>
        <v>0</v>
      </c>
      <c r="AA97" s="318">
        <f t="shared" si="59"/>
        <v>0</v>
      </c>
      <c r="AB97" s="318">
        <f t="shared" si="60"/>
        <v>0</v>
      </c>
      <c r="AC97" s="318">
        <f t="shared" si="61"/>
        <v>0</v>
      </c>
      <c r="AD97" s="318">
        <f t="shared" si="62"/>
        <v>0</v>
      </c>
      <c r="AE97" s="318">
        <f t="shared" si="63"/>
        <v>0</v>
      </c>
      <c r="AF97" s="318">
        <f t="shared" si="88"/>
        <v>0</v>
      </c>
      <c r="AG97" s="318">
        <f t="shared" si="89"/>
        <v>0</v>
      </c>
      <c r="AH97" s="318">
        <f t="shared" si="64"/>
        <v>0</v>
      </c>
      <c r="AI97" s="318">
        <f t="shared" si="65"/>
        <v>0</v>
      </c>
      <c r="AJ97" s="318">
        <f t="shared" si="66"/>
        <v>0</v>
      </c>
      <c r="AK97" s="318">
        <f t="shared" si="67"/>
        <v>0</v>
      </c>
      <c r="AL97" s="318">
        <f t="shared" si="68"/>
        <v>0</v>
      </c>
      <c r="AM97" s="318">
        <f t="shared" si="69"/>
        <v>0</v>
      </c>
      <c r="AN97" s="318">
        <f t="shared" si="70"/>
        <v>0</v>
      </c>
      <c r="AO97" s="318">
        <f t="shared" si="71"/>
        <v>0</v>
      </c>
      <c r="AP97" s="318">
        <f t="shared" si="72"/>
        <v>0</v>
      </c>
      <c r="AQ97" s="318">
        <f t="shared" si="73"/>
        <v>0</v>
      </c>
      <c r="AR97" s="318">
        <f t="shared" si="74"/>
        <v>0</v>
      </c>
      <c r="AS97" s="318">
        <f t="shared" si="75"/>
        <v>0</v>
      </c>
      <c r="AT97" s="318">
        <f t="shared" si="76"/>
        <v>0</v>
      </c>
      <c r="AU97" s="318">
        <f t="shared" si="77"/>
        <v>0</v>
      </c>
      <c r="AV97" s="318">
        <f t="shared" si="78"/>
        <v>0</v>
      </c>
      <c r="AW97" s="318">
        <f t="shared" si="79"/>
        <v>0</v>
      </c>
      <c r="AX97" s="318">
        <f t="shared" si="80"/>
        <v>0</v>
      </c>
      <c r="AY97" s="318">
        <f t="shared" si="81"/>
        <v>0</v>
      </c>
      <c r="AZ97" s="318">
        <f t="shared" si="82"/>
        <v>0</v>
      </c>
      <c r="BA97" s="318">
        <f t="shared" si="83"/>
        <v>0</v>
      </c>
    </row>
    <row r="98" spans="1:53" s="315" customFormat="1" ht="15.75" customHeight="1">
      <c r="A98" s="63" t="str">
        <f t="array" ref="A98">IF(C98&lt;&gt;0,SUM(($C$11:C98&lt;&gt;0)*1),"")</f>
        <v/>
      </c>
      <c r="B98" s="316"/>
      <c r="C98" s="316"/>
      <c r="D98" s="316"/>
      <c r="E98" s="436"/>
      <c r="F98" s="372"/>
      <c r="G98" s="374"/>
      <c r="H98" s="374"/>
      <c r="I98" s="63" t="str">
        <f t="shared" si="90"/>
        <v/>
      </c>
      <c r="J98" s="318">
        <f t="shared" si="46"/>
        <v>0</v>
      </c>
      <c r="K98" s="318">
        <f t="shared" si="47"/>
        <v>0</v>
      </c>
      <c r="L98" s="318">
        <f t="shared" si="48"/>
        <v>0</v>
      </c>
      <c r="M98" s="318">
        <f t="shared" si="49"/>
        <v>0</v>
      </c>
      <c r="N98" s="318">
        <f t="shared" si="84"/>
        <v>0</v>
      </c>
      <c r="O98" s="318">
        <f t="shared" si="85"/>
        <v>0</v>
      </c>
      <c r="P98" s="318">
        <f t="shared" si="50"/>
        <v>0</v>
      </c>
      <c r="Q98" s="318">
        <f t="shared" si="51"/>
        <v>0</v>
      </c>
      <c r="R98" s="318">
        <f t="shared" si="52"/>
        <v>0</v>
      </c>
      <c r="S98" s="318">
        <f t="shared" si="53"/>
        <v>0</v>
      </c>
      <c r="T98" s="318">
        <f t="shared" si="86"/>
        <v>0</v>
      </c>
      <c r="U98" s="318">
        <f t="shared" si="87"/>
        <v>0</v>
      </c>
      <c r="V98" s="318">
        <f t="shared" si="54"/>
        <v>0</v>
      </c>
      <c r="W98" s="318">
        <f t="shared" si="55"/>
        <v>0</v>
      </c>
      <c r="X98" s="318">
        <f t="shared" si="56"/>
        <v>0</v>
      </c>
      <c r="Y98" s="318">
        <f t="shared" si="57"/>
        <v>0</v>
      </c>
      <c r="Z98" s="318">
        <f t="shared" si="58"/>
        <v>0</v>
      </c>
      <c r="AA98" s="318">
        <f t="shared" si="59"/>
        <v>0</v>
      </c>
      <c r="AB98" s="318">
        <f t="shared" si="60"/>
        <v>0</v>
      </c>
      <c r="AC98" s="318">
        <f t="shared" si="61"/>
        <v>0</v>
      </c>
      <c r="AD98" s="318">
        <f t="shared" si="62"/>
        <v>0</v>
      </c>
      <c r="AE98" s="318">
        <f t="shared" si="63"/>
        <v>0</v>
      </c>
      <c r="AF98" s="318">
        <f t="shared" si="88"/>
        <v>0</v>
      </c>
      <c r="AG98" s="318">
        <f t="shared" si="89"/>
        <v>0</v>
      </c>
      <c r="AH98" s="318">
        <f t="shared" si="64"/>
        <v>0</v>
      </c>
      <c r="AI98" s="318">
        <f t="shared" si="65"/>
        <v>0</v>
      </c>
      <c r="AJ98" s="318">
        <f t="shared" si="66"/>
        <v>0</v>
      </c>
      <c r="AK98" s="318">
        <f t="shared" si="67"/>
        <v>0</v>
      </c>
      <c r="AL98" s="318">
        <f t="shared" si="68"/>
        <v>0</v>
      </c>
      <c r="AM98" s="318">
        <f t="shared" si="69"/>
        <v>0</v>
      </c>
      <c r="AN98" s="318">
        <f t="shared" si="70"/>
        <v>0</v>
      </c>
      <c r="AO98" s="318">
        <f t="shared" si="71"/>
        <v>0</v>
      </c>
      <c r="AP98" s="318">
        <f t="shared" si="72"/>
        <v>0</v>
      </c>
      <c r="AQ98" s="318">
        <f t="shared" si="73"/>
        <v>0</v>
      </c>
      <c r="AR98" s="318">
        <f t="shared" si="74"/>
        <v>0</v>
      </c>
      <c r="AS98" s="318">
        <f t="shared" si="75"/>
        <v>0</v>
      </c>
      <c r="AT98" s="318">
        <f t="shared" si="76"/>
        <v>0</v>
      </c>
      <c r="AU98" s="318">
        <f t="shared" si="77"/>
        <v>0</v>
      </c>
      <c r="AV98" s="318">
        <f t="shared" si="78"/>
        <v>0</v>
      </c>
      <c r="AW98" s="318">
        <f t="shared" si="79"/>
        <v>0</v>
      </c>
      <c r="AX98" s="318">
        <f t="shared" si="80"/>
        <v>0</v>
      </c>
      <c r="AY98" s="318">
        <f t="shared" si="81"/>
        <v>0</v>
      </c>
      <c r="AZ98" s="318">
        <f t="shared" si="82"/>
        <v>0</v>
      </c>
      <c r="BA98" s="318">
        <f t="shared" si="83"/>
        <v>0</v>
      </c>
    </row>
    <row r="99" spans="1:53" s="315" customFormat="1" ht="15.75" customHeight="1">
      <c r="A99" s="63" t="str">
        <f t="array" ref="A99">IF(C99&lt;&gt;0,SUM(($C$11:C99&lt;&gt;0)*1),"")</f>
        <v/>
      </c>
      <c r="B99" s="316"/>
      <c r="C99" s="316"/>
      <c r="D99" s="316"/>
      <c r="E99" s="436"/>
      <c r="F99" s="372"/>
      <c r="G99" s="374"/>
      <c r="H99" s="374"/>
      <c r="I99" s="63" t="str">
        <f t="shared" si="90"/>
        <v/>
      </c>
      <c r="J99" s="318">
        <f t="shared" si="46"/>
        <v>0</v>
      </c>
      <c r="K99" s="318">
        <f t="shared" si="47"/>
        <v>0</v>
      </c>
      <c r="L99" s="318">
        <f t="shared" si="48"/>
        <v>0</v>
      </c>
      <c r="M99" s="318">
        <f t="shared" si="49"/>
        <v>0</v>
      </c>
      <c r="N99" s="318">
        <f t="shared" si="84"/>
        <v>0</v>
      </c>
      <c r="O99" s="318">
        <f t="shared" si="85"/>
        <v>0</v>
      </c>
      <c r="P99" s="318">
        <f t="shared" si="50"/>
        <v>0</v>
      </c>
      <c r="Q99" s="318">
        <f t="shared" si="51"/>
        <v>0</v>
      </c>
      <c r="R99" s="318">
        <f t="shared" si="52"/>
        <v>0</v>
      </c>
      <c r="S99" s="318">
        <f t="shared" si="53"/>
        <v>0</v>
      </c>
      <c r="T99" s="318">
        <f t="shared" si="86"/>
        <v>0</v>
      </c>
      <c r="U99" s="318">
        <f t="shared" si="87"/>
        <v>0</v>
      </c>
      <c r="V99" s="318">
        <f t="shared" si="54"/>
        <v>0</v>
      </c>
      <c r="W99" s="318">
        <f t="shared" si="55"/>
        <v>0</v>
      </c>
      <c r="X99" s="318">
        <f t="shared" si="56"/>
        <v>0</v>
      </c>
      <c r="Y99" s="318">
        <f t="shared" si="57"/>
        <v>0</v>
      </c>
      <c r="Z99" s="318">
        <f t="shared" si="58"/>
        <v>0</v>
      </c>
      <c r="AA99" s="318">
        <f t="shared" si="59"/>
        <v>0</v>
      </c>
      <c r="AB99" s="318">
        <f t="shared" si="60"/>
        <v>0</v>
      </c>
      <c r="AC99" s="318">
        <f t="shared" si="61"/>
        <v>0</v>
      </c>
      <c r="AD99" s="318">
        <f t="shared" si="62"/>
        <v>0</v>
      </c>
      <c r="AE99" s="318">
        <f t="shared" si="63"/>
        <v>0</v>
      </c>
      <c r="AF99" s="318">
        <f t="shared" si="88"/>
        <v>0</v>
      </c>
      <c r="AG99" s="318">
        <f t="shared" si="89"/>
        <v>0</v>
      </c>
      <c r="AH99" s="318">
        <f t="shared" si="64"/>
        <v>0</v>
      </c>
      <c r="AI99" s="318">
        <f t="shared" si="65"/>
        <v>0</v>
      </c>
      <c r="AJ99" s="318">
        <f t="shared" si="66"/>
        <v>0</v>
      </c>
      <c r="AK99" s="318">
        <f t="shared" si="67"/>
        <v>0</v>
      </c>
      <c r="AL99" s="318">
        <f t="shared" si="68"/>
        <v>0</v>
      </c>
      <c r="AM99" s="318">
        <f t="shared" si="69"/>
        <v>0</v>
      </c>
      <c r="AN99" s="318">
        <f t="shared" si="70"/>
        <v>0</v>
      </c>
      <c r="AO99" s="318">
        <f t="shared" si="71"/>
        <v>0</v>
      </c>
      <c r="AP99" s="318">
        <f t="shared" si="72"/>
        <v>0</v>
      </c>
      <c r="AQ99" s="318">
        <f t="shared" si="73"/>
        <v>0</v>
      </c>
      <c r="AR99" s="318">
        <f t="shared" si="74"/>
        <v>0</v>
      </c>
      <c r="AS99" s="318">
        <f t="shared" si="75"/>
        <v>0</v>
      </c>
      <c r="AT99" s="318">
        <f t="shared" si="76"/>
        <v>0</v>
      </c>
      <c r="AU99" s="318">
        <f t="shared" si="77"/>
        <v>0</v>
      </c>
      <c r="AV99" s="318">
        <f t="shared" si="78"/>
        <v>0</v>
      </c>
      <c r="AW99" s="318">
        <f t="shared" si="79"/>
        <v>0</v>
      </c>
      <c r="AX99" s="318">
        <f t="shared" si="80"/>
        <v>0</v>
      </c>
      <c r="AY99" s="318">
        <f t="shared" si="81"/>
        <v>0</v>
      </c>
      <c r="AZ99" s="318">
        <f t="shared" si="82"/>
        <v>0</v>
      </c>
      <c r="BA99" s="318">
        <f t="shared" si="83"/>
        <v>0</v>
      </c>
    </row>
    <row r="100" spans="1:53" s="315" customFormat="1" ht="15.75" customHeight="1">
      <c r="A100" s="63" t="str">
        <f t="array" ref="A100">IF(C100&lt;&gt;0,SUM(($C$11:C100&lt;&gt;0)*1),"")</f>
        <v/>
      </c>
      <c r="B100" s="316"/>
      <c r="C100" s="316"/>
      <c r="D100" s="316"/>
      <c r="E100" s="436"/>
      <c r="F100" s="372"/>
      <c r="G100" s="374"/>
      <c r="H100" s="374"/>
      <c r="I100" s="63" t="str">
        <f t="shared" si="90"/>
        <v/>
      </c>
      <c r="J100" s="318">
        <f t="shared" si="46"/>
        <v>0</v>
      </c>
      <c r="K100" s="318">
        <f t="shared" si="47"/>
        <v>0</v>
      </c>
      <c r="L100" s="318">
        <f t="shared" si="48"/>
        <v>0</v>
      </c>
      <c r="M100" s="318">
        <f t="shared" si="49"/>
        <v>0</v>
      </c>
      <c r="N100" s="318">
        <f t="shared" si="84"/>
        <v>0</v>
      </c>
      <c r="O100" s="318">
        <f t="shared" si="85"/>
        <v>0</v>
      </c>
      <c r="P100" s="318">
        <f t="shared" si="50"/>
        <v>0</v>
      </c>
      <c r="Q100" s="318">
        <f t="shared" si="51"/>
        <v>0</v>
      </c>
      <c r="R100" s="318">
        <f t="shared" si="52"/>
        <v>0</v>
      </c>
      <c r="S100" s="318">
        <f t="shared" si="53"/>
        <v>0</v>
      </c>
      <c r="T100" s="318">
        <f t="shared" si="86"/>
        <v>0</v>
      </c>
      <c r="U100" s="318">
        <f t="shared" si="87"/>
        <v>0</v>
      </c>
      <c r="V100" s="318">
        <f t="shared" si="54"/>
        <v>0</v>
      </c>
      <c r="W100" s="318">
        <f t="shared" si="55"/>
        <v>0</v>
      </c>
      <c r="X100" s="318">
        <f t="shared" si="56"/>
        <v>0</v>
      </c>
      <c r="Y100" s="318">
        <f t="shared" si="57"/>
        <v>0</v>
      </c>
      <c r="Z100" s="318">
        <f t="shared" si="58"/>
        <v>0</v>
      </c>
      <c r="AA100" s="318">
        <f t="shared" si="59"/>
        <v>0</v>
      </c>
      <c r="AB100" s="318">
        <f t="shared" si="60"/>
        <v>0</v>
      </c>
      <c r="AC100" s="318">
        <f t="shared" si="61"/>
        <v>0</v>
      </c>
      <c r="AD100" s="318">
        <f t="shared" si="62"/>
        <v>0</v>
      </c>
      <c r="AE100" s="318">
        <f t="shared" si="63"/>
        <v>0</v>
      </c>
      <c r="AF100" s="318">
        <f t="shared" si="88"/>
        <v>0</v>
      </c>
      <c r="AG100" s="318">
        <f t="shared" si="89"/>
        <v>0</v>
      </c>
      <c r="AH100" s="318">
        <f t="shared" si="64"/>
        <v>0</v>
      </c>
      <c r="AI100" s="318">
        <f t="shared" si="65"/>
        <v>0</v>
      </c>
      <c r="AJ100" s="318">
        <f t="shared" si="66"/>
        <v>0</v>
      </c>
      <c r="AK100" s="318">
        <f t="shared" si="67"/>
        <v>0</v>
      </c>
      <c r="AL100" s="318">
        <f t="shared" si="68"/>
        <v>0</v>
      </c>
      <c r="AM100" s="318">
        <f t="shared" si="69"/>
        <v>0</v>
      </c>
      <c r="AN100" s="318">
        <f t="shared" si="70"/>
        <v>0</v>
      </c>
      <c r="AO100" s="318">
        <f t="shared" si="71"/>
        <v>0</v>
      </c>
      <c r="AP100" s="318">
        <f t="shared" si="72"/>
        <v>0</v>
      </c>
      <c r="AQ100" s="318">
        <f t="shared" si="73"/>
        <v>0</v>
      </c>
      <c r="AR100" s="318">
        <f t="shared" si="74"/>
        <v>0</v>
      </c>
      <c r="AS100" s="318">
        <f t="shared" si="75"/>
        <v>0</v>
      </c>
      <c r="AT100" s="318">
        <f t="shared" si="76"/>
        <v>0</v>
      </c>
      <c r="AU100" s="318">
        <f t="shared" si="77"/>
        <v>0</v>
      </c>
      <c r="AV100" s="318">
        <f t="shared" si="78"/>
        <v>0</v>
      </c>
      <c r="AW100" s="318">
        <f t="shared" si="79"/>
        <v>0</v>
      </c>
      <c r="AX100" s="318">
        <f t="shared" si="80"/>
        <v>0</v>
      </c>
      <c r="AY100" s="318">
        <f t="shared" si="81"/>
        <v>0</v>
      </c>
      <c r="AZ100" s="318">
        <f t="shared" si="82"/>
        <v>0</v>
      </c>
      <c r="BA100" s="318">
        <f t="shared" si="83"/>
        <v>0</v>
      </c>
    </row>
    <row r="101" spans="1:53" s="315" customFormat="1" ht="15.75" customHeight="1">
      <c r="A101" s="63" t="str">
        <f t="array" ref="A101">IF(C101&lt;&gt;0,SUM(($C$11:C101&lt;&gt;0)*1),"")</f>
        <v/>
      </c>
      <c r="B101" s="316"/>
      <c r="C101" s="316"/>
      <c r="D101" s="316"/>
      <c r="E101" s="436"/>
      <c r="F101" s="372"/>
      <c r="G101" s="374"/>
      <c r="H101" s="374"/>
      <c r="I101" s="63" t="str">
        <f t="shared" si="90"/>
        <v/>
      </c>
      <c r="J101" s="318">
        <f t="shared" si="46"/>
        <v>0</v>
      </c>
      <c r="K101" s="318">
        <f t="shared" si="47"/>
        <v>0</v>
      </c>
      <c r="L101" s="318">
        <f t="shared" si="48"/>
        <v>0</v>
      </c>
      <c r="M101" s="318">
        <f t="shared" si="49"/>
        <v>0</v>
      </c>
      <c r="N101" s="318">
        <f t="shared" si="84"/>
        <v>0</v>
      </c>
      <c r="O101" s="318">
        <f t="shared" si="85"/>
        <v>0</v>
      </c>
      <c r="P101" s="318">
        <f t="shared" si="50"/>
        <v>0</v>
      </c>
      <c r="Q101" s="318">
        <f t="shared" si="51"/>
        <v>0</v>
      </c>
      <c r="R101" s="318">
        <f t="shared" si="52"/>
        <v>0</v>
      </c>
      <c r="S101" s="318">
        <f t="shared" si="53"/>
        <v>0</v>
      </c>
      <c r="T101" s="318">
        <f t="shared" si="86"/>
        <v>0</v>
      </c>
      <c r="U101" s="318">
        <f t="shared" si="87"/>
        <v>0</v>
      </c>
      <c r="V101" s="318">
        <f t="shared" si="54"/>
        <v>0</v>
      </c>
      <c r="W101" s="318">
        <f t="shared" si="55"/>
        <v>0</v>
      </c>
      <c r="X101" s="318">
        <f t="shared" si="56"/>
        <v>0</v>
      </c>
      <c r="Y101" s="318">
        <f t="shared" si="57"/>
        <v>0</v>
      </c>
      <c r="Z101" s="318">
        <f t="shared" si="58"/>
        <v>0</v>
      </c>
      <c r="AA101" s="318">
        <f t="shared" si="59"/>
        <v>0</v>
      </c>
      <c r="AB101" s="318">
        <f t="shared" si="60"/>
        <v>0</v>
      </c>
      <c r="AC101" s="318">
        <f t="shared" si="61"/>
        <v>0</v>
      </c>
      <c r="AD101" s="318">
        <f t="shared" si="62"/>
        <v>0</v>
      </c>
      <c r="AE101" s="318">
        <f t="shared" si="63"/>
        <v>0</v>
      </c>
      <c r="AF101" s="318">
        <f t="shared" si="88"/>
        <v>0</v>
      </c>
      <c r="AG101" s="318">
        <f t="shared" si="89"/>
        <v>0</v>
      </c>
      <c r="AH101" s="318">
        <f t="shared" si="64"/>
        <v>0</v>
      </c>
      <c r="AI101" s="318">
        <f t="shared" si="65"/>
        <v>0</v>
      </c>
      <c r="AJ101" s="318">
        <f t="shared" si="66"/>
        <v>0</v>
      </c>
      <c r="AK101" s="318">
        <f t="shared" si="67"/>
        <v>0</v>
      </c>
      <c r="AL101" s="318">
        <f t="shared" si="68"/>
        <v>0</v>
      </c>
      <c r="AM101" s="318">
        <f t="shared" si="69"/>
        <v>0</v>
      </c>
      <c r="AN101" s="318">
        <f t="shared" si="70"/>
        <v>0</v>
      </c>
      <c r="AO101" s="318">
        <f t="shared" si="71"/>
        <v>0</v>
      </c>
      <c r="AP101" s="318">
        <f t="shared" si="72"/>
        <v>0</v>
      </c>
      <c r="AQ101" s="318">
        <f t="shared" si="73"/>
        <v>0</v>
      </c>
      <c r="AR101" s="318">
        <f t="shared" si="74"/>
        <v>0</v>
      </c>
      <c r="AS101" s="318">
        <f t="shared" si="75"/>
        <v>0</v>
      </c>
      <c r="AT101" s="318">
        <f t="shared" si="76"/>
        <v>0</v>
      </c>
      <c r="AU101" s="318">
        <f t="shared" si="77"/>
        <v>0</v>
      </c>
      <c r="AV101" s="318">
        <f t="shared" si="78"/>
        <v>0</v>
      </c>
      <c r="AW101" s="318">
        <f t="shared" si="79"/>
        <v>0</v>
      </c>
      <c r="AX101" s="318">
        <f t="shared" si="80"/>
        <v>0</v>
      </c>
      <c r="AY101" s="318">
        <f t="shared" si="81"/>
        <v>0</v>
      </c>
      <c r="AZ101" s="318">
        <f t="shared" si="82"/>
        <v>0</v>
      </c>
      <c r="BA101" s="318">
        <f t="shared" si="83"/>
        <v>0</v>
      </c>
    </row>
    <row r="102" spans="1:53" s="315" customFormat="1" ht="15.75" customHeight="1">
      <c r="A102" s="63" t="str">
        <f t="array" ref="A102">IF(C102&lt;&gt;0,SUM(($C$11:C102&lt;&gt;0)*1),"")</f>
        <v/>
      </c>
      <c r="B102" s="316"/>
      <c r="C102" s="316"/>
      <c r="D102" s="316"/>
      <c r="E102" s="436"/>
      <c r="F102" s="372"/>
      <c r="G102" s="374"/>
      <c r="H102" s="374"/>
      <c r="I102" s="63" t="str">
        <f t="shared" si="90"/>
        <v/>
      </c>
      <c r="J102" s="318">
        <f t="shared" si="46"/>
        <v>0</v>
      </c>
      <c r="K102" s="318">
        <f t="shared" si="47"/>
        <v>0</v>
      </c>
      <c r="L102" s="318">
        <f t="shared" si="48"/>
        <v>0</v>
      </c>
      <c r="M102" s="318">
        <f t="shared" si="49"/>
        <v>0</v>
      </c>
      <c r="N102" s="318">
        <f t="shared" si="84"/>
        <v>0</v>
      </c>
      <c r="O102" s="318">
        <f t="shared" si="85"/>
        <v>0</v>
      </c>
      <c r="P102" s="318">
        <f t="shared" si="50"/>
        <v>0</v>
      </c>
      <c r="Q102" s="318">
        <f t="shared" si="51"/>
        <v>0</v>
      </c>
      <c r="R102" s="318">
        <f t="shared" si="52"/>
        <v>0</v>
      </c>
      <c r="S102" s="318">
        <f t="shared" si="53"/>
        <v>0</v>
      </c>
      <c r="T102" s="318">
        <f t="shared" si="86"/>
        <v>0</v>
      </c>
      <c r="U102" s="318">
        <f t="shared" si="87"/>
        <v>0</v>
      </c>
      <c r="V102" s="318">
        <f t="shared" si="54"/>
        <v>0</v>
      </c>
      <c r="W102" s="318">
        <f t="shared" si="55"/>
        <v>0</v>
      </c>
      <c r="X102" s="318">
        <f t="shared" si="56"/>
        <v>0</v>
      </c>
      <c r="Y102" s="318">
        <f t="shared" si="57"/>
        <v>0</v>
      </c>
      <c r="Z102" s="318">
        <f t="shared" si="58"/>
        <v>0</v>
      </c>
      <c r="AA102" s="318">
        <f t="shared" si="59"/>
        <v>0</v>
      </c>
      <c r="AB102" s="318">
        <f t="shared" si="60"/>
        <v>0</v>
      </c>
      <c r="AC102" s="318">
        <f t="shared" si="61"/>
        <v>0</v>
      </c>
      <c r="AD102" s="318">
        <f t="shared" si="62"/>
        <v>0</v>
      </c>
      <c r="AE102" s="318">
        <f t="shared" si="63"/>
        <v>0</v>
      </c>
      <c r="AF102" s="318">
        <f t="shared" si="88"/>
        <v>0</v>
      </c>
      <c r="AG102" s="318">
        <f t="shared" si="89"/>
        <v>0</v>
      </c>
      <c r="AH102" s="318">
        <f t="shared" si="64"/>
        <v>0</v>
      </c>
      <c r="AI102" s="318">
        <f t="shared" si="65"/>
        <v>0</v>
      </c>
      <c r="AJ102" s="318">
        <f t="shared" si="66"/>
        <v>0</v>
      </c>
      <c r="AK102" s="318">
        <f t="shared" si="67"/>
        <v>0</v>
      </c>
      <c r="AL102" s="318">
        <f t="shared" si="68"/>
        <v>0</v>
      </c>
      <c r="AM102" s="318">
        <f t="shared" si="69"/>
        <v>0</v>
      </c>
      <c r="AN102" s="318">
        <f t="shared" si="70"/>
        <v>0</v>
      </c>
      <c r="AO102" s="318">
        <f t="shared" si="71"/>
        <v>0</v>
      </c>
      <c r="AP102" s="318">
        <f t="shared" si="72"/>
        <v>0</v>
      </c>
      <c r="AQ102" s="318">
        <f t="shared" si="73"/>
        <v>0</v>
      </c>
      <c r="AR102" s="318">
        <f t="shared" si="74"/>
        <v>0</v>
      </c>
      <c r="AS102" s="318">
        <f t="shared" si="75"/>
        <v>0</v>
      </c>
      <c r="AT102" s="318">
        <f t="shared" si="76"/>
        <v>0</v>
      </c>
      <c r="AU102" s="318">
        <f t="shared" si="77"/>
        <v>0</v>
      </c>
      <c r="AV102" s="318">
        <f t="shared" si="78"/>
        <v>0</v>
      </c>
      <c r="AW102" s="318">
        <f t="shared" si="79"/>
        <v>0</v>
      </c>
      <c r="AX102" s="318">
        <f t="shared" si="80"/>
        <v>0</v>
      </c>
      <c r="AY102" s="318">
        <f t="shared" si="81"/>
        <v>0</v>
      </c>
      <c r="AZ102" s="318">
        <f t="shared" si="82"/>
        <v>0</v>
      </c>
      <c r="BA102" s="318">
        <f t="shared" si="83"/>
        <v>0</v>
      </c>
    </row>
    <row r="103" spans="1:53" s="315" customFormat="1" ht="15.75" customHeight="1">
      <c r="A103" s="63" t="str">
        <f t="array" ref="A103">IF(C103&lt;&gt;0,SUM(($C$11:C103&lt;&gt;0)*1),"")</f>
        <v/>
      </c>
      <c r="B103" s="316"/>
      <c r="C103" s="316"/>
      <c r="D103" s="316"/>
      <c r="E103" s="436"/>
      <c r="F103" s="372"/>
      <c r="G103" s="374"/>
      <c r="H103" s="374"/>
      <c r="I103" s="63" t="str">
        <f t="shared" si="90"/>
        <v/>
      </c>
      <c r="J103" s="318">
        <f t="shared" si="46"/>
        <v>0</v>
      </c>
      <c r="K103" s="318">
        <f t="shared" si="47"/>
        <v>0</v>
      </c>
      <c r="L103" s="318">
        <f t="shared" si="48"/>
        <v>0</v>
      </c>
      <c r="M103" s="318">
        <f t="shared" si="49"/>
        <v>0</v>
      </c>
      <c r="N103" s="318">
        <f t="shared" si="84"/>
        <v>0</v>
      </c>
      <c r="O103" s="318">
        <f t="shared" si="85"/>
        <v>0</v>
      </c>
      <c r="P103" s="318">
        <f t="shared" si="50"/>
        <v>0</v>
      </c>
      <c r="Q103" s="318">
        <f t="shared" si="51"/>
        <v>0</v>
      </c>
      <c r="R103" s="318">
        <f t="shared" si="52"/>
        <v>0</v>
      </c>
      <c r="S103" s="318">
        <f t="shared" si="53"/>
        <v>0</v>
      </c>
      <c r="T103" s="318">
        <f t="shared" si="86"/>
        <v>0</v>
      </c>
      <c r="U103" s="318">
        <f t="shared" si="87"/>
        <v>0</v>
      </c>
      <c r="V103" s="318">
        <f t="shared" si="54"/>
        <v>0</v>
      </c>
      <c r="W103" s="318">
        <f t="shared" si="55"/>
        <v>0</v>
      </c>
      <c r="X103" s="318">
        <f t="shared" si="56"/>
        <v>0</v>
      </c>
      <c r="Y103" s="318">
        <f t="shared" si="57"/>
        <v>0</v>
      </c>
      <c r="Z103" s="318">
        <f t="shared" si="58"/>
        <v>0</v>
      </c>
      <c r="AA103" s="318">
        <f t="shared" si="59"/>
        <v>0</v>
      </c>
      <c r="AB103" s="318">
        <f t="shared" si="60"/>
        <v>0</v>
      </c>
      <c r="AC103" s="318">
        <f t="shared" si="61"/>
        <v>0</v>
      </c>
      <c r="AD103" s="318">
        <f t="shared" si="62"/>
        <v>0</v>
      </c>
      <c r="AE103" s="318">
        <f t="shared" si="63"/>
        <v>0</v>
      </c>
      <c r="AF103" s="318">
        <f t="shared" si="88"/>
        <v>0</v>
      </c>
      <c r="AG103" s="318">
        <f t="shared" si="89"/>
        <v>0</v>
      </c>
      <c r="AH103" s="318">
        <f t="shared" si="64"/>
        <v>0</v>
      </c>
      <c r="AI103" s="318">
        <f t="shared" si="65"/>
        <v>0</v>
      </c>
      <c r="AJ103" s="318">
        <f t="shared" si="66"/>
        <v>0</v>
      </c>
      <c r="AK103" s="318">
        <f t="shared" si="67"/>
        <v>0</v>
      </c>
      <c r="AL103" s="318">
        <f t="shared" si="68"/>
        <v>0</v>
      </c>
      <c r="AM103" s="318">
        <f t="shared" si="69"/>
        <v>0</v>
      </c>
      <c r="AN103" s="318">
        <f t="shared" si="70"/>
        <v>0</v>
      </c>
      <c r="AO103" s="318">
        <f t="shared" si="71"/>
        <v>0</v>
      </c>
      <c r="AP103" s="318">
        <f t="shared" si="72"/>
        <v>0</v>
      </c>
      <c r="AQ103" s="318">
        <f t="shared" si="73"/>
        <v>0</v>
      </c>
      <c r="AR103" s="318">
        <f t="shared" si="74"/>
        <v>0</v>
      </c>
      <c r="AS103" s="318">
        <f t="shared" si="75"/>
        <v>0</v>
      </c>
      <c r="AT103" s="318">
        <f t="shared" si="76"/>
        <v>0</v>
      </c>
      <c r="AU103" s="318">
        <f t="shared" si="77"/>
        <v>0</v>
      </c>
      <c r="AV103" s="318">
        <f t="shared" si="78"/>
        <v>0</v>
      </c>
      <c r="AW103" s="318">
        <f t="shared" si="79"/>
        <v>0</v>
      </c>
      <c r="AX103" s="318">
        <f t="shared" si="80"/>
        <v>0</v>
      </c>
      <c r="AY103" s="318">
        <f t="shared" si="81"/>
        <v>0</v>
      </c>
      <c r="AZ103" s="318">
        <f t="shared" si="82"/>
        <v>0</v>
      </c>
      <c r="BA103" s="318">
        <f t="shared" si="83"/>
        <v>0</v>
      </c>
    </row>
    <row r="104" spans="1:53" s="315" customFormat="1" ht="15.75" customHeight="1">
      <c r="A104" s="63" t="str">
        <f t="array" ref="A104">IF(C104&lt;&gt;0,SUM(($C$11:C104&lt;&gt;0)*1),"")</f>
        <v/>
      </c>
      <c r="B104" s="316"/>
      <c r="C104" s="316"/>
      <c r="D104" s="316"/>
      <c r="E104" s="436"/>
      <c r="F104" s="372"/>
      <c r="G104" s="374"/>
      <c r="H104" s="374"/>
      <c r="I104" s="63" t="str">
        <f t="shared" si="90"/>
        <v/>
      </c>
      <c r="J104" s="318">
        <f t="shared" si="46"/>
        <v>0</v>
      </c>
      <c r="K104" s="318">
        <f t="shared" si="47"/>
        <v>0</v>
      </c>
      <c r="L104" s="318">
        <f t="shared" si="48"/>
        <v>0</v>
      </c>
      <c r="M104" s="318">
        <f t="shared" si="49"/>
        <v>0</v>
      </c>
      <c r="N104" s="318">
        <f t="shared" si="84"/>
        <v>0</v>
      </c>
      <c r="O104" s="318">
        <f t="shared" si="85"/>
        <v>0</v>
      </c>
      <c r="P104" s="318">
        <f t="shared" si="50"/>
        <v>0</v>
      </c>
      <c r="Q104" s="318">
        <f t="shared" si="51"/>
        <v>0</v>
      </c>
      <c r="R104" s="318">
        <f t="shared" si="52"/>
        <v>0</v>
      </c>
      <c r="S104" s="318">
        <f t="shared" si="53"/>
        <v>0</v>
      </c>
      <c r="T104" s="318">
        <f t="shared" si="86"/>
        <v>0</v>
      </c>
      <c r="U104" s="318">
        <f t="shared" si="87"/>
        <v>0</v>
      </c>
      <c r="V104" s="318">
        <f t="shared" si="54"/>
        <v>0</v>
      </c>
      <c r="W104" s="318">
        <f t="shared" si="55"/>
        <v>0</v>
      </c>
      <c r="X104" s="318">
        <f t="shared" si="56"/>
        <v>0</v>
      </c>
      <c r="Y104" s="318">
        <f t="shared" si="57"/>
        <v>0</v>
      </c>
      <c r="Z104" s="318">
        <f t="shared" si="58"/>
        <v>0</v>
      </c>
      <c r="AA104" s="318">
        <f t="shared" si="59"/>
        <v>0</v>
      </c>
      <c r="AB104" s="318">
        <f t="shared" si="60"/>
        <v>0</v>
      </c>
      <c r="AC104" s="318">
        <f t="shared" si="61"/>
        <v>0</v>
      </c>
      <c r="AD104" s="318">
        <f t="shared" si="62"/>
        <v>0</v>
      </c>
      <c r="AE104" s="318">
        <f t="shared" si="63"/>
        <v>0</v>
      </c>
      <c r="AF104" s="318">
        <f t="shared" si="88"/>
        <v>0</v>
      </c>
      <c r="AG104" s="318">
        <f t="shared" si="89"/>
        <v>0</v>
      </c>
      <c r="AH104" s="318">
        <f t="shared" si="64"/>
        <v>0</v>
      </c>
      <c r="AI104" s="318">
        <f t="shared" si="65"/>
        <v>0</v>
      </c>
      <c r="AJ104" s="318">
        <f t="shared" si="66"/>
        <v>0</v>
      </c>
      <c r="AK104" s="318">
        <f t="shared" si="67"/>
        <v>0</v>
      </c>
      <c r="AL104" s="318">
        <f t="shared" si="68"/>
        <v>0</v>
      </c>
      <c r="AM104" s="318">
        <f t="shared" si="69"/>
        <v>0</v>
      </c>
      <c r="AN104" s="318">
        <f t="shared" si="70"/>
        <v>0</v>
      </c>
      <c r="AO104" s="318">
        <f t="shared" si="71"/>
        <v>0</v>
      </c>
      <c r="AP104" s="318">
        <f t="shared" si="72"/>
        <v>0</v>
      </c>
      <c r="AQ104" s="318">
        <f t="shared" si="73"/>
        <v>0</v>
      </c>
      <c r="AR104" s="318">
        <f t="shared" si="74"/>
        <v>0</v>
      </c>
      <c r="AS104" s="318">
        <f t="shared" si="75"/>
        <v>0</v>
      </c>
      <c r="AT104" s="318">
        <f t="shared" si="76"/>
        <v>0</v>
      </c>
      <c r="AU104" s="318">
        <f t="shared" si="77"/>
        <v>0</v>
      </c>
      <c r="AV104" s="318">
        <f t="shared" si="78"/>
        <v>0</v>
      </c>
      <c r="AW104" s="318">
        <f t="shared" si="79"/>
        <v>0</v>
      </c>
      <c r="AX104" s="318">
        <f t="shared" si="80"/>
        <v>0</v>
      </c>
      <c r="AY104" s="318">
        <f t="shared" si="81"/>
        <v>0</v>
      </c>
      <c r="AZ104" s="318">
        <f t="shared" si="82"/>
        <v>0</v>
      </c>
      <c r="BA104" s="318">
        <f t="shared" si="83"/>
        <v>0</v>
      </c>
    </row>
    <row r="105" spans="1:53" s="315" customFormat="1" ht="15.75" customHeight="1">
      <c r="A105" s="63" t="str">
        <f t="array" ref="A105">IF(C105&lt;&gt;0,SUM(($C$11:C105&lt;&gt;0)*1),"")</f>
        <v/>
      </c>
      <c r="B105" s="316"/>
      <c r="C105" s="316"/>
      <c r="D105" s="316"/>
      <c r="E105" s="436"/>
      <c r="F105" s="372"/>
      <c r="G105" s="374"/>
      <c r="H105" s="374"/>
      <c r="I105" s="63" t="str">
        <f>A105</f>
        <v/>
      </c>
      <c r="J105" s="318">
        <f t="shared" si="46"/>
        <v>0</v>
      </c>
      <c r="K105" s="318">
        <f t="shared" si="47"/>
        <v>0</v>
      </c>
      <c r="L105" s="318">
        <f t="shared" si="48"/>
        <v>0</v>
      </c>
      <c r="M105" s="318">
        <f t="shared" si="49"/>
        <v>0</v>
      </c>
      <c r="N105" s="318">
        <f t="shared" si="84"/>
        <v>0</v>
      </c>
      <c r="O105" s="318">
        <f t="shared" si="85"/>
        <v>0</v>
      </c>
      <c r="P105" s="318">
        <f t="shared" si="50"/>
        <v>0</v>
      </c>
      <c r="Q105" s="318">
        <f t="shared" si="51"/>
        <v>0</v>
      </c>
      <c r="R105" s="318">
        <f t="shared" si="52"/>
        <v>0</v>
      </c>
      <c r="S105" s="318">
        <f t="shared" si="53"/>
        <v>0</v>
      </c>
      <c r="T105" s="318">
        <f t="shared" si="86"/>
        <v>0</v>
      </c>
      <c r="U105" s="318">
        <f t="shared" si="87"/>
        <v>0</v>
      </c>
      <c r="V105" s="318">
        <f t="shared" si="54"/>
        <v>0</v>
      </c>
      <c r="W105" s="318">
        <f t="shared" si="55"/>
        <v>0</v>
      </c>
      <c r="X105" s="318">
        <f t="shared" si="56"/>
        <v>0</v>
      </c>
      <c r="Y105" s="318">
        <f t="shared" si="57"/>
        <v>0</v>
      </c>
      <c r="Z105" s="318">
        <f t="shared" si="58"/>
        <v>0</v>
      </c>
      <c r="AA105" s="318">
        <f t="shared" si="59"/>
        <v>0</v>
      </c>
      <c r="AB105" s="318">
        <f t="shared" si="60"/>
        <v>0</v>
      </c>
      <c r="AC105" s="318">
        <f t="shared" si="61"/>
        <v>0</v>
      </c>
      <c r="AD105" s="318">
        <f t="shared" si="62"/>
        <v>0</v>
      </c>
      <c r="AE105" s="318">
        <f t="shared" si="63"/>
        <v>0</v>
      </c>
      <c r="AF105" s="318">
        <f t="shared" si="88"/>
        <v>0</v>
      </c>
      <c r="AG105" s="318">
        <f t="shared" si="89"/>
        <v>0</v>
      </c>
      <c r="AH105" s="318">
        <f t="shared" si="64"/>
        <v>0</v>
      </c>
      <c r="AI105" s="318">
        <f t="shared" si="65"/>
        <v>0</v>
      </c>
      <c r="AJ105" s="318">
        <f t="shared" si="66"/>
        <v>0</v>
      </c>
      <c r="AK105" s="318">
        <f t="shared" si="67"/>
        <v>0</v>
      </c>
      <c r="AL105" s="318">
        <f t="shared" si="68"/>
        <v>0</v>
      </c>
      <c r="AM105" s="318">
        <f t="shared" si="69"/>
        <v>0</v>
      </c>
      <c r="AN105" s="318">
        <f t="shared" si="70"/>
        <v>0</v>
      </c>
      <c r="AO105" s="318">
        <f t="shared" si="71"/>
        <v>0</v>
      </c>
      <c r="AP105" s="318">
        <f t="shared" si="72"/>
        <v>0</v>
      </c>
      <c r="AQ105" s="318">
        <f t="shared" si="73"/>
        <v>0</v>
      </c>
      <c r="AR105" s="318">
        <f t="shared" si="74"/>
        <v>0</v>
      </c>
      <c r="AS105" s="318">
        <f t="shared" si="75"/>
        <v>0</v>
      </c>
      <c r="AT105" s="318">
        <f t="shared" si="76"/>
        <v>0</v>
      </c>
      <c r="AU105" s="318">
        <f t="shared" si="77"/>
        <v>0</v>
      </c>
      <c r="AV105" s="318">
        <f t="shared" si="78"/>
        <v>0</v>
      </c>
      <c r="AW105" s="318">
        <f t="shared" si="79"/>
        <v>0</v>
      </c>
      <c r="AX105" s="318">
        <f t="shared" si="80"/>
        <v>0</v>
      </c>
      <c r="AY105" s="318">
        <f t="shared" si="81"/>
        <v>0</v>
      </c>
      <c r="AZ105" s="318">
        <f t="shared" si="82"/>
        <v>0</v>
      </c>
      <c r="BA105" s="318">
        <f t="shared" si="83"/>
        <v>0</v>
      </c>
    </row>
    <row r="106" spans="1:53" s="315" customFormat="1" ht="15.75" customHeight="1">
      <c r="A106" s="63" t="str">
        <f t="array" ref="A106">IF(C106&lt;&gt;0,SUM(($C$11:C106&lt;&gt;0)*1),"")</f>
        <v/>
      </c>
      <c r="B106" s="316"/>
      <c r="C106" s="316"/>
      <c r="D106" s="316"/>
      <c r="E106" s="436"/>
      <c r="F106" s="372"/>
      <c r="G106" s="374"/>
      <c r="H106" s="374"/>
      <c r="I106" s="63" t="str">
        <f t="shared" ref="I106:I159" si="91">A106</f>
        <v/>
      </c>
      <c r="J106" s="318">
        <f t="shared" si="46"/>
        <v>0</v>
      </c>
      <c r="K106" s="318">
        <f t="shared" si="47"/>
        <v>0</v>
      </c>
      <c r="L106" s="318">
        <f t="shared" si="48"/>
        <v>0</v>
      </c>
      <c r="M106" s="318">
        <f t="shared" si="49"/>
        <v>0</v>
      </c>
      <c r="N106" s="318">
        <f t="shared" si="84"/>
        <v>0</v>
      </c>
      <c r="O106" s="318">
        <f t="shared" si="85"/>
        <v>0</v>
      </c>
      <c r="P106" s="318">
        <f t="shared" si="50"/>
        <v>0</v>
      </c>
      <c r="Q106" s="318">
        <f t="shared" si="51"/>
        <v>0</v>
      </c>
      <c r="R106" s="318">
        <f t="shared" si="52"/>
        <v>0</v>
      </c>
      <c r="S106" s="318">
        <f t="shared" si="53"/>
        <v>0</v>
      </c>
      <c r="T106" s="318">
        <f t="shared" si="86"/>
        <v>0</v>
      </c>
      <c r="U106" s="318">
        <f t="shared" si="87"/>
        <v>0</v>
      </c>
      <c r="V106" s="318">
        <f t="shared" si="54"/>
        <v>0</v>
      </c>
      <c r="W106" s="318">
        <f t="shared" si="55"/>
        <v>0</v>
      </c>
      <c r="X106" s="318">
        <f t="shared" si="56"/>
        <v>0</v>
      </c>
      <c r="Y106" s="318">
        <f t="shared" si="57"/>
        <v>0</v>
      </c>
      <c r="Z106" s="318">
        <f t="shared" si="58"/>
        <v>0</v>
      </c>
      <c r="AA106" s="318">
        <f t="shared" si="59"/>
        <v>0</v>
      </c>
      <c r="AB106" s="318">
        <f t="shared" si="60"/>
        <v>0</v>
      </c>
      <c r="AC106" s="318">
        <f t="shared" si="61"/>
        <v>0</v>
      </c>
      <c r="AD106" s="318">
        <f t="shared" si="62"/>
        <v>0</v>
      </c>
      <c r="AE106" s="318">
        <f t="shared" si="63"/>
        <v>0</v>
      </c>
      <c r="AF106" s="318">
        <f t="shared" si="88"/>
        <v>0</v>
      </c>
      <c r="AG106" s="318">
        <f t="shared" si="89"/>
        <v>0</v>
      </c>
      <c r="AH106" s="318">
        <f t="shared" si="64"/>
        <v>0</v>
      </c>
      <c r="AI106" s="318">
        <f t="shared" si="65"/>
        <v>0</v>
      </c>
      <c r="AJ106" s="318">
        <f t="shared" si="66"/>
        <v>0</v>
      </c>
      <c r="AK106" s="318">
        <f t="shared" si="67"/>
        <v>0</v>
      </c>
      <c r="AL106" s="318">
        <f t="shared" si="68"/>
        <v>0</v>
      </c>
      <c r="AM106" s="318">
        <f t="shared" si="69"/>
        <v>0</v>
      </c>
      <c r="AN106" s="318">
        <f t="shared" si="70"/>
        <v>0</v>
      </c>
      <c r="AO106" s="318">
        <f t="shared" si="71"/>
        <v>0</v>
      </c>
      <c r="AP106" s="318">
        <f t="shared" si="72"/>
        <v>0</v>
      </c>
      <c r="AQ106" s="318">
        <f t="shared" si="73"/>
        <v>0</v>
      </c>
      <c r="AR106" s="318">
        <f t="shared" si="74"/>
        <v>0</v>
      </c>
      <c r="AS106" s="318">
        <f t="shared" si="75"/>
        <v>0</v>
      </c>
      <c r="AT106" s="318">
        <f t="shared" si="76"/>
        <v>0</v>
      </c>
      <c r="AU106" s="318">
        <f t="shared" si="77"/>
        <v>0</v>
      </c>
      <c r="AV106" s="318">
        <f t="shared" si="78"/>
        <v>0</v>
      </c>
      <c r="AW106" s="318">
        <f t="shared" si="79"/>
        <v>0</v>
      </c>
      <c r="AX106" s="318">
        <f t="shared" si="80"/>
        <v>0</v>
      </c>
      <c r="AY106" s="318">
        <f t="shared" si="81"/>
        <v>0</v>
      </c>
      <c r="AZ106" s="318">
        <f t="shared" si="82"/>
        <v>0</v>
      </c>
      <c r="BA106" s="318">
        <f t="shared" si="83"/>
        <v>0</v>
      </c>
    </row>
    <row r="107" spans="1:53" s="315" customFormat="1" ht="15.75" customHeight="1">
      <c r="A107" s="63" t="str">
        <f t="array" ref="A107">IF(C107&lt;&gt;0,SUM(($C$11:C107&lt;&gt;0)*1),"")</f>
        <v/>
      </c>
      <c r="B107" s="316"/>
      <c r="C107" s="316"/>
      <c r="D107" s="316"/>
      <c r="E107" s="436"/>
      <c r="F107" s="372"/>
      <c r="G107" s="374"/>
      <c r="H107" s="374"/>
      <c r="I107" s="63" t="str">
        <f t="shared" si="91"/>
        <v/>
      </c>
      <c r="J107" s="318">
        <f t="shared" si="46"/>
        <v>0</v>
      </c>
      <c r="K107" s="318">
        <f t="shared" si="47"/>
        <v>0</v>
      </c>
      <c r="L107" s="318">
        <f t="shared" si="48"/>
        <v>0</v>
      </c>
      <c r="M107" s="318">
        <f t="shared" si="49"/>
        <v>0</v>
      </c>
      <c r="N107" s="318">
        <f t="shared" si="84"/>
        <v>0</v>
      </c>
      <c r="O107" s="318">
        <f t="shared" si="85"/>
        <v>0</v>
      </c>
      <c r="P107" s="318">
        <f t="shared" si="50"/>
        <v>0</v>
      </c>
      <c r="Q107" s="318">
        <f t="shared" si="51"/>
        <v>0</v>
      </c>
      <c r="R107" s="318">
        <f t="shared" si="52"/>
        <v>0</v>
      </c>
      <c r="S107" s="318">
        <f t="shared" si="53"/>
        <v>0</v>
      </c>
      <c r="T107" s="318">
        <f t="shared" si="86"/>
        <v>0</v>
      </c>
      <c r="U107" s="318">
        <f t="shared" si="87"/>
        <v>0</v>
      </c>
      <c r="V107" s="318">
        <f t="shared" si="54"/>
        <v>0</v>
      </c>
      <c r="W107" s="318">
        <f t="shared" si="55"/>
        <v>0</v>
      </c>
      <c r="X107" s="318">
        <f t="shared" si="56"/>
        <v>0</v>
      </c>
      <c r="Y107" s="318">
        <f t="shared" si="57"/>
        <v>0</v>
      </c>
      <c r="Z107" s="318">
        <f t="shared" si="58"/>
        <v>0</v>
      </c>
      <c r="AA107" s="318">
        <f t="shared" si="59"/>
        <v>0</v>
      </c>
      <c r="AB107" s="318">
        <f t="shared" si="60"/>
        <v>0</v>
      </c>
      <c r="AC107" s="318">
        <f t="shared" si="61"/>
        <v>0</v>
      </c>
      <c r="AD107" s="318">
        <f t="shared" si="62"/>
        <v>0</v>
      </c>
      <c r="AE107" s="318">
        <f t="shared" si="63"/>
        <v>0</v>
      </c>
      <c r="AF107" s="318">
        <f t="shared" si="88"/>
        <v>0</v>
      </c>
      <c r="AG107" s="318">
        <f t="shared" si="89"/>
        <v>0</v>
      </c>
      <c r="AH107" s="318">
        <f t="shared" si="64"/>
        <v>0</v>
      </c>
      <c r="AI107" s="318">
        <f t="shared" si="65"/>
        <v>0</v>
      </c>
      <c r="AJ107" s="318">
        <f t="shared" si="66"/>
        <v>0</v>
      </c>
      <c r="AK107" s="318">
        <f t="shared" si="67"/>
        <v>0</v>
      </c>
      <c r="AL107" s="318">
        <f t="shared" si="68"/>
        <v>0</v>
      </c>
      <c r="AM107" s="318">
        <f t="shared" si="69"/>
        <v>0</v>
      </c>
      <c r="AN107" s="318">
        <f t="shared" si="70"/>
        <v>0</v>
      </c>
      <c r="AO107" s="318">
        <f t="shared" si="71"/>
        <v>0</v>
      </c>
      <c r="AP107" s="318">
        <f t="shared" si="72"/>
        <v>0</v>
      </c>
      <c r="AQ107" s="318">
        <f t="shared" si="73"/>
        <v>0</v>
      </c>
      <c r="AR107" s="318">
        <f t="shared" si="74"/>
        <v>0</v>
      </c>
      <c r="AS107" s="318">
        <f t="shared" si="75"/>
        <v>0</v>
      </c>
      <c r="AT107" s="318">
        <f t="shared" si="76"/>
        <v>0</v>
      </c>
      <c r="AU107" s="318">
        <f t="shared" si="77"/>
        <v>0</v>
      </c>
      <c r="AV107" s="318">
        <f t="shared" si="78"/>
        <v>0</v>
      </c>
      <c r="AW107" s="318">
        <f t="shared" si="79"/>
        <v>0</v>
      </c>
      <c r="AX107" s="318">
        <f t="shared" si="80"/>
        <v>0</v>
      </c>
      <c r="AY107" s="318">
        <f t="shared" si="81"/>
        <v>0</v>
      </c>
      <c r="AZ107" s="318">
        <f t="shared" si="82"/>
        <v>0</v>
      </c>
      <c r="BA107" s="318">
        <f t="shared" si="83"/>
        <v>0</v>
      </c>
    </row>
    <row r="108" spans="1:53" s="315" customFormat="1" ht="15.75" customHeight="1">
      <c r="A108" s="63" t="str">
        <f t="array" ref="A108">IF(C108&lt;&gt;0,SUM(($C$11:C108&lt;&gt;0)*1),"")</f>
        <v/>
      </c>
      <c r="B108" s="316"/>
      <c r="C108" s="316"/>
      <c r="D108" s="316"/>
      <c r="E108" s="436"/>
      <c r="F108" s="372"/>
      <c r="G108" s="374"/>
      <c r="H108" s="374"/>
      <c r="I108" s="63" t="str">
        <f t="shared" si="91"/>
        <v/>
      </c>
      <c r="J108" s="318">
        <f t="shared" si="46"/>
        <v>0</v>
      </c>
      <c r="K108" s="318">
        <f t="shared" si="47"/>
        <v>0</v>
      </c>
      <c r="L108" s="318">
        <f t="shared" si="48"/>
        <v>0</v>
      </c>
      <c r="M108" s="318">
        <f t="shared" si="49"/>
        <v>0</v>
      </c>
      <c r="N108" s="318">
        <f t="shared" si="84"/>
        <v>0</v>
      </c>
      <c r="O108" s="318">
        <f t="shared" si="85"/>
        <v>0</v>
      </c>
      <c r="P108" s="318">
        <f t="shared" si="50"/>
        <v>0</v>
      </c>
      <c r="Q108" s="318">
        <f t="shared" si="51"/>
        <v>0</v>
      </c>
      <c r="R108" s="318">
        <f t="shared" si="52"/>
        <v>0</v>
      </c>
      <c r="S108" s="318">
        <f t="shared" si="53"/>
        <v>0</v>
      </c>
      <c r="T108" s="318">
        <f t="shared" si="86"/>
        <v>0</v>
      </c>
      <c r="U108" s="318">
        <f t="shared" si="87"/>
        <v>0</v>
      </c>
      <c r="V108" s="318">
        <f t="shared" si="54"/>
        <v>0</v>
      </c>
      <c r="W108" s="318">
        <f t="shared" si="55"/>
        <v>0</v>
      </c>
      <c r="X108" s="318">
        <f t="shared" si="56"/>
        <v>0</v>
      </c>
      <c r="Y108" s="318">
        <f t="shared" si="57"/>
        <v>0</v>
      </c>
      <c r="Z108" s="318">
        <f t="shared" si="58"/>
        <v>0</v>
      </c>
      <c r="AA108" s="318">
        <f t="shared" si="59"/>
        <v>0</v>
      </c>
      <c r="AB108" s="318">
        <f t="shared" si="60"/>
        <v>0</v>
      </c>
      <c r="AC108" s="318">
        <f t="shared" si="61"/>
        <v>0</v>
      </c>
      <c r="AD108" s="318">
        <f t="shared" si="62"/>
        <v>0</v>
      </c>
      <c r="AE108" s="318">
        <f t="shared" si="63"/>
        <v>0</v>
      </c>
      <c r="AF108" s="318">
        <f t="shared" si="88"/>
        <v>0</v>
      </c>
      <c r="AG108" s="318">
        <f t="shared" si="89"/>
        <v>0</v>
      </c>
      <c r="AH108" s="318">
        <f t="shared" si="64"/>
        <v>0</v>
      </c>
      <c r="AI108" s="318">
        <f t="shared" si="65"/>
        <v>0</v>
      </c>
      <c r="AJ108" s="318">
        <f t="shared" si="66"/>
        <v>0</v>
      </c>
      <c r="AK108" s="318">
        <f t="shared" si="67"/>
        <v>0</v>
      </c>
      <c r="AL108" s="318">
        <f t="shared" si="68"/>
        <v>0</v>
      </c>
      <c r="AM108" s="318">
        <f t="shared" si="69"/>
        <v>0</v>
      </c>
      <c r="AN108" s="318">
        <f t="shared" si="70"/>
        <v>0</v>
      </c>
      <c r="AO108" s="318">
        <f t="shared" si="71"/>
        <v>0</v>
      </c>
      <c r="AP108" s="318">
        <f t="shared" si="72"/>
        <v>0</v>
      </c>
      <c r="AQ108" s="318">
        <f t="shared" si="73"/>
        <v>0</v>
      </c>
      <c r="AR108" s="318">
        <f t="shared" si="74"/>
        <v>0</v>
      </c>
      <c r="AS108" s="318">
        <f t="shared" si="75"/>
        <v>0</v>
      </c>
      <c r="AT108" s="318">
        <f t="shared" si="76"/>
        <v>0</v>
      </c>
      <c r="AU108" s="318">
        <f t="shared" si="77"/>
        <v>0</v>
      </c>
      <c r="AV108" s="318">
        <f t="shared" si="78"/>
        <v>0</v>
      </c>
      <c r="AW108" s="318">
        <f t="shared" si="79"/>
        <v>0</v>
      </c>
      <c r="AX108" s="318">
        <f t="shared" si="80"/>
        <v>0</v>
      </c>
      <c r="AY108" s="318">
        <f t="shared" si="81"/>
        <v>0</v>
      </c>
      <c r="AZ108" s="318">
        <f t="shared" si="82"/>
        <v>0</v>
      </c>
      <c r="BA108" s="318">
        <f t="shared" si="83"/>
        <v>0</v>
      </c>
    </row>
    <row r="109" spans="1:53" s="315" customFormat="1" ht="15.75" customHeight="1">
      <c r="A109" s="63" t="str">
        <f t="array" ref="A109">IF(C109&lt;&gt;0,SUM(($C$11:C109&lt;&gt;0)*1),"")</f>
        <v/>
      </c>
      <c r="B109" s="316"/>
      <c r="C109" s="316"/>
      <c r="D109" s="316"/>
      <c r="E109" s="436"/>
      <c r="F109" s="372"/>
      <c r="G109" s="374"/>
      <c r="H109" s="374"/>
      <c r="I109" s="63" t="str">
        <f t="shared" si="91"/>
        <v/>
      </c>
      <c r="J109" s="318">
        <f t="shared" si="46"/>
        <v>0</v>
      </c>
      <c r="K109" s="318">
        <f t="shared" si="47"/>
        <v>0</v>
      </c>
      <c r="L109" s="318">
        <f t="shared" si="48"/>
        <v>0</v>
      </c>
      <c r="M109" s="318">
        <f t="shared" si="49"/>
        <v>0</v>
      </c>
      <c r="N109" s="318">
        <f t="shared" si="84"/>
        <v>0</v>
      </c>
      <c r="O109" s="318">
        <f t="shared" si="85"/>
        <v>0</v>
      </c>
      <c r="P109" s="318">
        <f t="shared" si="50"/>
        <v>0</v>
      </c>
      <c r="Q109" s="318">
        <f t="shared" si="51"/>
        <v>0</v>
      </c>
      <c r="R109" s="318">
        <f t="shared" si="52"/>
        <v>0</v>
      </c>
      <c r="S109" s="318">
        <f t="shared" si="53"/>
        <v>0</v>
      </c>
      <c r="T109" s="318">
        <f t="shared" si="86"/>
        <v>0</v>
      </c>
      <c r="U109" s="318">
        <f t="shared" si="87"/>
        <v>0</v>
      </c>
      <c r="V109" s="318">
        <f t="shared" si="54"/>
        <v>0</v>
      </c>
      <c r="W109" s="318">
        <f t="shared" si="55"/>
        <v>0</v>
      </c>
      <c r="X109" s="318">
        <f t="shared" si="56"/>
        <v>0</v>
      </c>
      <c r="Y109" s="318">
        <f t="shared" si="57"/>
        <v>0</v>
      </c>
      <c r="Z109" s="318">
        <f t="shared" si="58"/>
        <v>0</v>
      </c>
      <c r="AA109" s="318">
        <f t="shared" si="59"/>
        <v>0</v>
      </c>
      <c r="AB109" s="318">
        <f t="shared" si="60"/>
        <v>0</v>
      </c>
      <c r="AC109" s="318">
        <f t="shared" si="61"/>
        <v>0</v>
      </c>
      <c r="AD109" s="318">
        <f t="shared" si="62"/>
        <v>0</v>
      </c>
      <c r="AE109" s="318">
        <f t="shared" si="63"/>
        <v>0</v>
      </c>
      <c r="AF109" s="318">
        <f t="shared" si="88"/>
        <v>0</v>
      </c>
      <c r="AG109" s="318">
        <f t="shared" si="89"/>
        <v>0</v>
      </c>
      <c r="AH109" s="318">
        <f t="shared" si="64"/>
        <v>0</v>
      </c>
      <c r="AI109" s="318">
        <f t="shared" si="65"/>
        <v>0</v>
      </c>
      <c r="AJ109" s="318">
        <f t="shared" si="66"/>
        <v>0</v>
      </c>
      <c r="AK109" s="318">
        <f t="shared" si="67"/>
        <v>0</v>
      </c>
      <c r="AL109" s="318">
        <f t="shared" si="68"/>
        <v>0</v>
      </c>
      <c r="AM109" s="318">
        <f t="shared" si="69"/>
        <v>0</v>
      </c>
      <c r="AN109" s="318">
        <f t="shared" si="70"/>
        <v>0</v>
      </c>
      <c r="AO109" s="318">
        <f t="shared" si="71"/>
        <v>0</v>
      </c>
      <c r="AP109" s="318">
        <f t="shared" si="72"/>
        <v>0</v>
      </c>
      <c r="AQ109" s="318">
        <f t="shared" si="73"/>
        <v>0</v>
      </c>
      <c r="AR109" s="318">
        <f t="shared" si="74"/>
        <v>0</v>
      </c>
      <c r="AS109" s="318">
        <f t="shared" si="75"/>
        <v>0</v>
      </c>
      <c r="AT109" s="318">
        <f t="shared" si="76"/>
        <v>0</v>
      </c>
      <c r="AU109" s="318">
        <f t="shared" si="77"/>
        <v>0</v>
      </c>
      <c r="AV109" s="318">
        <f t="shared" si="78"/>
        <v>0</v>
      </c>
      <c r="AW109" s="318">
        <f t="shared" si="79"/>
        <v>0</v>
      </c>
      <c r="AX109" s="318">
        <f t="shared" si="80"/>
        <v>0</v>
      </c>
      <c r="AY109" s="318">
        <f t="shared" si="81"/>
        <v>0</v>
      </c>
      <c r="AZ109" s="318">
        <f t="shared" si="82"/>
        <v>0</v>
      </c>
      <c r="BA109" s="318">
        <f t="shared" si="83"/>
        <v>0</v>
      </c>
    </row>
    <row r="110" spans="1:53" s="315" customFormat="1" ht="15.75" customHeight="1">
      <c r="A110" s="63" t="str">
        <f t="array" ref="A110">IF(C110&lt;&gt;0,SUM(($C$11:C110&lt;&gt;0)*1),"")</f>
        <v/>
      </c>
      <c r="B110" s="316"/>
      <c r="C110" s="316"/>
      <c r="D110" s="316"/>
      <c r="E110" s="436"/>
      <c r="F110" s="372"/>
      <c r="G110" s="374"/>
      <c r="H110" s="374"/>
      <c r="I110" s="63" t="str">
        <f t="shared" si="91"/>
        <v/>
      </c>
      <c r="J110" s="318">
        <f t="shared" si="46"/>
        <v>0</v>
      </c>
      <c r="K110" s="318">
        <f t="shared" si="47"/>
        <v>0</v>
      </c>
      <c r="L110" s="318">
        <f t="shared" si="48"/>
        <v>0</v>
      </c>
      <c r="M110" s="318">
        <f t="shared" si="49"/>
        <v>0</v>
      </c>
      <c r="N110" s="318">
        <f t="shared" si="84"/>
        <v>0</v>
      </c>
      <c r="O110" s="318">
        <f t="shared" si="85"/>
        <v>0</v>
      </c>
      <c r="P110" s="318">
        <f t="shared" si="50"/>
        <v>0</v>
      </c>
      <c r="Q110" s="318">
        <f t="shared" si="51"/>
        <v>0</v>
      </c>
      <c r="R110" s="318">
        <f t="shared" si="52"/>
        <v>0</v>
      </c>
      <c r="S110" s="318">
        <f t="shared" si="53"/>
        <v>0</v>
      </c>
      <c r="T110" s="318">
        <f t="shared" si="86"/>
        <v>0</v>
      </c>
      <c r="U110" s="318">
        <f t="shared" si="87"/>
        <v>0</v>
      </c>
      <c r="V110" s="318">
        <f t="shared" si="54"/>
        <v>0</v>
      </c>
      <c r="W110" s="318">
        <f t="shared" si="55"/>
        <v>0</v>
      </c>
      <c r="X110" s="318">
        <f t="shared" si="56"/>
        <v>0</v>
      </c>
      <c r="Y110" s="318">
        <f t="shared" si="57"/>
        <v>0</v>
      </c>
      <c r="Z110" s="318">
        <f t="shared" si="58"/>
        <v>0</v>
      </c>
      <c r="AA110" s="318">
        <f t="shared" si="59"/>
        <v>0</v>
      </c>
      <c r="AB110" s="318">
        <f t="shared" si="60"/>
        <v>0</v>
      </c>
      <c r="AC110" s="318">
        <f t="shared" si="61"/>
        <v>0</v>
      </c>
      <c r="AD110" s="318">
        <f t="shared" si="62"/>
        <v>0</v>
      </c>
      <c r="AE110" s="318">
        <f t="shared" si="63"/>
        <v>0</v>
      </c>
      <c r="AF110" s="318">
        <f t="shared" si="88"/>
        <v>0</v>
      </c>
      <c r="AG110" s="318">
        <f t="shared" si="89"/>
        <v>0</v>
      </c>
      <c r="AH110" s="318">
        <f t="shared" si="64"/>
        <v>0</v>
      </c>
      <c r="AI110" s="318">
        <f t="shared" si="65"/>
        <v>0</v>
      </c>
      <c r="AJ110" s="318">
        <f t="shared" si="66"/>
        <v>0</v>
      </c>
      <c r="AK110" s="318">
        <f t="shared" si="67"/>
        <v>0</v>
      </c>
      <c r="AL110" s="318">
        <f t="shared" si="68"/>
        <v>0</v>
      </c>
      <c r="AM110" s="318">
        <f t="shared" si="69"/>
        <v>0</v>
      </c>
      <c r="AN110" s="318">
        <f t="shared" si="70"/>
        <v>0</v>
      </c>
      <c r="AO110" s="318">
        <f t="shared" si="71"/>
        <v>0</v>
      </c>
      <c r="AP110" s="318">
        <f t="shared" si="72"/>
        <v>0</v>
      </c>
      <c r="AQ110" s="318">
        <f t="shared" si="73"/>
        <v>0</v>
      </c>
      <c r="AR110" s="318">
        <f t="shared" si="74"/>
        <v>0</v>
      </c>
      <c r="AS110" s="318">
        <f t="shared" si="75"/>
        <v>0</v>
      </c>
      <c r="AT110" s="318">
        <f t="shared" si="76"/>
        <v>0</v>
      </c>
      <c r="AU110" s="318">
        <f t="shared" si="77"/>
        <v>0</v>
      </c>
      <c r="AV110" s="318">
        <f t="shared" si="78"/>
        <v>0</v>
      </c>
      <c r="AW110" s="318">
        <f t="shared" si="79"/>
        <v>0</v>
      </c>
      <c r="AX110" s="318">
        <f t="shared" si="80"/>
        <v>0</v>
      </c>
      <c r="AY110" s="318">
        <f t="shared" si="81"/>
        <v>0</v>
      </c>
      <c r="AZ110" s="318">
        <f t="shared" si="82"/>
        <v>0</v>
      </c>
      <c r="BA110" s="318">
        <f t="shared" si="83"/>
        <v>0</v>
      </c>
    </row>
    <row r="111" spans="1:53" s="315" customFormat="1" ht="15.75" customHeight="1">
      <c r="A111" s="63" t="str">
        <f t="array" ref="A111">IF(C111&lt;&gt;0,SUM(($C$11:C111&lt;&gt;0)*1),"")</f>
        <v/>
      </c>
      <c r="B111" s="316"/>
      <c r="C111" s="316"/>
      <c r="D111" s="316"/>
      <c r="E111" s="436"/>
      <c r="F111" s="372"/>
      <c r="G111" s="374"/>
      <c r="H111" s="374"/>
      <c r="I111" s="63" t="str">
        <f t="shared" si="91"/>
        <v/>
      </c>
      <c r="J111" s="318">
        <f t="shared" si="46"/>
        <v>0</v>
      </c>
      <c r="K111" s="318">
        <f t="shared" si="47"/>
        <v>0</v>
      </c>
      <c r="L111" s="318">
        <f t="shared" si="48"/>
        <v>0</v>
      </c>
      <c r="M111" s="318">
        <f t="shared" si="49"/>
        <v>0</v>
      </c>
      <c r="N111" s="318">
        <f t="shared" si="84"/>
        <v>0</v>
      </c>
      <c r="O111" s="318">
        <f t="shared" si="85"/>
        <v>0</v>
      </c>
      <c r="P111" s="318">
        <f t="shared" si="50"/>
        <v>0</v>
      </c>
      <c r="Q111" s="318">
        <f t="shared" si="51"/>
        <v>0</v>
      </c>
      <c r="R111" s="318">
        <f t="shared" si="52"/>
        <v>0</v>
      </c>
      <c r="S111" s="318">
        <f t="shared" si="53"/>
        <v>0</v>
      </c>
      <c r="T111" s="318">
        <f t="shared" si="86"/>
        <v>0</v>
      </c>
      <c r="U111" s="318">
        <f t="shared" si="87"/>
        <v>0</v>
      </c>
      <c r="V111" s="318">
        <f t="shared" si="54"/>
        <v>0</v>
      </c>
      <c r="W111" s="318">
        <f t="shared" si="55"/>
        <v>0</v>
      </c>
      <c r="X111" s="318">
        <f t="shared" si="56"/>
        <v>0</v>
      </c>
      <c r="Y111" s="318">
        <f t="shared" si="57"/>
        <v>0</v>
      </c>
      <c r="Z111" s="318">
        <f t="shared" si="58"/>
        <v>0</v>
      </c>
      <c r="AA111" s="318">
        <f t="shared" si="59"/>
        <v>0</v>
      </c>
      <c r="AB111" s="318">
        <f t="shared" si="60"/>
        <v>0</v>
      </c>
      <c r="AC111" s="318">
        <f t="shared" si="61"/>
        <v>0</v>
      </c>
      <c r="AD111" s="318">
        <f t="shared" si="62"/>
        <v>0</v>
      </c>
      <c r="AE111" s="318">
        <f t="shared" si="63"/>
        <v>0</v>
      </c>
      <c r="AF111" s="318">
        <f t="shared" si="88"/>
        <v>0</v>
      </c>
      <c r="AG111" s="318">
        <f t="shared" si="89"/>
        <v>0</v>
      </c>
      <c r="AH111" s="318">
        <f t="shared" si="64"/>
        <v>0</v>
      </c>
      <c r="AI111" s="318">
        <f t="shared" si="65"/>
        <v>0</v>
      </c>
      <c r="AJ111" s="318">
        <f t="shared" si="66"/>
        <v>0</v>
      </c>
      <c r="AK111" s="318">
        <f t="shared" si="67"/>
        <v>0</v>
      </c>
      <c r="AL111" s="318">
        <f t="shared" si="68"/>
        <v>0</v>
      </c>
      <c r="AM111" s="318">
        <f t="shared" si="69"/>
        <v>0</v>
      </c>
      <c r="AN111" s="318">
        <f t="shared" si="70"/>
        <v>0</v>
      </c>
      <c r="AO111" s="318">
        <f t="shared" si="71"/>
        <v>0</v>
      </c>
      <c r="AP111" s="318">
        <f t="shared" si="72"/>
        <v>0</v>
      </c>
      <c r="AQ111" s="318">
        <f t="shared" si="73"/>
        <v>0</v>
      </c>
      <c r="AR111" s="318">
        <f t="shared" si="74"/>
        <v>0</v>
      </c>
      <c r="AS111" s="318">
        <f t="shared" si="75"/>
        <v>0</v>
      </c>
      <c r="AT111" s="318">
        <f t="shared" si="76"/>
        <v>0</v>
      </c>
      <c r="AU111" s="318">
        <f t="shared" si="77"/>
        <v>0</v>
      </c>
      <c r="AV111" s="318">
        <f t="shared" si="78"/>
        <v>0</v>
      </c>
      <c r="AW111" s="318">
        <f t="shared" si="79"/>
        <v>0</v>
      </c>
      <c r="AX111" s="318">
        <f t="shared" si="80"/>
        <v>0</v>
      </c>
      <c r="AY111" s="318">
        <f t="shared" si="81"/>
        <v>0</v>
      </c>
      <c r="AZ111" s="318">
        <f t="shared" si="82"/>
        <v>0</v>
      </c>
      <c r="BA111" s="318">
        <f t="shared" si="83"/>
        <v>0</v>
      </c>
    </row>
    <row r="112" spans="1:53" s="315" customFormat="1" ht="15.75" customHeight="1">
      <c r="A112" s="63" t="str">
        <f t="array" ref="A112">IF(C112&lt;&gt;0,SUM(($C$11:C112&lt;&gt;0)*1),"")</f>
        <v/>
      </c>
      <c r="B112" s="316"/>
      <c r="C112" s="316"/>
      <c r="D112" s="316"/>
      <c r="E112" s="436"/>
      <c r="F112" s="372"/>
      <c r="G112" s="374"/>
      <c r="H112" s="374"/>
      <c r="I112" s="63" t="str">
        <f t="shared" si="91"/>
        <v/>
      </c>
      <c r="J112" s="318">
        <f t="shared" si="46"/>
        <v>0</v>
      </c>
      <c r="K112" s="318">
        <f t="shared" si="47"/>
        <v>0</v>
      </c>
      <c r="L112" s="318">
        <f t="shared" si="48"/>
        <v>0</v>
      </c>
      <c r="M112" s="318">
        <f t="shared" si="49"/>
        <v>0</v>
      </c>
      <c r="N112" s="318">
        <f t="shared" si="84"/>
        <v>0</v>
      </c>
      <c r="O112" s="318">
        <f t="shared" si="85"/>
        <v>0</v>
      </c>
      <c r="P112" s="318">
        <f t="shared" si="50"/>
        <v>0</v>
      </c>
      <c r="Q112" s="318">
        <f t="shared" si="51"/>
        <v>0</v>
      </c>
      <c r="R112" s="318">
        <f t="shared" si="52"/>
        <v>0</v>
      </c>
      <c r="S112" s="318">
        <f t="shared" si="53"/>
        <v>0</v>
      </c>
      <c r="T112" s="318">
        <f t="shared" si="86"/>
        <v>0</v>
      </c>
      <c r="U112" s="318">
        <f t="shared" si="87"/>
        <v>0</v>
      </c>
      <c r="V112" s="318">
        <f t="shared" si="54"/>
        <v>0</v>
      </c>
      <c r="W112" s="318">
        <f t="shared" si="55"/>
        <v>0</v>
      </c>
      <c r="X112" s="318">
        <f t="shared" si="56"/>
        <v>0</v>
      </c>
      <c r="Y112" s="318">
        <f t="shared" si="57"/>
        <v>0</v>
      </c>
      <c r="Z112" s="318">
        <f t="shared" si="58"/>
        <v>0</v>
      </c>
      <c r="AA112" s="318">
        <f t="shared" si="59"/>
        <v>0</v>
      </c>
      <c r="AB112" s="318">
        <f t="shared" si="60"/>
        <v>0</v>
      </c>
      <c r="AC112" s="318">
        <f t="shared" si="61"/>
        <v>0</v>
      </c>
      <c r="AD112" s="318">
        <f t="shared" si="62"/>
        <v>0</v>
      </c>
      <c r="AE112" s="318">
        <f t="shared" si="63"/>
        <v>0</v>
      </c>
      <c r="AF112" s="318">
        <f t="shared" si="88"/>
        <v>0</v>
      </c>
      <c r="AG112" s="318">
        <f t="shared" si="89"/>
        <v>0</v>
      </c>
      <c r="AH112" s="318">
        <f t="shared" si="64"/>
        <v>0</v>
      </c>
      <c r="AI112" s="318">
        <f t="shared" si="65"/>
        <v>0</v>
      </c>
      <c r="AJ112" s="318">
        <f t="shared" si="66"/>
        <v>0</v>
      </c>
      <c r="AK112" s="318">
        <f t="shared" si="67"/>
        <v>0</v>
      </c>
      <c r="AL112" s="318">
        <f t="shared" si="68"/>
        <v>0</v>
      </c>
      <c r="AM112" s="318">
        <f t="shared" si="69"/>
        <v>0</v>
      </c>
      <c r="AN112" s="318">
        <f t="shared" si="70"/>
        <v>0</v>
      </c>
      <c r="AO112" s="318">
        <f t="shared" si="71"/>
        <v>0</v>
      </c>
      <c r="AP112" s="318">
        <f t="shared" si="72"/>
        <v>0</v>
      </c>
      <c r="AQ112" s="318">
        <f t="shared" si="73"/>
        <v>0</v>
      </c>
      <c r="AR112" s="318">
        <f t="shared" si="74"/>
        <v>0</v>
      </c>
      <c r="AS112" s="318">
        <f t="shared" si="75"/>
        <v>0</v>
      </c>
      <c r="AT112" s="318">
        <f t="shared" si="76"/>
        <v>0</v>
      </c>
      <c r="AU112" s="318">
        <f t="shared" si="77"/>
        <v>0</v>
      </c>
      <c r="AV112" s="318">
        <f t="shared" si="78"/>
        <v>0</v>
      </c>
      <c r="AW112" s="318">
        <f t="shared" si="79"/>
        <v>0</v>
      </c>
      <c r="AX112" s="318">
        <f t="shared" si="80"/>
        <v>0</v>
      </c>
      <c r="AY112" s="318">
        <f t="shared" si="81"/>
        <v>0</v>
      </c>
      <c r="AZ112" s="318">
        <f t="shared" si="82"/>
        <v>0</v>
      </c>
      <c r="BA112" s="318">
        <f t="shared" si="83"/>
        <v>0</v>
      </c>
    </row>
    <row r="113" spans="1:53" s="315" customFormat="1" ht="15.75" customHeight="1">
      <c r="A113" s="63" t="str">
        <f t="array" ref="A113">IF(C113&lt;&gt;0,SUM(($C$11:C113&lt;&gt;0)*1),"")</f>
        <v/>
      </c>
      <c r="B113" s="316"/>
      <c r="C113" s="316"/>
      <c r="D113" s="316"/>
      <c r="E113" s="436"/>
      <c r="F113" s="372"/>
      <c r="G113" s="374"/>
      <c r="H113" s="374"/>
      <c r="I113" s="63" t="str">
        <f t="shared" si="91"/>
        <v/>
      </c>
      <c r="J113" s="318">
        <f t="shared" si="46"/>
        <v>0</v>
      </c>
      <c r="K113" s="318">
        <f t="shared" si="47"/>
        <v>0</v>
      </c>
      <c r="L113" s="318">
        <f t="shared" si="48"/>
        <v>0</v>
      </c>
      <c r="M113" s="318">
        <f t="shared" si="49"/>
        <v>0</v>
      </c>
      <c r="N113" s="318">
        <f t="shared" si="84"/>
        <v>0</v>
      </c>
      <c r="O113" s="318">
        <f t="shared" si="85"/>
        <v>0</v>
      </c>
      <c r="P113" s="318">
        <f t="shared" si="50"/>
        <v>0</v>
      </c>
      <c r="Q113" s="318">
        <f t="shared" si="51"/>
        <v>0</v>
      </c>
      <c r="R113" s="318">
        <f t="shared" si="52"/>
        <v>0</v>
      </c>
      <c r="S113" s="318">
        <f t="shared" si="53"/>
        <v>0</v>
      </c>
      <c r="T113" s="318">
        <f t="shared" si="86"/>
        <v>0</v>
      </c>
      <c r="U113" s="318">
        <f t="shared" si="87"/>
        <v>0</v>
      </c>
      <c r="V113" s="318">
        <f t="shared" si="54"/>
        <v>0</v>
      </c>
      <c r="W113" s="318">
        <f t="shared" si="55"/>
        <v>0</v>
      </c>
      <c r="X113" s="318">
        <f t="shared" si="56"/>
        <v>0</v>
      </c>
      <c r="Y113" s="318">
        <f t="shared" si="57"/>
        <v>0</v>
      </c>
      <c r="Z113" s="318">
        <f t="shared" si="58"/>
        <v>0</v>
      </c>
      <c r="AA113" s="318">
        <f t="shared" si="59"/>
        <v>0</v>
      </c>
      <c r="AB113" s="318">
        <f t="shared" si="60"/>
        <v>0</v>
      </c>
      <c r="AC113" s="318">
        <f t="shared" si="61"/>
        <v>0</v>
      </c>
      <c r="AD113" s="318">
        <f t="shared" si="62"/>
        <v>0</v>
      </c>
      <c r="AE113" s="318">
        <f t="shared" si="63"/>
        <v>0</v>
      </c>
      <c r="AF113" s="318">
        <f t="shared" si="88"/>
        <v>0</v>
      </c>
      <c r="AG113" s="318">
        <f t="shared" si="89"/>
        <v>0</v>
      </c>
      <c r="AH113" s="318">
        <f t="shared" si="64"/>
        <v>0</v>
      </c>
      <c r="AI113" s="318">
        <f t="shared" si="65"/>
        <v>0</v>
      </c>
      <c r="AJ113" s="318">
        <f t="shared" si="66"/>
        <v>0</v>
      </c>
      <c r="AK113" s="318">
        <f t="shared" si="67"/>
        <v>0</v>
      </c>
      <c r="AL113" s="318">
        <f t="shared" si="68"/>
        <v>0</v>
      </c>
      <c r="AM113" s="318">
        <f t="shared" si="69"/>
        <v>0</v>
      </c>
      <c r="AN113" s="318">
        <f t="shared" si="70"/>
        <v>0</v>
      </c>
      <c r="AO113" s="318">
        <f t="shared" si="71"/>
        <v>0</v>
      </c>
      <c r="AP113" s="318">
        <f t="shared" si="72"/>
        <v>0</v>
      </c>
      <c r="AQ113" s="318">
        <f t="shared" si="73"/>
        <v>0</v>
      </c>
      <c r="AR113" s="318">
        <f t="shared" si="74"/>
        <v>0</v>
      </c>
      <c r="AS113" s="318">
        <f t="shared" si="75"/>
        <v>0</v>
      </c>
      <c r="AT113" s="318">
        <f t="shared" si="76"/>
        <v>0</v>
      </c>
      <c r="AU113" s="318">
        <f t="shared" si="77"/>
        <v>0</v>
      </c>
      <c r="AV113" s="318">
        <f t="shared" si="78"/>
        <v>0</v>
      </c>
      <c r="AW113" s="318">
        <f t="shared" si="79"/>
        <v>0</v>
      </c>
      <c r="AX113" s="318">
        <f t="shared" si="80"/>
        <v>0</v>
      </c>
      <c r="AY113" s="318">
        <f t="shared" si="81"/>
        <v>0</v>
      </c>
      <c r="AZ113" s="318">
        <f t="shared" si="82"/>
        <v>0</v>
      </c>
      <c r="BA113" s="318">
        <f t="shared" si="83"/>
        <v>0</v>
      </c>
    </row>
    <row r="114" spans="1:53" s="315" customFormat="1" ht="15.75" customHeight="1">
      <c r="A114" s="63" t="str">
        <f t="array" ref="A114">IF(C114&lt;&gt;0,SUM(($C$11:C114&lt;&gt;0)*1),"")</f>
        <v/>
      </c>
      <c r="B114" s="316"/>
      <c r="C114" s="316"/>
      <c r="D114" s="316"/>
      <c r="E114" s="436"/>
      <c r="F114" s="372"/>
      <c r="G114" s="374"/>
      <c r="H114" s="374"/>
      <c r="I114" s="63" t="str">
        <f t="shared" si="91"/>
        <v/>
      </c>
      <c r="J114" s="318">
        <f t="shared" si="46"/>
        <v>0</v>
      </c>
      <c r="K114" s="318">
        <f t="shared" si="47"/>
        <v>0</v>
      </c>
      <c r="L114" s="318">
        <f t="shared" si="48"/>
        <v>0</v>
      </c>
      <c r="M114" s="318">
        <f t="shared" si="49"/>
        <v>0</v>
      </c>
      <c r="N114" s="318">
        <f t="shared" si="84"/>
        <v>0</v>
      </c>
      <c r="O114" s="318">
        <f t="shared" si="85"/>
        <v>0</v>
      </c>
      <c r="P114" s="318">
        <f t="shared" si="50"/>
        <v>0</v>
      </c>
      <c r="Q114" s="318">
        <f t="shared" si="51"/>
        <v>0</v>
      </c>
      <c r="R114" s="318">
        <f t="shared" si="52"/>
        <v>0</v>
      </c>
      <c r="S114" s="318">
        <f t="shared" si="53"/>
        <v>0</v>
      </c>
      <c r="T114" s="318">
        <f t="shared" si="86"/>
        <v>0</v>
      </c>
      <c r="U114" s="318">
        <f t="shared" si="87"/>
        <v>0</v>
      </c>
      <c r="V114" s="318">
        <f t="shared" si="54"/>
        <v>0</v>
      </c>
      <c r="W114" s="318">
        <f t="shared" si="55"/>
        <v>0</v>
      </c>
      <c r="X114" s="318">
        <f t="shared" si="56"/>
        <v>0</v>
      </c>
      <c r="Y114" s="318">
        <f t="shared" si="57"/>
        <v>0</v>
      </c>
      <c r="Z114" s="318">
        <f t="shared" si="58"/>
        <v>0</v>
      </c>
      <c r="AA114" s="318">
        <f t="shared" si="59"/>
        <v>0</v>
      </c>
      <c r="AB114" s="318">
        <f t="shared" si="60"/>
        <v>0</v>
      </c>
      <c r="AC114" s="318">
        <f t="shared" si="61"/>
        <v>0</v>
      </c>
      <c r="AD114" s="318">
        <f t="shared" si="62"/>
        <v>0</v>
      </c>
      <c r="AE114" s="318">
        <f t="shared" si="63"/>
        <v>0</v>
      </c>
      <c r="AF114" s="318">
        <f t="shared" si="88"/>
        <v>0</v>
      </c>
      <c r="AG114" s="318">
        <f t="shared" si="89"/>
        <v>0</v>
      </c>
      <c r="AH114" s="318">
        <f t="shared" si="64"/>
        <v>0</v>
      </c>
      <c r="AI114" s="318">
        <f t="shared" si="65"/>
        <v>0</v>
      </c>
      <c r="AJ114" s="318">
        <f t="shared" si="66"/>
        <v>0</v>
      </c>
      <c r="AK114" s="318">
        <f t="shared" si="67"/>
        <v>0</v>
      </c>
      <c r="AL114" s="318">
        <f t="shared" si="68"/>
        <v>0</v>
      </c>
      <c r="AM114" s="318">
        <f t="shared" si="69"/>
        <v>0</v>
      </c>
      <c r="AN114" s="318">
        <f t="shared" si="70"/>
        <v>0</v>
      </c>
      <c r="AO114" s="318">
        <f t="shared" si="71"/>
        <v>0</v>
      </c>
      <c r="AP114" s="318">
        <f t="shared" si="72"/>
        <v>0</v>
      </c>
      <c r="AQ114" s="318">
        <f t="shared" si="73"/>
        <v>0</v>
      </c>
      <c r="AR114" s="318">
        <f t="shared" si="74"/>
        <v>0</v>
      </c>
      <c r="AS114" s="318">
        <f t="shared" si="75"/>
        <v>0</v>
      </c>
      <c r="AT114" s="318">
        <f t="shared" si="76"/>
        <v>0</v>
      </c>
      <c r="AU114" s="318">
        <f t="shared" si="77"/>
        <v>0</v>
      </c>
      <c r="AV114" s="318">
        <f t="shared" si="78"/>
        <v>0</v>
      </c>
      <c r="AW114" s="318">
        <f t="shared" si="79"/>
        <v>0</v>
      </c>
      <c r="AX114" s="318">
        <f t="shared" si="80"/>
        <v>0</v>
      </c>
      <c r="AY114" s="318">
        <f t="shared" si="81"/>
        <v>0</v>
      </c>
      <c r="AZ114" s="318">
        <f t="shared" si="82"/>
        <v>0</v>
      </c>
      <c r="BA114" s="318">
        <f t="shared" si="83"/>
        <v>0</v>
      </c>
    </row>
    <row r="115" spans="1:53" s="315" customFormat="1" ht="15.75" customHeight="1">
      <c r="A115" s="63" t="str">
        <f t="array" ref="A115">IF(C115&lt;&gt;0,SUM(($C$11:C115&lt;&gt;0)*1),"")</f>
        <v/>
      </c>
      <c r="B115" s="316"/>
      <c r="C115" s="316"/>
      <c r="D115" s="316"/>
      <c r="E115" s="436"/>
      <c r="F115" s="372"/>
      <c r="G115" s="374"/>
      <c r="H115" s="374"/>
      <c r="I115" s="63" t="str">
        <f t="shared" si="91"/>
        <v/>
      </c>
      <c r="J115" s="318">
        <f t="shared" si="46"/>
        <v>0</v>
      </c>
      <c r="K115" s="318">
        <f t="shared" si="47"/>
        <v>0</v>
      </c>
      <c r="L115" s="318">
        <f t="shared" si="48"/>
        <v>0</v>
      </c>
      <c r="M115" s="318">
        <f t="shared" si="49"/>
        <v>0</v>
      </c>
      <c r="N115" s="318">
        <f t="shared" si="84"/>
        <v>0</v>
      </c>
      <c r="O115" s="318">
        <f t="shared" si="85"/>
        <v>0</v>
      </c>
      <c r="P115" s="318">
        <f t="shared" si="50"/>
        <v>0</v>
      </c>
      <c r="Q115" s="318">
        <f t="shared" si="51"/>
        <v>0</v>
      </c>
      <c r="R115" s="318">
        <f t="shared" si="52"/>
        <v>0</v>
      </c>
      <c r="S115" s="318">
        <f t="shared" si="53"/>
        <v>0</v>
      </c>
      <c r="T115" s="318">
        <f t="shared" si="86"/>
        <v>0</v>
      </c>
      <c r="U115" s="318">
        <f t="shared" si="87"/>
        <v>0</v>
      </c>
      <c r="V115" s="318">
        <f t="shared" si="54"/>
        <v>0</v>
      </c>
      <c r="W115" s="318">
        <f t="shared" si="55"/>
        <v>0</v>
      </c>
      <c r="X115" s="318">
        <f t="shared" si="56"/>
        <v>0</v>
      </c>
      <c r="Y115" s="318">
        <f t="shared" si="57"/>
        <v>0</v>
      </c>
      <c r="Z115" s="318">
        <f t="shared" si="58"/>
        <v>0</v>
      </c>
      <c r="AA115" s="318">
        <f t="shared" si="59"/>
        <v>0</v>
      </c>
      <c r="AB115" s="318">
        <f t="shared" si="60"/>
        <v>0</v>
      </c>
      <c r="AC115" s="318">
        <f t="shared" si="61"/>
        <v>0</v>
      </c>
      <c r="AD115" s="318">
        <f t="shared" si="62"/>
        <v>0</v>
      </c>
      <c r="AE115" s="318">
        <f t="shared" si="63"/>
        <v>0</v>
      </c>
      <c r="AF115" s="318">
        <f t="shared" si="88"/>
        <v>0</v>
      </c>
      <c r="AG115" s="318">
        <f t="shared" si="89"/>
        <v>0</v>
      </c>
      <c r="AH115" s="318">
        <f t="shared" si="64"/>
        <v>0</v>
      </c>
      <c r="AI115" s="318">
        <f t="shared" si="65"/>
        <v>0</v>
      </c>
      <c r="AJ115" s="318">
        <f t="shared" si="66"/>
        <v>0</v>
      </c>
      <c r="AK115" s="318">
        <f t="shared" si="67"/>
        <v>0</v>
      </c>
      <c r="AL115" s="318">
        <f t="shared" si="68"/>
        <v>0</v>
      </c>
      <c r="AM115" s="318">
        <f t="shared" si="69"/>
        <v>0</v>
      </c>
      <c r="AN115" s="318">
        <f t="shared" si="70"/>
        <v>0</v>
      </c>
      <c r="AO115" s="318">
        <f t="shared" si="71"/>
        <v>0</v>
      </c>
      <c r="AP115" s="318">
        <f t="shared" si="72"/>
        <v>0</v>
      </c>
      <c r="AQ115" s="318">
        <f t="shared" si="73"/>
        <v>0</v>
      </c>
      <c r="AR115" s="318">
        <f t="shared" si="74"/>
        <v>0</v>
      </c>
      <c r="AS115" s="318">
        <f t="shared" si="75"/>
        <v>0</v>
      </c>
      <c r="AT115" s="318">
        <f t="shared" si="76"/>
        <v>0</v>
      </c>
      <c r="AU115" s="318">
        <f t="shared" si="77"/>
        <v>0</v>
      </c>
      <c r="AV115" s="318">
        <f t="shared" si="78"/>
        <v>0</v>
      </c>
      <c r="AW115" s="318">
        <f t="shared" si="79"/>
        <v>0</v>
      </c>
      <c r="AX115" s="318">
        <f t="shared" si="80"/>
        <v>0</v>
      </c>
      <c r="AY115" s="318">
        <f t="shared" si="81"/>
        <v>0</v>
      </c>
      <c r="AZ115" s="318">
        <f t="shared" si="82"/>
        <v>0</v>
      </c>
      <c r="BA115" s="318">
        <f t="shared" si="83"/>
        <v>0</v>
      </c>
    </row>
    <row r="116" spans="1:53" s="315" customFormat="1" ht="15.75" customHeight="1">
      <c r="A116" s="63" t="str">
        <f t="array" ref="A116">IF(C116&lt;&gt;0,SUM(($C$11:C116&lt;&gt;0)*1),"")</f>
        <v/>
      </c>
      <c r="B116" s="316"/>
      <c r="C116" s="316"/>
      <c r="D116" s="316"/>
      <c r="E116" s="436"/>
      <c r="F116" s="372"/>
      <c r="G116" s="374"/>
      <c r="H116" s="374"/>
      <c r="I116" s="63" t="str">
        <f t="shared" si="91"/>
        <v/>
      </c>
      <c r="J116" s="318">
        <f t="shared" si="46"/>
        <v>0</v>
      </c>
      <c r="K116" s="318">
        <f t="shared" si="47"/>
        <v>0</v>
      </c>
      <c r="L116" s="318">
        <f t="shared" si="48"/>
        <v>0</v>
      </c>
      <c r="M116" s="318">
        <f t="shared" si="49"/>
        <v>0</v>
      </c>
      <c r="N116" s="318">
        <f t="shared" si="84"/>
        <v>0</v>
      </c>
      <c r="O116" s="318">
        <f t="shared" si="85"/>
        <v>0</v>
      </c>
      <c r="P116" s="318">
        <f t="shared" si="50"/>
        <v>0</v>
      </c>
      <c r="Q116" s="318">
        <f t="shared" si="51"/>
        <v>0</v>
      </c>
      <c r="R116" s="318">
        <f t="shared" si="52"/>
        <v>0</v>
      </c>
      <c r="S116" s="318">
        <f t="shared" si="53"/>
        <v>0</v>
      </c>
      <c r="T116" s="318">
        <f t="shared" si="86"/>
        <v>0</v>
      </c>
      <c r="U116" s="318">
        <f t="shared" si="87"/>
        <v>0</v>
      </c>
      <c r="V116" s="318">
        <f t="shared" si="54"/>
        <v>0</v>
      </c>
      <c r="W116" s="318">
        <f t="shared" si="55"/>
        <v>0</v>
      </c>
      <c r="X116" s="318">
        <f t="shared" si="56"/>
        <v>0</v>
      </c>
      <c r="Y116" s="318">
        <f t="shared" si="57"/>
        <v>0</v>
      </c>
      <c r="Z116" s="318">
        <f t="shared" si="58"/>
        <v>0</v>
      </c>
      <c r="AA116" s="318">
        <f t="shared" si="59"/>
        <v>0</v>
      </c>
      <c r="AB116" s="318">
        <f t="shared" si="60"/>
        <v>0</v>
      </c>
      <c r="AC116" s="318">
        <f t="shared" si="61"/>
        <v>0</v>
      </c>
      <c r="AD116" s="318">
        <f t="shared" si="62"/>
        <v>0</v>
      </c>
      <c r="AE116" s="318">
        <f t="shared" si="63"/>
        <v>0</v>
      </c>
      <c r="AF116" s="318">
        <f t="shared" si="88"/>
        <v>0</v>
      </c>
      <c r="AG116" s="318">
        <f t="shared" si="89"/>
        <v>0</v>
      </c>
      <c r="AH116" s="318">
        <f t="shared" si="64"/>
        <v>0</v>
      </c>
      <c r="AI116" s="318">
        <f t="shared" si="65"/>
        <v>0</v>
      </c>
      <c r="AJ116" s="318">
        <f t="shared" si="66"/>
        <v>0</v>
      </c>
      <c r="AK116" s="318">
        <f t="shared" si="67"/>
        <v>0</v>
      </c>
      <c r="AL116" s="318">
        <f t="shared" si="68"/>
        <v>0</v>
      </c>
      <c r="AM116" s="318">
        <f t="shared" si="69"/>
        <v>0</v>
      </c>
      <c r="AN116" s="318">
        <f t="shared" si="70"/>
        <v>0</v>
      </c>
      <c r="AO116" s="318">
        <f t="shared" si="71"/>
        <v>0</v>
      </c>
      <c r="AP116" s="318">
        <f t="shared" si="72"/>
        <v>0</v>
      </c>
      <c r="AQ116" s="318">
        <f t="shared" si="73"/>
        <v>0</v>
      </c>
      <c r="AR116" s="318">
        <f t="shared" si="74"/>
        <v>0</v>
      </c>
      <c r="AS116" s="318">
        <f t="shared" si="75"/>
        <v>0</v>
      </c>
      <c r="AT116" s="318">
        <f t="shared" si="76"/>
        <v>0</v>
      </c>
      <c r="AU116" s="318">
        <f t="shared" si="77"/>
        <v>0</v>
      </c>
      <c r="AV116" s="318">
        <f t="shared" si="78"/>
        <v>0</v>
      </c>
      <c r="AW116" s="318">
        <f t="shared" si="79"/>
        <v>0</v>
      </c>
      <c r="AX116" s="318">
        <f t="shared" si="80"/>
        <v>0</v>
      </c>
      <c r="AY116" s="318">
        <f t="shared" si="81"/>
        <v>0</v>
      </c>
      <c r="AZ116" s="318">
        <f t="shared" si="82"/>
        <v>0</v>
      </c>
      <c r="BA116" s="318">
        <f t="shared" si="83"/>
        <v>0</v>
      </c>
    </row>
    <row r="117" spans="1:53" s="315" customFormat="1" ht="15.75" customHeight="1">
      <c r="A117" s="63" t="str">
        <f t="array" ref="A117">IF(C117&lt;&gt;0,SUM(($C$11:C117&lt;&gt;0)*1),"")</f>
        <v/>
      </c>
      <c r="B117" s="316"/>
      <c r="C117" s="316"/>
      <c r="D117" s="316"/>
      <c r="E117" s="436"/>
      <c r="F117" s="372"/>
      <c r="G117" s="374"/>
      <c r="H117" s="374"/>
      <c r="I117" s="63" t="str">
        <f t="shared" si="91"/>
        <v/>
      </c>
      <c r="J117" s="318">
        <f t="shared" si="46"/>
        <v>0</v>
      </c>
      <c r="K117" s="318">
        <f t="shared" si="47"/>
        <v>0</v>
      </c>
      <c r="L117" s="318">
        <f t="shared" si="48"/>
        <v>0</v>
      </c>
      <c r="M117" s="318">
        <f t="shared" si="49"/>
        <v>0</v>
      </c>
      <c r="N117" s="318">
        <f t="shared" si="84"/>
        <v>0</v>
      </c>
      <c r="O117" s="318">
        <f t="shared" si="85"/>
        <v>0</v>
      </c>
      <c r="P117" s="318">
        <f t="shared" si="50"/>
        <v>0</v>
      </c>
      <c r="Q117" s="318">
        <f t="shared" si="51"/>
        <v>0</v>
      </c>
      <c r="R117" s="318">
        <f t="shared" si="52"/>
        <v>0</v>
      </c>
      <c r="S117" s="318">
        <f t="shared" si="53"/>
        <v>0</v>
      </c>
      <c r="T117" s="318">
        <f t="shared" si="86"/>
        <v>0</v>
      </c>
      <c r="U117" s="318">
        <f t="shared" si="87"/>
        <v>0</v>
      </c>
      <c r="V117" s="318">
        <f t="shared" si="54"/>
        <v>0</v>
      </c>
      <c r="W117" s="318">
        <f t="shared" si="55"/>
        <v>0</v>
      </c>
      <c r="X117" s="318">
        <f t="shared" si="56"/>
        <v>0</v>
      </c>
      <c r="Y117" s="318">
        <f t="shared" si="57"/>
        <v>0</v>
      </c>
      <c r="Z117" s="318">
        <f t="shared" si="58"/>
        <v>0</v>
      </c>
      <c r="AA117" s="318">
        <f t="shared" si="59"/>
        <v>0</v>
      </c>
      <c r="AB117" s="318">
        <f t="shared" si="60"/>
        <v>0</v>
      </c>
      <c r="AC117" s="318">
        <f t="shared" si="61"/>
        <v>0</v>
      </c>
      <c r="AD117" s="318">
        <f t="shared" si="62"/>
        <v>0</v>
      </c>
      <c r="AE117" s="318">
        <f t="shared" si="63"/>
        <v>0</v>
      </c>
      <c r="AF117" s="318">
        <f t="shared" si="88"/>
        <v>0</v>
      </c>
      <c r="AG117" s="318">
        <f t="shared" si="89"/>
        <v>0</v>
      </c>
      <c r="AH117" s="318">
        <f t="shared" si="64"/>
        <v>0</v>
      </c>
      <c r="AI117" s="318">
        <f t="shared" si="65"/>
        <v>0</v>
      </c>
      <c r="AJ117" s="318">
        <f t="shared" si="66"/>
        <v>0</v>
      </c>
      <c r="AK117" s="318">
        <f t="shared" si="67"/>
        <v>0</v>
      </c>
      <c r="AL117" s="318">
        <f t="shared" si="68"/>
        <v>0</v>
      </c>
      <c r="AM117" s="318">
        <f t="shared" si="69"/>
        <v>0</v>
      </c>
      <c r="AN117" s="318">
        <f t="shared" si="70"/>
        <v>0</v>
      </c>
      <c r="AO117" s="318">
        <f t="shared" si="71"/>
        <v>0</v>
      </c>
      <c r="AP117" s="318">
        <f t="shared" si="72"/>
        <v>0</v>
      </c>
      <c r="AQ117" s="318">
        <f t="shared" si="73"/>
        <v>0</v>
      </c>
      <c r="AR117" s="318">
        <f t="shared" si="74"/>
        <v>0</v>
      </c>
      <c r="AS117" s="318">
        <f t="shared" si="75"/>
        <v>0</v>
      </c>
      <c r="AT117" s="318">
        <f t="shared" si="76"/>
        <v>0</v>
      </c>
      <c r="AU117" s="318">
        <f t="shared" si="77"/>
        <v>0</v>
      </c>
      <c r="AV117" s="318">
        <f t="shared" si="78"/>
        <v>0</v>
      </c>
      <c r="AW117" s="318">
        <f t="shared" si="79"/>
        <v>0</v>
      </c>
      <c r="AX117" s="318">
        <f t="shared" si="80"/>
        <v>0</v>
      </c>
      <c r="AY117" s="318">
        <f t="shared" si="81"/>
        <v>0</v>
      </c>
      <c r="AZ117" s="318">
        <f t="shared" si="82"/>
        <v>0</v>
      </c>
      <c r="BA117" s="318">
        <f t="shared" si="83"/>
        <v>0</v>
      </c>
    </row>
    <row r="118" spans="1:53" s="315" customFormat="1" ht="15.75" customHeight="1">
      <c r="A118" s="63" t="str">
        <f t="array" ref="A118">IF(C118&lt;&gt;0,SUM(($C$11:C118&lt;&gt;0)*1),"")</f>
        <v/>
      </c>
      <c r="B118" s="316"/>
      <c r="C118" s="316"/>
      <c r="D118" s="316"/>
      <c r="E118" s="436"/>
      <c r="F118" s="372"/>
      <c r="G118" s="374"/>
      <c r="H118" s="374"/>
      <c r="I118" s="63" t="str">
        <f t="shared" si="91"/>
        <v/>
      </c>
      <c r="J118" s="318">
        <f t="shared" si="46"/>
        <v>0</v>
      </c>
      <c r="K118" s="318">
        <f t="shared" si="47"/>
        <v>0</v>
      </c>
      <c r="L118" s="318">
        <f t="shared" si="48"/>
        <v>0</v>
      </c>
      <c r="M118" s="318">
        <f t="shared" si="49"/>
        <v>0</v>
      </c>
      <c r="N118" s="318">
        <f t="shared" si="84"/>
        <v>0</v>
      </c>
      <c r="O118" s="318">
        <f t="shared" si="85"/>
        <v>0</v>
      </c>
      <c r="P118" s="318">
        <f t="shared" si="50"/>
        <v>0</v>
      </c>
      <c r="Q118" s="318">
        <f t="shared" si="51"/>
        <v>0</v>
      </c>
      <c r="R118" s="318">
        <f t="shared" si="52"/>
        <v>0</v>
      </c>
      <c r="S118" s="318">
        <f t="shared" si="53"/>
        <v>0</v>
      </c>
      <c r="T118" s="318">
        <f t="shared" si="86"/>
        <v>0</v>
      </c>
      <c r="U118" s="318">
        <f t="shared" si="87"/>
        <v>0</v>
      </c>
      <c r="V118" s="318">
        <f t="shared" si="54"/>
        <v>0</v>
      </c>
      <c r="W118" s="318">
        <f t="shared" si="55"/>
        <v>0</v>
      </c>
      <c r="X118" s="318">
        <f t="shared" si="56"/>
        <v>0</v>
      </c>
      <c r="Y118" s="318">
        <f t="shared" si="57"/>
        <v>0</v>
      </c>
      <c r="Z118" s="318">
        <f t="shared" si="58"/>
        <v>0</v>
      </c>
      <c r="AA118" s="318">
        <f t="shared" si="59"/>
        <v>0</v>
      </c>
      <c r="AB118" s="318">
        <f t="shared" si="60"/>
        <v>0</v>
      </c>
      <c r="AC118" s="318">
        <f t="shared" si="61"/>
        <v>0</v>
      </c>
      <c r="AD118" s="318">
        <f t="shared" si="62"/>
        <v>0</v>
      </c>
      <c r="AE118" s="318">
        <f t="shared" si="63"/>
        <v>0</v>
      </c>
      <c r="AF118" s="318">
        <f t="shared" si="88"/>
        <v>0</v>
      </c>
      <c r="AG118" s="318">
        <f t="shared" si="89"/>
        <v>0</v>
      </c>
      <c r="AH118" s="318">
        <f t="shared" si="64"/>
        <v>0</v>
      </c>
      <c r="AI118" s="318">
        <f t="shared" si="65"/>
        <v>0</v>
      </c>
      <c r="AJ118" s="318">
        <f t="shared" si="66"/>
        <v>0</v>
      </c>
      <c r="AK118" s="318">
        <f t="shared" si="67"/>
        <v>0</v>
      </c>
      <c r="AL118" s="318">
        <f t="shared" si="68"/>
        <v>0</v>
      </c>
      <c r="AM118" s="318">
        <f t="shared" si="69"/>
        <v>0</v>
      </c>
      <c r="AN118" s="318">
        <f t="shared" si="70"/>
        <v>0</v>
      </c>
      <c r="AO118" s="318">
        <f t="shared" si="71"/>
        <v>0</v>
      </c>
      <c r="AP118" s="318">
        <f t="shared" si="72"/>
        <v>0</v>
      </c>
      <c r="AQ118" s="318">
        <f t="shared" si="73"/>
        <v>0</v>
      </c>
      <c r="AR118" s="318">
        <f t="shared" si="74"/>
        <v>0</v>
      </c>
      <c r="AS118" s="318">
        <f t="shared" si="75"/>
        <v>0</v>
      </c>
      <c r="AT118" s="318">
        <f t="shared" si="76"/>
        <v>0</v>
      </c>
      <c r="AU118" s="318">
        <f t="shared" si="77"/>
        <v>0</v>
      </c>
      <c r="AV118" s="318">
        <f t="shared" si="78"/>
        <v>0</v>
      </c>
      <c r="AW118" s="318">
        <f t="shared" si="79"/>
        <v>0</v>
      </c>
      <c r="AX118" s="318">
        <f t="shared" si="80"/>
        <v>0</v>
      </c>
      <c r="AY118" s="318">
        <f t="shared" si="81"/>
        <v>0</v>
      </c>
      <c r="AZ118" s="318">
        <f t="shared" si="82"/>
        <v>0</v>
      </c>
      <c r="BA118" s="318">
        <f t="shared" si="83"/>
        <v>0</v>
      </c>
    </row>
    <row r="119" spans="1:53" s="315" customFormat="1" ht="15.75" customHeight="1">
      <c r="A119" s="63" t="str">
        <f t="array" ref="A119">IF(C119&lt;&gt;0,SUM(($C$11:C119&lt;&gt;0)*1),"")</f>
        <v/>
      </c>
      <c r="B119" s="316"/>
      <c r="C119" s="316"/>
      <c r="D119" s="316"/>
      <c r="E119" s="436"/>
      <c r="F119" s="372"/>
      <c r="G119" s="374"/>
      <c r="H119" s="374"/>
      <c r="I119" s="63" t="str">
        <f t="shared" si="91"/>
        <v/>
      </c>
      <c r="J119" s="318">
        <f t="shared" si="46"/>
        <v>0</v>
      </c>
      <c r="K119" s="318">
        <f t="shared" si="47"/>
        <v>0</v>
      </c>
      <c r="L119" s="318">
        <f t="shared" si="48"/>
        <v>0</v>
      </c>
      <c r="M119" s="318">
        <f t="shared" si="49"/>
        <v>0</v>
      </c>
      <c r="N119" s="318">
        <f t="shared" si="84"/>
        <v>0</v>
      </c>
      <c r="O119" s="318">
        <f t="shared" si="85"/>
        <v>0</v>
      </c>
      <c r="P119" s="318">
        <f t="shared" si="50"/>
        <v>0</v>
      </c>
      <c r="Q119" s="318">
        <f t="shared" si="51"/>
        <v>0</v>
      </c>
      <c r="R119" s="318">
        <f t="shared" si="52"/>
        <v>0</v>
      </c>
      <c r="S119" s="318">
        <f t="shared" si="53"/>
        <v>0</v>
      </c>
      <c r="T119" s="318">
        <f t="shared" si="86"/>
        <v>0</v>
      </c>
      <c r="U119" s="318">
        <f t="shared" si="87"/>
        <v>0</v>
      </c>
      <c r="V119" s="318">
        <f t="shared" si="54"/>
        <v>0</v>
      </c>
      <c r="W119" s="318">
        <f t="shared" si="55"/>
        <v>0</v>
      </c>
      <c r="X119" s="318">
        <f t="shared" si="56"/>
        <v>0</v>
      </c>
      <c r="Y119" s="318">
        <f t="shared" si="57"/>
        <v>0</v>
      </c>
      <c r="Z119" s="318">
        <f t="shared" si="58"/>
        <v>0</v>
      </c>
      <c r="AA119" s="318">
        <f t="shared" si="59"/>
        <v>0</v>
      </c>
      <c r="AB119" s="318">
        <f t="shared" si="60"/>
        <v>0</v>
      </c>
      <c r="AC119" s="318">
        <f t="shared" si="61"/>
        <v>0</v>
      </c>
      <c r="AD119" s="318">
        <f t="shared" si="62"/>
        <v>0</v>
      </c>
      <c r="AE119" s="318">
        <f t="shared" si="63"/>
        <v>0</v>
      </c>
      <c r="AF119" s="318">
        <f t="shared" si="88"/>
        <v>0</v>
      </c>
      <c r="AG119" s="318">
        <f t="shared" si="89"/>
        <v>0</v>
      </c>
      <c r="AH119" s="318">
        <f t="shared" si="64"/>
        <v>0</v>
      </c>
      <c r="AI119" s="318">
        <f t="shared" si="65"/>
        <v>0</v>
      </c>
      <c r="AJ119" s="318">
        <f t="shared" si="66"/>
        <v>0</v>
      </c>
      <c r="AK119" s="318">
        <f t="shared" si="67"/>
        <v>0</v>
      </c>
      <c r="AL119" s="318">
        <f t="shared" si="68"/>
        <v>0</v>
      </c>
      <c r="AM119" s="318">
        <f t="shared" si="69"/>
        <v>0</v>
      </c>
      <c r="AN119" s="318">
        <f t="shared" si="70"/>
        <v>0</v>
      </c>
      <c r="AO119" s="318">
        <f t="shared" si="71"/>
        <v>0</v>
      </c>
      <c r="AP119" s="318">
        <f t="shared" si="72"/>
        <v>0</v>
      </c>
      <c r="AQ119" s="318">
        <f t="shared" si="73"/>
        <v>0</v>
      </c>
      <c r="AR119" s="318">
        <f t="shared" si="74"/>
        <v>0</v>
      </c>
      <c r="AS119" s="318">
        <f t="shared" si="75"/>
        <v>0</v>
      </c>
      <c r="AT119" s="318">
        <f t="shared" si="76"/>
        <v>0</v>
      </c>
      <c r="AU119" s="318">
        <f t="shared" si="77"/>
        <v>0</v>
      </c>
      <c r="AV119" s="318">
        <f t="shared" si="78"/>
        <v>0</v>
      </c>
      <c r="AW119" s="318">
        <f t="shared" si="79"/>
        <v>0</v>
      </c>
      <c r="AX119" s="318">
        <f t="shared" si="80"/>
        <v>0</v>
      </c>
      <c r="AY119" s="318">
        <f t="shared" si="81"/>
        <v>0</v>
      </c>
      <c r="AZ119" s="318">
        <f t="shared" si="82"/>
        <v>0</v>
      </c>
      <c r="BA119" s="318">
        <f t="shared" si="83"/>
        <v>0</v>
      </c>
    </row>
    <row r="120" spans="1:53" s="315" customFormat="1" ht="15.75" customHeight="1">
      <c r="A120" s="63" t="str">
        <f t="array" ref="A120">IF(C120&lt;&gt;0,SUM(($C$11:C120&lt;&gt;0)*1),"")</f>
        <v/>
      </c>
      <c r="B120" s="316"/>
      <c r="C120" s="316"/>
      <c r="D120" s="316"/>
      <c r="E120" s="436"/>
      <c r="F120" s="372"/>
      <c r="G120" s="374"/>
      <c r="H120" s="374"/>
      <c r="I120" s="63" t="str">
        <f t="shared" si="91"/>
        <v/>
      </c>
      <c r="J120" s="318">
        <f t="shared" si="46"/>
        <v>0</v>
      </c>
      <c r="K120" s="318">
        <f t="shared" si="47"/>
        <v>0</v>
      </c>
      <c r="L120" s="318">
        <f t="shared" si="48"/>
        <v>0</v>
      </c>
      <c r="M120" s="318">
        <f t="shared" si="49"/>
        <v>0</v>
      </c>
      <c r="N120" s="318">
        <f t="shared" si="84"/>
        <v>0</v>
      </c>
      <c r="O120" s="318">
        <f t="shared" si="85"/>
        <v>0</v>
      </c>
      <c r="P120" s="318">
        <f t="shared" si="50"/>
        <v>0</v>
      </c>
      <c r="Q120" s="318">
        <f t="shared" si="51"/>
        <v>0</v>
      </c>
      <c r="R120" s="318">
        <f t="shared" si="52"/>
        <v>0</v>
      </c>
      <c r="S120" s="318">
        <f t="shared" si="53"/>
        <v>0</v>
      </c>
      <c r="T120" s="318">
        <f t="shared" si="86"/>
        <v>0</v>
      </c>
      <c r="U120" s="318">
        <f t="shared" si="87"/>
        <v>0</v>
      </c>
      <c r="V120" s="318">
        <f t="shared" si="54"/>
        <v>0</v>
      </c>
      <c r="W120" s="318">
        <f t="shared" si="55"/>
        <v>0</v>
      </c>
      <c r="X120" s="318">
        <f t="shared" si="56"/>
        <v>0</v>
      </c>
      <c r="Y120" s="318">
        <f t="shared" si="57"/>
        <v>0</v>
      </c>
      <c r="Z120" s="318">
        <f t="shared" si="58"/>
        <v>0</v>
      </c>
      <c r="AA120" s="318">
        <f t="shared" si="59"/>
        <v>0</v>
      </c>
      <c r="AB120" s="318">
        <f t="shared" si="60"/>
        <v>0</v>
      </c>
      <c r="AC120" s="318">
        <f t="shared" si="61"/>
        <v>0</v>
      </c>
      <c r="AD120" s="318">
        <f t="shared" si="62"/>
        <v>0</v>
      </c>
      <c r="AE120" s="318">
        <f t="shared" si="63"/>
        <v>0</v>
      </c>
      <c r="AF120" s="318">
        <f t="shared" si="88"/>
        <v>0</v>
      </c>
      <c r="AG120" s="318">
        <f t="shared" si="89"/>
        <v>0</v>
      </c>
      <c r="AH120" s="318">
        <f t="shared" si="64"/>
        <v>0</v>
      </c>
      <c r="AI120" s="318">
        <f t="shared" si="65"/>
        <v>0</v>
      </c>
      <c r="AJ120" s="318">
        <f t="shared" si="66"/>
        <v>0</v>
      </c>
      <c r="AK120" s="318">
        <f t="shared" si="67"/>
        <v>0</v>
      </c>
      <c r="AL120" s="318">
        <f t="shared" si="68"/>
        <v>0</v>
      </c>
      <c r="AM120" s="318">
        <f t="shared" si="69"/>
        <v>0</v>
      </c>
      <c r="AN120" s="318">
        <f t="shared" si="70"/>
        <v>0</v>
      </c>
      <c r="AO120" s="318">
        <f t="shared" si="71"/>
        <v>0</v>
      </c>
      <c r="AP120" s="318">
        <f t="shared" si="72"/>
        <v>0</v>
      </c>
      <c r="AQ120" s="318">
        <f t="shared" si="73"/>
        <v>0</v>
      </c>
      <c r="AR120" s="318">
        <f t="shared" si="74"/>
        <v>0</v>
      </c>
      <c r="AS120" s="318">
        <f t="shared" si="75"/>
        <v>0</v>
      </c>
      <c r="AT120" s="318">
        <f t="shared" si="76"/>
        <v>0</v>
      </c>
      <c r="AU120" s="318">
        <f t="shared" si="77"/>
        <v>0</v>
      </c>
      <c r="AV120" s="318">
        <f t="shared" si="78"/>
        <v>0</v>
      </c>
      <c r="AW120" s="318">
        <f t="shared" si="79"/>
        <v>0</v>
      </c>
      <c r="AX120" s="318">
        <f t="shared" si="80"/>
        <v>0</v>
      </c>
      <c r="AY120" s="318">
        <f t="shared" si="81"/>
        <v>0</v>
      </c>
      <c r="AZ120" s="318">
        <f t="shared" si="82"/>
        <v>0</v>
      </c>
      <c r="BA120" s="318">
        <f t="shared" si="83"/>
        <v>0</v>
      </c>
    </row>
    <row r="121" spans="1:53" s="315" customFormat="1" ht="15.75" customHeight="1">
      <c r="A121" s="63" t="str">
        <f t="array" ref="A121">IF(C121&lt;&gt;0,SUM(($C$11:C121&lt;&gt;0)*1),"")</f>
        <v/>
      </c>
      <c r="B121" s="316"/>
      <c r="C121" s="316"/>
      <c r="D121" s="316"/>
      <c r="E121" s="436"/>
      <c r="F121" s="372"/>
      <c r="G121" s="374"/>
      <c r="H121" s="374"/>
      <c r="I121" s="63" t="str">
        <f t="shared" si="91"/>
        <v/>
      </c>
      <c r="J121" s="318">
        <f t="shared" si="46"/>
        <v>0</v>
      </c>
      <c r="K121" s="318">
        <f t="shared" si="47"/>
        <v>0</v>
      </c>
      <c r="L121" s="318">
        <f t="shared" si="48"/>
        <v>0</v>
      </c>
      <c r="M121" s="318">
        <f t="shared" si="49"/>
        <v>0</v>
      </c>
      <c r="N121" s="318">
        <f t="shared" si="84"/>
        <v>0</v>
      </c>
      <c r="O121" s="318">
        <f t="shared" si="85"/>
        <v>0</v>
      </c>
      <c r="P121" s="318">
        <f t="shared" si="50"/>
        <v>0</v>
      </c>
      <c r="Q121" s="318">
        <f t="shared" si="51"/>
        <v>0</v>
      </c>
      <c r="R121" s="318">
        <f t="shared" si="52"/>
        <v>0</v>
      </c>
      <c r="S121" s="318">
        <f t="shared" si="53"/>
        <v>0</v>
      </c>
      <c r="T121" s="318">
        <f t="shared" si="86"/>
        <v>0</v>
      </c>
      <c r="U121" s="318">
        <f t="shared" si="87"/>
        <v>0</v>
      </c>
      <c r="V121" s="318">
        <f t="shared" si="54"/>
        <v>0</v>
      </c>
      <c r="W121" s="318">
        <f t="shared" si="55"/>
        <v>0</v>
      </c>
      <c r="X121" s="318">
        <f t="shared" si="56"/>
        <v>0</v>
      </c>
      <c r="Y121" s="318">
        <f t="shared" si="57"/>
        <v>0</v>
      </c>
      <c r="Z121" s="318">
        <f t="shared" si="58"/>
        <v>0</v>
      </c>
      <c r="AA121" s="318">
        <f t="shared" si="59"/>
        <v>0</v>
      </c>
      <c r="AB121" s="318">
        <f t="shared" si="60"/>
        <v>0</v>
      </c>
      <c r="AC121" s="318">
        <f t="shared" si="61"/>
        <v>0</v>
      </c>
      <c r="AD121" s="318">
        <f t="shared" si="62"/>
        <v>0</v>
      </c>
      <c r="AE121" s="318">
        <f t="shared" si="63"/>
        <v>0</v>
      </c>
      <c r="AF121" s="318">
        <f t="shared" si="88"/>
        <v>0</v>
      </c>
      <c r="AG121" s="318">
        <f t="shared" si="89"/>
        <v>0</v>
      </c>
      <c r="AH121" s="318">
        <f t="shared" si="64"/>
        <v>0</v>
      </c>
      <c r="AI121" s="318">
        <f t="shared" si="65"/>
        <v>0</v>
      </c>
      <c r="AJ121" s="318">
        <f t="shared" si="66"/>
        <v>0</v>
      </c>
      <c r="AK121" s="318">
        <f t="shared" si="67"/>
        <v>0</v>
      </c>
      <c r="AL121" s="318">
        <f t="shared" si="68"/>
        <v>0</v>
      </c>
      <c r="AM121" s="318">
        <f t="shared" si="69"/>
        <v>0</v>
      </c>
      <c r="AN121" s="318">
        <f t="shared" si="70"/>
        <v>0</v>
      </c>
      <c r="AO121" s="318">
        <f t="shared" si="71"/>
        <v>0</v>
      </c>
      <c r="AP121" s="318">
        <f t="shared" si="72"/>
        <v>0</v>
      </c>
      <c r="AQ121" s="318">
        <f t="shared" si="73"/>
        <v>0</v>
      </c>
      <c r="AR121" s="318">
        <f t="shared" si="74"/>
        <v>0</v>
      </c>
      <c r="AS121" s="318">
        <f t="shared" si="75"/>
        <v>0</v>
      </c>
      <c r="AT121" s="318">
        <f t="shared" si="76"/>
        <v>0</v>
      </c>
      <c r="AU121" s="318">
        <f t="shared" si="77"/>
        <v>0</v>
      </c>
      <c r="AV121" s="318">
        <f t="shared" si="78"/>
        <v>0</v>
      </c>
      <c r="AW121" s="318">
        <f t="shared" si="79"/>
        <v>0</v>
      </c>
      <c r="AX121" s="318">
        <f t="shared" si="80"/>
        <v>0</v>
      </c>
      <c r="AY121" s="318">
        <f t="shared" si="81"/>
        <v>0</v>
      </c>
      <c r="AZ121" s="318">
        <f t="shared" si="82"/>
        <v>0</v>
      </c>
      <c r="BA121" s="318">
        <f t="shared" si="83"/>
        <v>0</v>
      </c>
    </row>
    <row r="122" spans="1:53" s="315" customFormat="1" ht="15.75" customHeight="1">
      <c r="A122" s="63" t="str">
        <f t="array" ref="A122">IF(C122&lt;&gt;0,SUM(($C$11:C122&lt;&gt;0)*1),"")</f>
        <v/>
      </c>
      <c r="B122" s="316"/>
      <c r="C122" s="316"/>
      <c r="D122" s="316"/>
      <c r="E122" s="436"/>
      <c r="F122" s="372"/>
      <c r="G122" s="374"/>
      <c r="H122" s="374"/>
      <c r="I122" s="63" t="str">
        <f t="shared" si="91"/>
        <v/>
      </c>
      <c r="J122" s="318">
        <f t="shared" si="46"/>
        <v>0</v>
      </c>
      <c r="K122" s="318">
        <f t="shared" si="47"/>
        <v>0</v>
      </c>
      <c r="L122" s="318">
        <f t="shared" si="48"/>
        <v>0</v>
      </c>
      <c r="M122" s="318">
        <f t="shared" si="49"/>
        <v>0</v>
      </c>
      <c r="N122" s="318">
        <f t="shared" si="84"/>
        <v>0</v>
      </c>
      <c r="O122" s="318">
        <f t="shared" si="85"/>
        <v>0</v>
      </c>
      <c r="P122" s="318">
        <f t="shared" si="50"/>
        <v>0</v>
      </c>
      <c r="Q122" s="318">
        <f t="shared" si="51"/>
        <v>0</v>
      </c>
      <c r="R122" s="318">
        <f t="shared" si="52"/>
        <v>0</v>
      </c>
      <c r="S122" s="318">
        <f t="shared" si="53"/>
        <v>0</v>
      </c>
      <c r="T122" s="318">
        <f t="shared" si="86"/>
        <v>0</v>
      </c>
      <c r="U122" s="318">
        <f t="shared" si="87"/>
        <v>0</v>
      </c>
      <c r="V122" s="318">
        <f t="shared" si="54"/>
        <v>0</v>
      </c>
      <c r="W122" s="318">
        <f t="shared" si="55"/>
        <v>0</v>
      </c>
      <c r="X122" s="318">
        <f t="shared" si="56"/>
        <v>0</v>
      </c>
      <c r="Y122" s="318">
        <f t="shared" si="57"/>
        <v>0</v>
      </c>
      <c r="Z122" s="318">
        <f t="shared" si="58"/>
        <v>0</v>
      </c>
      <c r="AA122" s="318">
        <f t="shared" si="59"/>
        <v>0</v>
      </c>
      <c r="AB122" s="318">
        <f t="shared" si="60"/>
        <v>0</v>
      </c>
      <c r="AC122" s="318">
        <f t="shared" si="61"/>
        <v>0</v>
      </c>
      <c r="AD122" s="318">
        <f t="shared" si="62"/>
        <v>0</v>
      </c>
      <c r="AE122" s="318">
        <f t="shared" si="63"/>
        <v>0</v>
      </c>
      <c r="AF122" s="318">
        <f t="shared" si="88"/>
        <v>0</v>
      </c>
      <c r="AG122" s="318">
        <f t="shared" si="89"/>
        <v>0</v>
      </c>
      <c r="AH122" s="318">
        <f t="shared" si="64"/>
        <v>0</v>
      </c>
      <c r="AI122" s="318">
        <f t="shared" si="65"/>
        <v>0</v>
      </c>
      <c r="AJ122" s="318">
        <f t="shared" si="66"/>
        <v>0</v>
      </c>
      <c r="AK122" s="318">
        <f t="shared" si="67"/>
        <v>0</v>
      </c>
      <c r="AL122" s="318">
        <f t="shared" si="68"/>
        <v>0</v>
      </c>
      <c r="AM122" s="318">
        <f t="shared" si="69"/>
        <v>0</v>
      </c>
      <c r="AN122" s="318">
        <f t="shared" si="70"/>
        <v>0</v>
      </c>
      <c r="AO122" s="318">
        <f t="shared" si="71"/>
        <v>0</v>
      </c>
      <c r="AP122" s="318">
        <f t="shared" si="72"/>
        <v>0</v>
      </c>
      <c r="AQ122" s="318">
        <f t="shared" si="73"/>
        <v>0</v>
      </c>
      <c r="AR122" s="318">
        <f t="shared" si="74"/>
        <v>0</v>
      </c>
      <c r="AS122" s="318">
        <f t="shared" si="75"/>
        <v>0</v>
      </c>
      <c r="AT122" s="318">
        <f t="shared" si="76"/>
        <v>0</v>
      </c>
      <c r="AU122" s="318">
        <f t="shared" si="77"/>
        <v>0</v>
      </c>
      <c r="AV122" s="318">
        <f t="shared" si="78"/>
        <v>0</v>
      </c>
      <c r="AW122" s="318">
        <f t="shared" si="79"/>
        <v>0</v>
      </c>
      <c r="AX122" s="318">
        <f t="shared" si="80"/>
        <v>0</v>
      </c>
      <c r="AY122" s="318">
        <f t="shared" si="81"/>
        <v>0</v>
      </c>
      <c r="AZ122" s="318">
        <f t="shared" si="82"/>
        <v>0</v>
      </c>
      <c r="BA122" s="318">
        <f t="shared" si="83"/>
        <v>0</v>
      </c>
    </row>
    <row r="123" spans="1:53" s="315" customFormat="1" ht="15.75" customHeight="1">
      <c r="A123" s="63" t="str">
        <f t="array" ref="A123">IF(C123&lt;&gt;0,SUM(($C$11:C123&lt;&gt;0)*1),"")</f>
        <v/>
      </c>
      <c r="B123" s="316"/>
      <c r="C123" s="316"/>
      <c r="D123" s="316"/>
      <c r="E123" s="436"/>
      <c r="F123" s="372"/>
      <c r="G123" s="374"/>
      <c r="H123" s="374"/>
      <c r="I123" s="63" t="str">
        <f t="shared" si="91"/>
        <v/>
      </c>
      <c r="J123" s="318">
        <f t="shared" si="46"/>
        <v>0</v>
      </c>
      <c r="K123" s="318">
        <f t="shared" si="47"/>
        <v>0</v>
      </c>
      <c r="L123" s="318">
        <f t="shared" si="48"/>
        <v>0</v>
      </c>
      <c r="M123" s="318">
        <f t="shared" si="49"/>
        <v>0</v>
      </c>
      <c r="N123" s="318">
        <f t="shared" si="84"/>
        <v>0</v>
      </c>
      <c r="O123" s="318">
        <f t="shared" si="85"/>
        <v>0</v>
      </c>
      <c r="P123" s="318">
        <f t="shared" si="50"/>
        <v>0</v>
      </c>
      <c r="Q123" s="318">
        <f t="shared" si="51"/>
        <v>0</v>
      </c>
      <c r="R123" s="318">
        <f t="shared" si="52"/>
        <v>0</v>
      </c>
      <c r="S123" s="318">
        <f t="shared" si="53"/>
        <v>0</v>
      </c>
      <c r="T123" s="318">
        <f t="shared" si="86"/>
        <v>0</v>
      </c>
      <c r="U123" s="318">
        <f t="shared" si="87"/>
        <v>0</v>
      </c>
      <c r="V123" s="318">
        <f t="shared" si="54"/>
        <v>0</v>
      </c>
      <c r="W123" s="318">
        <f t="shared" si="55"/>
        <v>0</v>
      </c>
      <c r="X123" s="318">
        <f t="shared" si="56"/>
        <v>0</v>
      </c>
      <c r="Y123" s="318">
        <f t="shared" si="57"/>
        <v>0</v>
      </c>
      <c r="Z123" s="318">
        <f t="shared" si="58"/>
        <v>0</v>
      </c>
      <c r="AA123" s="318">
        <f t="shared" si="59"/>
        <v>0</v>
      </c>
      <c r="AB123" s="318">
        <f t="shared" si="60"/>
        <v>0</v>
      </c>
      <c r="AC123" s="318">
        <f t="shared" si="61"/>
        <v>0</v>
      </c>
      <c r="AD123" s="318">
        <f t="shared" si="62"/>
        <v>0</v>
      </c>
      <c r="AE123" s="318">
        <f t="shared" si="63"/>
        <v>0</v>
      </c>
      <c r="AF123" s="318">
        <f t="shared" si="88"/>
        <v>0</v>
      </c>
      <c r="AG123" s="318">
        <f t="shared" si="89"/>
        <v>0</v>
      </c>
      <c r="AH123" s="318">
        <f t="shared" si="64"/>
        <v>0</v>
      </c>
      <c r="AI123" s="318">
        <f t="shared" si="65"/>
        <v>0</v>
      </c>
      <c r="AJ123" s="318">
        <f t="shared" si="66"/>
        <v>0</v>
      </c>
      <c r="AK123" s="318">
        <f t="shared" si="67"/>
        <v>0</v>
      </c>
      <c r="AL123" s="318">
        <f t="shared" si="68"/>
        <v>0</v>
      </c>
      <c r="AM123" s="318">
        <f t="shared" si="69"/>
        <v>0</v>
      </c>
      <c r="AN123" s="318">
        <f t="shared" si="70"/>
        <v>0</v>
      </c>
      <c r="AO123" s="318">
        <f t="shared" si="71"/>
        <v>0</v>
      </c>
      <c r="AP123" s="318">
        <f t="shared" si="72"/>
        <v>0</v>
      </c>
      <c r="AQ123" s="318">
        <f t="shared" si="73"/>
        <v>0</v>
      </c>
      <c r="AR123" s="318">
        <f t="shared" si="74"/>
        <v>0</v>
      </c>
      <c r="AS123" s="318">
        <f t="shared" si="75"/>
        <v>0</v>
      </c>
      <c r="AT123" s="318">
        <f t="shared" si="76"/>
        <v>0</v>
      </c>
      <c r="AU123" s="318">
        <f t="shared" si="77"/>
        <v>0</v>
      </c>
      <c r="AV123" s="318">
        <f t="shared" si="78"/>
        <v>0</v>
      </c>
      <c r="AW123" s="318">
        <f t="shared" si="79"/>
        <v>0</v>
      </c>
      <c r="AX123" s="318">
        <f t="shared" si="80"/>
        <v>0</v>
      </c>
      <c r="AY123" s="318">
        <f t="shared" si="81"/>
        <v>0</v>
      </c>
      <c r="AZ123" s="318">
        <f t="shared" si="82"/>
        <v>0</v>
      </c>
      <c r="BA123" s="318">
        <f t="shared" si="83"/>
        <v>0</v>
      </c>
    </row>
    <row r="124" spans="1:53" s="315" customFormat="1" ht="15.75" customHeight="1">
      <c r="A124" s="63" t="str">
        <f t="array" ref="A124">IF(C124&lt;&gt;0,SUM(($C$11:C124&lt;&gt;0)*1),"")</f>
        <v/>
      </c>
      <c r="B124" s="316"/>
      <c r="C124" s="316"/>
      <c r="D124" s="316"/>
      <c r="E124" s="436"/>
      <c r="F124" s="372"/>
      <c r="G124" s="374"/>
      <c r="H124" s="374"/>
      <c r="I124" s="63" t="str">
        <f t="shared" si="91"/>
        <v/>
      </c>
      <c r="J124" s="318">
        <f t="shared" si="46"/>
        <v>0</v>
      </c>
      <c r="K124" s="318">
        <f t="shared" si="47"/>
        <v>0</v>
      </c>
      <c r="L124" s="318">
        <f t="shared" si="48"/>
        <v>0</v>
      </c>
      <c r="M124" s="318">
        <f t="shared" si="49"/>
        <v>0</v>
      </c>
      <c r="N124" s="318">
        <f t="shared" si="84"/>
        <v>0</v>
      </c>
      <c r="O124" s="318">
        <f t="shared" si="85"/>
        <v>0</v>
      </c>
      <c r="P124" s="318">
        <f t="shared" si="50"/>
        <v>0</v>
      </c>
      <c r="Q124" s="318">
        <f t="shared" si="51"/>
        <v>0</v>
      </c>
      <c r="R124" s="318">
        <f t="shared" si="52"/>
        <v>0</v>
      </c>
      <c r="S124" s="318">
        <f t="shared" si="53"/>
        <v>0</v>
      </c>
      <c r="T124" s="318">
        <f t="shared" si="86"/>
        <v>0</v>
      </c>
      <c r="U124" s="318">
        <f t="shared" si="87"/>
        <v>0</v>
      </c>
      <c r="V124" s="318">
        <f t="shared" si="54"/>
        <v>0</v>
      </c>
      <c r="W124" s="318">
        <f t="shared" si="55"/>
        <v>0</v>
      </c>
      <c r="X124" s="318">
        <f t="shared" si="56"/>
        <v>0</v>
      </c>
      <c r="Y124" s="318">
        <f t="shared" si="57"/>
        <v>0</v>
      </c>
      <c r="Z124" s="318">
        <f t="shared" si="58"/>
        <v>0</v>
      </c>
      <c r="AA124" s="318">
        <f t="shared" si="59"/>
        <v>0</v>
      </c>
      <c r="AB124" s="318">
        <f t="shared" si="60"/>
        <v>0</v>
      </c>
      <c r="AC124" s="318">
        <f t="shared" si="61"/>
        <v>0</v>
      </c>
      <c r="AD124" s="318">
        <f t="shared" si="62"/>
        <v>0</v>
      </c>
      <c r="AE124" s="318">
        <f t="shared" si="63"/>
        <v>0</v>
      </c>
      <c r="AF124" s="318">
        <f t="shared" si="88"/>
        <v>0</v>
      </c>
      <c r="AG124" s="318">
        <f t="shared" si="89"/>
        <v>0</v>
      </c>
      <c r="AH124" s="318">
        <f t="shared" si="64"/>
        <v>0</v>
      </c>
      <c r="AI124" s="318">
        <f t="shared" si="65"/>
        <v>0</v>
      </c>
      <c r="AJ124" s="318">
        <f t="shared" si="66"/>
        <v>0</v>
      </c>
      <c r="AK124" s="318">
        <f t="shared" si="67"/>
        <v>0</v>
      </c>
      <c r="AL124" s="318">
        <f t="shared" si="68"/>
        <v>0</v>
      </c>
      <c r="AM124" s="318">
        <f t="shared" si="69"/>
        <v>0</v>
      </c>
      <c r="AN124" s="318">
        <f t="shared" si="70"/>
        <v>0</v>
      </c>
      <c r="AO124" s="318">
        <f t="shared" si="71"/>
        <v>0</v>
      </c>
      <c r="AP124" s="318">
        <f t="shared" si="72"/>
        <v>0</v>
      </c>
      <c r="AQ124" s="318">
        <f t="shared" si="73"/>
        <v>0</v>
      </c>
      <c r="AR124" s="318">
        <f t="shared" si="74"/>
        <v>0</v>
      </c>
      <c r="AS124" s="318">
        <f t="shared" si="75"/>
        <v>0</v>
      </c>
      <c r="AT124" s="318">
        <f t="shared" si="76"/>
        <v>0</v>
      </c>
      <c r="AU124" s="318">
        <f t="shared" si="77"/>
        <v>0</v>
      </c>
      <c r="AV124" s="318">
        <f t="shared" si="78"/>
        <v>0</v>
      </c>
      <c r="AW124" s="318">
        <f t="shared" si="79"/>
        <v>0</v>
      </c>
      <c r="AX124" s="318">
        <f t="shared" si="80"/>
        <v>0</v>
      </c>
      <c r="AY124" s="318">
        <f t="shared" si="81"/>
        <v>0</v>
      </c>
      <c r="AZ124" s="318">
        <f t="shared" si="82"/>
        <v>0</v>
      </c>
      <c r="BA124" s="318">
        <f t="shared" si="83"/>
        <v>0</v>
      </c>
    </row>
    <row r="125" spans="1:53" s="315" customFormat="1" ht="15.75" customHeight="1">
      <c r="A125" s="63" t="str">
        <f t="array" ref="A125">IF(C125&lt;&gt;0,SUM(($C$11:C125&lt;&gt;0)*1),"")</f>
        <v/>
      </c>
      <c r="B125" s="316"/>
      <c r="C125" s="316"/>
      <c r="D125" s="316"/>
      <c r="E125" s="436"/>
      <c r="F125" s="372"/>
      <c r="G125" s="374"/>
      <c r="H125" s="374"/>
      <c r="I125" s="63" t="str">
        <f t="shared" si="91"/>
        <v/>
      </c>
      <c r="J125" s="318">
        <f t="shared" si="46"/>
        <v>0</v>
      </c>
      <c r="K125" s="318">
        <f t="shared" si="47"/>
        <v>0</v>
      </c>
      <c r="L125" s="318">
        <f t="shared" si="48"/>
        <v>0</v>
      </c>
      <c r="M125" s="318">
        <f t="shared" si="49"/>
        <v>0</v>
      </c>
      <c r="N125" s="318">
        <f t="shared" si="84"/>
        <v>0</v>
      </c>
      <c r="O125" s="318">
        <f t="shared" si="85"/>
        <v>0</v>
      </c>
      <c r="P125" s="318">
        <f t="shared" si="50"/>
        <v>0</v>
      </c>
      <c r="Q125" s="318">
        <f t="shared" si="51"/>
        <v>0</v>
      </c>
      <c r="R125" s="318">
        <f t="shared" si="52"/>
        <v>0</v>
      </c>
      <c r="S125" s="318">
        <f t="shared" si="53"/>
        <v>0</v>
      </c>
      <c r="T125" s="318">
        <f t="shared" si="86"/>
        <v>0</v>
      </c>
      <c r="U125" s="318">
        <f t="shared" si="87"/>
        <v>0</v>
      </c>
      <c r="V125" s="318">
        <f t="shared" si="54"/>
        <v>0</v>
      </c>
      <c r="W125" s="318">
        <f t="shared" si="55"/>
        <v>0</v>
      </c>
      <c r="X125" s="318">
        <f t="shared" si="56"/>
        <v>0</v>
      </c>
      <c r="Y125" s="318">
        <f t="shared" si="57"/>
        <v>0</v>
      </c>
      <c r="Z125" s="318">
        <f t="shared" si="58"/>
        <v>0</v>
      </c>
      <c r="AA125" s="318">
        <f t="shared" si="59"/>
        <v>0</v>
      </c>
      <c r="AB125" s="318">
        <f t="shared" si="60"/>
        <v>0</v>
      </c>
      <c r="AC125" s="318">
        <f t="shared" si="61"/>
        <v>0</v>
      </c>
      <c r="AD125" s="318">
        <f t="shared" si="62"/>
        <v>0</v>
      </c>
      <c r="AE125" s="318">
        <f t="shared" si="63"/>
        <v>0</v>
      </c>
      <c r="AF125" s="318">
        <f t="shared" si="88"/>
        <v>0</v>
      </c>
      <c r="AG125" s="318">
        <f t="shared" si="89"/>
        <v>0</v>
      </c>
      <c r="AH125" s="318">
        <f t="shared" si="64"/>
        <v>0</v>
      </c>
      <c r="AI125" s="318">
        <f t="shared" si="65"/>
        <v>0</v>
      </c>
      <c r="AJ125" s="318">
        <f t="shared" si="66"/>
        <v>0</v>
      </c>
      <c r="AK125" s="318">
        <f t="shared" si="67"/>
        <v>0</v>
      </c>
      <c r="AL125" s="318">
        <f t="shared" si="68"/>
        <v>0</v>
      </c>
      <c r="AM125" s="318">
        <f t="shared" si="69"/>
        <v>0</v>
      </c>
      <c r="AN125" s="318">
        <f t="shared" si="70"/>
        <v>0</v>
      </c>
      <c r="AO125" s="318">
        <f t="shared" si="71"/>
        <v>0</v>
      </c>
      <c r="AP125" s="318">
        <f t="shared" si="72"/>
        <v>0</v>
      </c>
      <c r="AQ125" s="318">
        <f t="shared" si="73"/>
        <v>0</v>
      </c>
      <c r="AR125" s="318">
        <f t="shared" si="74"/>
        <v>0</v>
      </c>
      <c r="AS125" s="318">
        <f t="shared" si="75"/>
        <v>0</v>
      </c>
      <c r="AT125" s="318">
        <f t="shared" si="76"/>
        <v>0</v>
      </c>
      <c r="AU125" s="318">
        <f t="shared" si="77"/>
        <v>0</v>
      </c>
      <c r="AV125" s="318">
        <f t="shared" si="78"/>
        <v>0</v>
      </c>
      <c r="AW125" s="318">
        <f t="shared" si="79"/>
        <v>0</v>
      </c>
      <c r="AX125" s="318">
        <f t="shared" si="80"/>
        <v>0</v>
      </c>
      <c r="AY125" s="318">
        <f t="shared" si="81"/>
        <v>0</v>
      </c>
      <c r="AZ125" s="318">
        <f t="shared" si="82"/>
        <v>0</v>
      </c>
      <c r="BA125" s="318">
        <f t="shared" si="83"/>
        <v>0</v>
      </c>
    </row>
    <row r="126" spans="1:53" s="315" customFormat="1" ht="15.75" customHeight="1">
      <c r="A126" s="63" t="str">
        <f t="array" ref="A126">IF(C126&lt;&gt;0,SUM(($C$11:C126&lt;&gt;0)*1),"")</f>
        <v/>
      </c>
      <c r="B126" s="316"/>
      <c r="C126" s="316"/>
      <c r="D126" s="316"/>
      <c r="E126" s="436"/>
      <c r="F126" s="372"/>
      <c r="G126" s="374"/>
      <c r="H126" s="374"/>
      <c r="I126" s="63" t="str">
        <f t="shared" si="91"/>
        <v/>
      </c>
      <c r="J126" s="318">
        <f t="shared" si="46"/>
        <v>0</v>
      </c>
      <c r="K126" s="318">
        <f t="shared" si="47"/>
        <v>0</v>
      </c>
      <c r="L126" s="318">
        <f t="shared" si="48"/>
        <v>0</v>
      </c>
      <c r="M126" s="318">
        <f t="shared" si="49"/>
        <v>0</v>
      </c>
      <c r="N126" s="318">
        <f t="shared" si="84"/>
        <v>0</v>
      </c>
      <c r="O126" s="318">
        <f t="shared" si="85"/>
        <v>0</v>
      </c>
      <c r="P126" s="318">
        <f t="shared" si="50"/>
        <v>0</v>
      </c>
      <c r="Q126" s="318">
        <f t="shared" si="51"/>
        <v>0</v>
      </c>
      <c r="R126" s="318">
        <f t="shared" si="52"/>
        <v>0</v>
      </c>
      <c r="S126" s="318">
        <f t="shared" si="53"/>
        <v>0</v>
      </c>
      <c r="T126" s="318">
        <f t="shared" si="86"/>
        <v>0</v>
      </c>
      <c r="U126" s="318">
        <f t="shared" si="87"/>
        <v>0</v>
      </c>
      <c r="V126" s="318">
        <f t="shared" si="54"/>
        <v>0</v>
      </c>
      <c r="W126" s="318">
        <f t="shared" si="55"/>
        <v>0</v>
      </c>
      <c r="X126" s="318">
        <f t="shared" si="56"/>
        <v>0</v>
      </c>
      <c r="Y126" s="318">
        <f t="shared" si="57"/>
        <v>0</v>
      </c>
      <c r="Z126" s="318">
        <f t="shared" si="58"/>
        <v>0</v>
      </c>
      <c r="AA126" s="318">
        <f t="shared" si="59"/>
        <v>0</v>
      </c>
      <c r="AB126" s="318">
        <f t="shared" si="60"/>
        <v>0</v>
      </c>
      <c r="AC126" s="318">
        <f t="shared" si="61"/>
        <v>0</v>
      </c>
      <c r="AD126" s="318">
        <f t="shared" si="62"/>
        <v>0</v>
      </c>
      <c r="AE126" s="318">
        <f t="shared" si="63"/>
        <v>0</v>
      </c>
      <c r="AF126" s="318">
        <f t="shared" si="88"/>
        <v>0</v>
      </c>
      <c r="AG126" s="318">
        <f t="shared" si="89"/>
        <v>0</v>
      </c>
      <c r="AH126" s="318">
        <f t="shared" si="64"/>
        <v>0</v>
      </c>
      <c r="AI126" s="318">
        <f t="shared" si="65"/>
        <v>0</v>
      </c>
      <c r="AJ126" s="318">
        <f t="shared" si="66"/>
        <v>0</v>
      </c>
      <c r="AK126" s="318">
        <f t="shared" si="67"/>
        <v>0</v>
      </c>
      <c r="AL126" s="318">
        <f t="shared" si="68"/>
        <v>0</v>
      </c>
      <c r="AM126" s="318">
        <f t="shared" si="69"/>
        <v>0</v>
      </c>
      <c r="AN126" s="318">
        <f t="shared" si="70"/>
        <v>0</v>
      </c>
      <c r="AO126" s="318">
        <f t="shared" si="71"/>
        <v>0</v>
      </c>
      <c r="AP126" s="318">
        <f t="shared" si="72"/>
        <v>0</v>
      </c>
      <c r="AQ126" s="318">
        <f t="shared" si="73"/>
        <v>0</v>
      </c>
      <c r="AR126" s="318">
        <f t="shared" si="74"/>
        <v>0</v>
      </c>
      <c r="AS126" s="318">
        <f t="shared" si="75"/>
        <v>0</v>
      </c>
      <c r="AT126" s="318">
        <f t="shared" si="76"/>
        <v>0</v>
      </c>
      <c r="AU126" s="318">
        <f t="shared" si="77"/>
        <v>0</v>
      </c>
      <c r="AV126" s="318">
        <f t="shared" si="78"/>
        <v>0</v>
      </c>
      <c r="AW126" s="318">
        <f t="shared" si="79"/>
        <v>0</v>
      </c>
      <c r="AX126" s="318">
        <f t="shared" si="80"/>
        <v>0</v>
      </c>
      <c r="AY126" s="318">
        <f t="shared" si="81"/>
        <v>0</v>
      </c>
      <c r="AZ126" s="318">
        <f t="shared" si="82"/>
        <v>0</v>
      </c>
      <c r="BA126" s="318">
        <f t="shared" si="83"/>
        <v>0</v>
      </c>
    </row>
    <row r="127" spans="1:53" s="315" customFormat="1" ht="15.75" customHeight="1">
      <c r="A127" s="63" t="str">
        <f t="array" ref="A127">IF(C127&lt;&gt;0,SUM(($C$11:C127&lt;&gt;0)*1),"")</f>
        <v/>
      </c>
      <c r="B127" s="316"/>
      <c r="C127" s="316"/>
      <c r="D127" s="316"/>
      <c r="E127" s="436"/>
      <c r="F127" s="372"/>
      <c r="G127" s="374"/>
      <c r="H127" s="374"/>
      <c r="I127" s="63" t="str">
        <f t="shared" si="91"/>
        <v/>
      </c>
      <c r="J127" s="318">
        <f t="shared" si="46"/>
        <v>0</v>
      </c>
      <c r="K127" s="318">
        <f t="shared" si="47"/>
        <v>0</v>
      </c>
      <c r="L127" s="318">
        <f t="shared" si="48"/>
        <v>0</v>
      </c>
      <c r="M127" s="318">
        <f t="shared" si="49"/>
        <v>0</v>
      </c>
      <c r="N127" s="318">
        <f t="shared" si="84"/>
        <v>0</v>
      </c>
      <c r="O127" s="318">
        <f t="shared" si="85"/>
        <v>0</v>
      </c>
      <c r="P127" s="318">
        <f t="shared" si="50"/>
        <v>0</v>
      </c>
      <c r="Q127" s="318">
        <f t="shared" si="51"/>
        <v>0</v>
      </c>
      <c r="R127" s="318">
        <f t="shared" si="52"/>
        <v>0</v>
      </c>
      <c r="S127" s="318">
        <f t="shared" si="53"/>
        <v>0</v>
      </c>
      <c r="T127" s="318">
        <f t="shared" si="86"/>
        <v>0</v>
      </c>
      <c r="U127" s="318">
        <f t="shared" si="87"/>
        <v>0</v>
      </c>
      <c r="V127" s="318">
        <f t="shared" si="54"/>
        <v>0</v>
      </c>
      <c r="W127" s="318">
        <f t="shared" si="55"/>
        <v>0</v>
      </c>
      <c r="X127" s="318">
        <f t="shared" si="56"/>
        <v>0</v>
      </c>
      <c r="Y127" s="318">
        <f t="shared" si="57"/>
        <v>0</v>
      </c>
      <c r="Z127" s="318">
        <f t="shared" si="58"/>
        <v>0</v>
      </c>
      <c r="AA127" s="318">
        <f t="shared" si="59"/>
        <v>0</v>
      </c>
      <c r="AB127" s="318">
        <f t="shared" si="60"/>
        <v>0</v>
      </c>
      <c r="AC127" s="318">
        <f t="shared" si="61"/>
        <v>0</v>
      </c>
      <c r="AD127" s="318">
        <f t="shared" si="62"/>
        <v>0</v>
      </c>
      <c r="AE127" s="318">
        <f t="shared" si="63"/>
        <v>0</v>
      </c>
      <c r="AF127" s="318">
        <f t="shared" si="88"/>
        <v>0</v>
      </c>
      <c r="AG127" s="318">
        <f t="shared" si="89"/>
        <v>0</v>
      </c>
      <c r="AH127" s="318">
        <f t="shared" si="64"/>
        <v>0</v>
      </c>
      <c r="AI127" s="318">
        <f t="shared" si="65"/>
        <v>0</v>
      </c>
      <c r="AJ127" s="318">
        <f t="shared" si="66"/>
        <v>0</v>
      </c>
      <c r="AK127" s="318">
        <f t="shared" si="67"/>
        <v>0</v>
      </c>
      <c r="AL127" s="318">
        <f t="shared" si="68"/>
        <v>0</v>
      </c>
      <c r="AM127" s="318">
        <f t="shared" si="69"/>
        <v>0</v>
      </c>
      <c r="AN127" s="318">
        <f t="shared" si="70"/>
        <v>0</v>
      </c>
      <c r="AO127" s="318">
        <f t="shared" si="71"/>
        <v>0</v>
      </c>
      <c r="AP127" s="318">
        <f t="shared" si="72"/>
        <v>0</v>
      </c>
      <c r="AQ127" s="318">
        <f t="shared" si="73"/>
        <v>0</v>
      </c>
      <c r="AR127" s="318">
        <f t="shared" si="74"/>
        <v>0</v>
      </c>
      <c r="AS127" s="318">
        <f t="shared" si="75"/>
        <v>0</v>
      </c>
      <c r="AT127" s="318">
        <f t="shared" si="76"/>
        <v>0</v>
      </c>
      <c r="AU127" s="318">
        <f t="shared" si="77"/>
        <v>0</v>
      </c>
      <c r="AV127" s="318">
        <f t="shared" si="78"/>
        <v>0</v>
      </c>
      <c r="AW127" s="318">
        <f t="shared" si="79"/>
        <v>0</v>
      </c>
      <c r="AX127" s="318">
        <f t="shared" si="80"/>
        <v>0</v>
      </c>
      <c r="AY127" s="318">
        <f t="shared" si="81"/>
        <v>0</v>
      </c>
      <c r="AZ127" s="318">
        <f t="shared" si="82"/>
        <v>0</v>
      </c>
      <c r="BA127" s="318">
        <f t="shared" si="83"/>
        <v>0</v>
      </c>
    </row>
    <row r="128" spans="1:53" s="315" customFormat="1" ht="15.75" customHeight="1">
      <c r="A128" s="63" t="str">
        <f t="array" ref="A128">IF(C128&lt;&gt;0,SUM(($C$11:C128&lt;&gt;0)*1),"")</f>
        <v/>
      </c>
      <c r="B128" s="316"/>
      <c r="C128" s="316"/>
      <c r="D128" s="316"/>
      <c r="E128" s="436"/>
      <c r="F128" s="372"/>
      <c r="G128" s="374"/>
      <c r="H128" s="374"/>
      <c r="I128" s="63" t="str">
        <f t="shared" si="91"/>
        <v/>
      </c>
      <c r="J128" s="318">
        <f t="shared" si="46"/>
        <v>0</v>
      </c>
      <c r="K128" s="318">
        <f t="shared" si="47"/>
        <v>0</v>
      </c>
      <c r="L128" s="318">
        <f t="shared" si="48"/>
        <v>0</v>
      </c>
      <c r="M128" s="318">
        <f t="shared" si="49"/>
        <v>0</v>
      </c>
      <c r="N128" s="318">
        <f t="shared" si="84"/>
        <v>0</v>
      </c>
      <c r="O128" s="318">
        <f t="shared" si="85"/>
        <v>0</v>
      </c>
      <c r="P128" s="318">
        <f t="shared" si="50"/>
        <v>0</v>
      </c>
      <c r="Q128" s="318">
        <f t="shared" si="51"/>
        <v>0</v>
      </c>
      <c r="R128" s="318">
        <f t="shared" si="52"/>
        <v>0</v>
      </c>
      <c r="S128" s="318">
        <f t="shared" si="53"/>
        <v>0</v>
      </c>
      <c r="T128" s="318">
        <f t="shared" si="86"/>
        <v>0</v>
      </c>
      <c r="U128" s="318">
        <f t="shared" si="87"/>
        <v>0</v>
      </c>
      <c r="V128" s="318">
        <f t="shared" si="54"/>
        <v>0</v>
      </c>
      <c r="W128" s="318">
        <f t="shared" si="55"/>
        <v>0</v>
      </c>
      <c r="X128" s="318">
        <f t="shared" si="56"/>
        <v>0</v>
      </c>
      <c r="Y128" s="318">
        <f t="shared" si="57"/>
        <v>0</v>
      </c>
      <c r="Z128" s="318">
        <f t="shared" si="58"/>
        <v>0</v>
      </c>
      <c r="AA128" s="318">
        <f t="shared" si="59"/>
        <v>0</v>
      </c>
      <c r="AB128" s="318">
        <f t="shared" si="60"/>
        <v>0</v>
      </c>
      <c r="AC128" s="318">
        <f t="shared" si="61"/>
        <v>0</v>
      </c>
      <c r="AD128" s="318">
        <f t="shared" si="62"/>
        <v>0</v>
      </c>
      <c r="AE128" s="318">
        <f t="shared" si="63"/>
        <v>0</v>
      </c>
      <c r="AF128" s="318">
        <f t="shared" si="88"/>
        <v>0</v>
      </c>
      <c r="AG128" s="318">
        <f t="shared" si="89"/>
        <v>0</v>
      </c>
      <c r="AH128" s="318">
        <f t="shared" si="64"/>
        <v>0</v>
      </c>
      <c r="AI128" s="318">
        <f t="shared" si="65"/>
        <v>0</v>
      </c>
      <c r="AJ128" s="318">
        <f t="shared" si="66"/>
        <v>0</v>
      </c>
      <c r="AK128" s="318">
        <f t="shared" si="67"/>
        <v>0</v>
      </c>
      <c r="AL128" s="318">
        <f t="shared" si="68"/>
        <v>0</v>
      </c>
      <c r="AM128" s="318">
        <f t="shared" si="69"/>
        <v>0</v>
      </c>
      <c r="AN128" s="318">
        <f t="shared" si="70"/>
        <v>0</v>
      </c>
      <c r="AO128" s="318">
        <f t="shared" si="71"/>
        <v>0</v>
      </c>
      <c r="AP128" s="318">
        <f t="shared" si="72"/>
        <v>0</v>
      </c>
      <c r="AQ128" s="318">
        <f t="shared" si="73"/>
        <v>0</v>
      </c>
      <c r="AR128" s="318">
        <f t="shared" si="74"/>
        <v>0</v>
      </c>
      <c r="AS128" s="318">
        <f t="shared" si="75"/>
        <v>0</v>
      </c>
      <c r="AT128" s="318">
        <f t="shared" si="76"/>
        <v>0</v>
      </c>
      <c r="AU128" s="318">
        <f t="shared" si="77"/>
        <v>0</v>
      </c>
      <c r="AV128" s="318">
        <f t="shared" si="78"/>
        <v>0</v>
      </c>
      <c r="AW128" s="318">
        <f t="shared" si="79"/>
        <v>0</v>
      </c>
      <c r="AX128" s="318">
        <f t="shared" si="80"/>
        <v>0</v>
      </c>
      <c r="AY128" s="318">
        <f t="shared" si="81"/>
        <v>0</v>
      </c>
      <c r="AZ128" s="318">
        <f t="shared" si="82"/>
        <v>0</v>
      </c>
      <c r="BA128" s="318">
        <f t="shared" si="83"/>
        <v>0</v>
      </c>
    </row>
    <row r="129" spans="1:53" s="315" customFormat="1" ht="15.75" customHeight="1">
      <c r="A129" s="63" t="str">
        <f t="array" ref="A129">IF(C129&lt;&gt;0,SUM(($C$11:C129&lt;&gt;0)*1),"")</f>
        <v/>
      </c>
      <c r="B129" s="316"/>
      <c r="C129" s="316"/>
      <c r="D129" s="316"/>
      <c r="E129" s="436"/>
      <c r="F129" s="372"/>
      <c r="G129" s="374"/>
      <c r="H129" s="374"/>
      <c r="I129" s="63" t="str">
        <f t="shared" si="91"/>
        <v/>
      </c>
      <c r="J129" s="318">
        <f t="shared" si="46"/>
        <v>0</v>
      </c>
      <c r="K129" s="318">
        <f t="shared" si="47"/>
        <v>0</v>
      </c>
      <c r="L129" s="318">
        <f t="shared" si="48"/>
        <v>0</v>
      </c>
      <c r="M129" s="318">
        <f t="shared" si="49"/>
        <v>0</v>
      </c>
      <c r="N129" s="318">
        <f t="shared" si="84"/>
        <v>0</v>
      </c>
      <c r="O129" s="318">
        <f t="shared" si="85"/>
        <v>0</v>
      </c>
      <c r="P129" s="318">
        <f t="shared" si="50"/>
        <v>0</v>
      </c>
      <c r="Q129" s="318">
        <f t="shared" si="51"/>
        <v>0</v>
      </c>
      <c r="R129" s="318">
        <f t="shared" si="52"/>
        <v>0</v>
      </c>
      <c r="S129" s="318">
        <f t="shared" si="53"/>
        <v>0</v>
      </c>
      <c r="T129" s="318">
        <f t="shared" si="86"/>
        <v>0</v>
      </c>
      <c r="U129" s="318">
        <f t="shared" si="87"/>
        <v>0</v>
      </c>
      <c r="V129" s="318">
        <f t="shared" si="54"/>
        <v>0</v>
      </c>
      <c r="W129" s="318">
        <f t="shared" si="55"/>
        <v>0</v>
      </c>
      <c r="X129" s="318">
        <f t="shared" si="56"/>
        <v>0</v>
      </c>
      <c r="Y129" s="318">
        <f t="shared" si="57"/>
        <v>0</v>
      </c>
      <c r="Z129" s="318">
        <f t="shared" si="58"/>
        <v>0</v>
      </c>
      <c r="AA129" s="318">
        <f t="shared" si="59"/>
        <v>0</v>
      </c>
      <c r="AB129" s="318">
        <f t="shared" si="60"/>
        <v>0</v>
      </c>
      <c r="AC129" s="318">
        <f t="shared" si="61"/>
        <v>0</v>
      </c>
      <c r="AD129" s="318">
        <f t="shared" si="62"/>
        <v>0</v>
      </c>
      <c r="AE129" s="318">
        <f t="shared" si="63"/>
        <v>0</v>
      </c>
      <c r="AF129" s="318">
        <f t="shared" si="88"/>
        <v>0</v>
      </c>
      <c r="AG129" s="318">
        <f t="shared" si="89"/>
        <v>0</v>
      </c>
      <c r="AH129" s="318">
        <f t="shared" si="64"/>
        <v>0</v>
      </c>
      <c r="AI129" s="318">
        <f t="shared" si="65"/>
        <v>0</v>
      </c>
      <c r="AJ129" s="318">
        <f t="shared" si="66"/>
        <v>0</v>
      </c>
      <c r="AK129" s="318">
        <f t="shared" si="67"/>
        <v>0</v>
      </c>
      <c r="AL129" s="318">
        <f t="shared" si="68"/>
        <v>0</v>
      </c>
      <c r="AM129" s="318">
        <f t="shared" si="69"/>
        <v>0</v>
      </c>
      <c r="AN129" s="318">
        <f t="shared" si="70"/>
        <v>0</v>
      </c>
      <c r="AO129" s="318">
        <f t="shared" si="71"/>
        <v>0</v>
      </c>
      <c r="AP129" s="318">
        <f t="shared" si="72"/>
        <v>0</v>
      </c>
      <c r="AQ129" s="318">
        <f t="shared" si="73"/>
        <v>0</v>
      </c>
      <c r="AR129" s="318">
        <f t="shared" si="74"/>
        <v>0</v>
      </c>
      <c r="AS129" s="318">
        <f t="shared" si="75"/>
        <v>0</v>
      </c>
      <c r="AT129" s="318">
        <f t="shared" si="76"/>
        <v>0</v>
      </c>
      <c r="AU129" s="318">
        <f t="shared" si="77"/>
        <v>0</v>
      </c>
      <c r="AV129" s="318">
        <f t="shared" si="78"/>
        <v>0</v>
      </c>
      <c r="AW129" s="318">
        <f t="shared" si="79"/>
        <v>0</v>
      </c>
      <c r="AX129" s="318">
        <f t="shared" si="80"/>
        <v>0</v>
      </c>
      <c r="AY129" s="318">
        <f t="shared" si="81"/>
        <v>0</v>
      </c>
      <c r="AZ129" s="318">
        <f t="shared" si="82"/>
        <v>0</v>
      </c>
      <c r="BA129" s="318">
        <f t="shared" si="83"/>
        <v>0</v>
      </c>
    </row>
    <row r="130" spans="1:53" s="315" customFormat="1" ht="15.75" customHeight="1">
      <c r="A130" s="63" t="str">
        <f t="array" ref="A130">IF(C130&lt;&gt;0,SUM(($C$11:C130&lt;&gt;0)*1),"")</f>
        <v/>
      </c>
      <c r="B130" s="316"/>
      <c r="C130" s="316"/>
      <c r="D130" s="316"/>
      <c r="E130" s="436"/>
      <c r="F130" s="372"/>
      <c r="G130" s="374"/>
      <c r="H130" s="374"/>
      <c r="I130" s="63" t="str">
        <f t="shared" si="91"/>
        <v/>
      </c>
      <c r="J130" s="318">
        <f t="shared" si="46"/>
        <v>0</v>
      </c>
      <c r="K130" s="318">
        <f t="shared" si="47"/>
        <v>0</v>
      </c>
      <c r="L130" s="318">
        <f t="shared" si="48"/>
        <v>0</v>
      </c>
      <c r="M130" s="318">
        <f t="shared" si="49"/>
        <v>0</v>
      </c>
      <c r="N130" s="318">
        <f t="shared" si="84"/>
        <v>0</v>
      </c>
      <c r="O130" s="318">
        <f t="shared" si="85"/>
        <v>0</v>
      </c>
      <c r="P130" s="318">
        <f t="shared" si="50"/>
        <v>0</v>
      </c>
      <c r="Q130" s="318">
        <f t="shared" si="51"/>
        <v>0</v>
      </c>
      <c r="R130" s="318">
        <f t="shared" si="52"/>
        <v>0</v>
      </c>
      <c r="S130" s="318">
        <f t="shared" si="53"/>
        <v>0</v>
      </c>
      <c r="T130" s="318">
        <f t="shared" si="86"/>
        <v>0</v>
      </c>
      <c r="U130" s="318">
        <f t="shared" si="87"/>
        <v>0</v>
      </c>
      <c r="V130" s="318">
        <f t="shared" si="54"/>
        <v>0</v>
      </c>
      <c r="W130" s="318">
        <f t="shared" si="55"/>
        <v>0</v>
      </c>
      <c r="X130" s="318">
        <f t="shared" si="56"/>
        <v>0</v>
      </c>
      <c r="Y130" s="318">
        <f t="shared" si="57"/>
        <v>0</v>
      </c>
      <c r="Z130" s="318">
        <f t="shared" si="58"/>
        <v>0</v>
      </c>
      <c r="AA130" s="318">
        <f t="shared" si="59"/>
        <v>0</v>
      </c>
      <c r="AB130" s="318">
        <f t="shared" si="60"/>
        <v>0</v>
      </c>
      <c r="AC130" s="318">
        <f t="shared" si="61"/>
        <v>0</v>
      </c>
      <c r="AD130" s="318">
        <f t="shared" si="62"/>
        <v>0</v>
      </c>
      <c r="AE130" s="318">
        <f t="shared" si="63"/>
        <v>0</v>
      </c>
      <c r="AF130" s="318">
        <f t="shared" si="88"/>
        <v>0</v>
      </c>
      <c r="AG130" s="318">
        <f t="shared" si="89"/>
        <v>0</v>
      </c>
      <c r="AH130" s="318">
        <f t="shared" si="64"/>
        <v>0</v>
      </c>
      <c r="AI130" s="318">
        <f t="shared" si="65"/>
        <v>0</v>
      </c>
      <c r="AJ130" s="318">
        <f t="shared" si="66"/>
        <v>0</v>
      </c>
      <c r="AK130" s="318">
        <f t="shared" si="67"/>
        <v>0</v>
      </c>
      <c r="AL130" s="318">
        <f t="shared" si="68"/>
        <v>0</v>
      </c>
      <c r="AM130" s="318">
        <f t="shared" si="69"/>
        <v>0</v>
      </c>
      <c r="AN130" s="318">
        <f t="shared" si="70"/>
        <v>0</v>
      </c>
      <c r="AO130" s="318">
        <f t="shared" si="71"/>
        <v>0</v>
      </c>
      <c r="AP130" s="318">
        <f t="shared" si="72"/>
        <v>0</v>
      </c>
      <c r="AQ130" s="318">
        <f t="shared" si="73"/>
        <v>0</v>
      </c>
      <c r="AR130" s="318">
        <f t="shared" si="74"/>
        <v>0</v>
      </c>
      <c r="AS130" s="318">
        <f t="shared" si="75"/>
        <v>0</v>
      </c>
      <c r="AT130" s="318">
        <f t="shared" si="76"/>
        <v>0</v>
      </c>
      <c r="AU130" s="318">
        <f t="shared" si="77"/>
        <v>0</v>
      </c>
      <c r="AV130" s="318">
        <f t="shared" si="78"/>
        <v>0</v>
      </c>
      <c r="AW130" s="318">
        <f t="shared" si="79"/>
        <v>0</v>
      </c>
      <c r="AX130" s="318">
        <f t="shared" si="80"/>
        <v>0</v>
      </c>
      <c r="AY130" s="318">
        <f t="shared" si="81"/>
        <v>0</v>
      </c>
      <c r="AZ130" s="318">
        <f t="shared" si="82"/>
        <v>0</v>
      </c>
      <c r="BA130" s="318">
        <f t="shared" si="83"/>
        <v>0</v>
      </c>
    </row>
    <row r="131" spans="1:53" s="315" customFormat="1" ht="15.75" customHeight="1">
      <c r="A131" s="63" t="str">
        <f t="array" ref="A131">IF(C131&lt;&gt;0,SUM(($C$11:C131&lt;&gt;0)*1),"")</f>
        <v/>
      </c>
      <c r="B131" s="316"/>
      <c r="C131" s="316"/>
      <c r="D131" s="316"/>
      <c r="E131" s="436"/>
      <c r="F131" s="372"/>
      <c r="G131" s="374"/>
      <c r="H131" s="374"/>
      <c r="I131" s="63" t="str">
        <f t="shared" si="91"/>
        <v/>
      </c>
      <c r="J131" s="318">
        <f t="shared" si="46"/>
        <v>0</v>
      </c>
      <c r="K131" s="318">
        <f t="shared" si="47"/>
        <v>0</v>
      </c>
      <c r="L131" s="318">
        <f t="shared" si="48"/>
        <v>0</v>
      </c>
      <c r="M131" s="318">
        <f t="shared" si="49"/>
        <v>0</v>
      </c>
      <c r="N131" s="318">
        <f t="shared" si="84"/>
        <v>0</v>
      </c>
      <c r="O131" s="318">
        <f t="shared" si="85"/>
        <v>0</v>
      </c>
      <c r="P131" s="318">
        <f t="shared" si="50"/>
        <v>0</v>
      </c>
      <c r="Q131" s="318">
        <f t="shared" si="51"/>
        <v>0</v>
      </c>
      <c r="R131" s="318">
        <f t="shared" si="52"/>
        <v>0</v>
      </c>
      <c r="S131" s="318">
        <f t="shared" si="53"/>
        <v>0</v>
      </c>
      <c r="T131" s="318">
        <f t="shared" si="86"/>
        <v>0</v>
      </c>
      <c r="U131" s="318">
        <f t="shared" si="87"/>
        <v>0</v>
      </c>
      <c r="V131" s="318">
        <f t="shared" si="54"/>
        <v>0</v>
      </c>
      <c r="W131" s="318">
        <f t="shared" si="55"/>
        <v>0</v>
      </c>
      <c r="X131" s="318">
        <f t="shared" si="56"/>
        <v>0</v>
      </c>
      <c r="Y131" s="318">
        <f t="shared" si="57"/>
        <v>0</v>
      </c>
      <c r="Z131" s="318">
        <f t="shared" si="58"/>
        <v>0</v>
      </c>
      <c r="AA131" s="318">
        <f t="shared" si="59"/>
        <v>0</v>
      </c>
      <c r="AB131" s="318">
        <f t="shared" si="60"/>
        <v>0</v>
      </c>
      <c r="AC131" s="318">
        <f t="shared" si="61"/>
        <v>0</v>
      </c>
      <c r="AD131" s="318">
        <f t="shared" si="62"/>
        <v>0</v>
      </c>
      <c r="AE131" s="318">
        <f t="shared" si="63"/>
        <v>0</v>
      </c>
      <c r="AF131" s="318">
        <f t="shared" si="88"/>
        <v>0</v>
      </c>
      <c r="AG131" s="318">
        <f t="shared" si="89"/>
        <v>0</v>
      </c>
      <c r="AH131" s="318">
        <f t="shared" si="64"/>
        <v>0</v>
      </c>
      <c r="AI131" s="318">
        <f t="shared" si="65"/>
        <v>0</v>
      </c>
      <c r="AJ131" s="318">
        <f t="shared" si="66"/>
        <v>0</v>
      </c>
      <c r="AK131" s="318">
        <f t="shared" si="67"/>
        <v>0</v>
      </c>
      <c r="AL131" s="318">
        <f t="shared" si="68"/>
        <v>0</v>
      </c>
      <c r="AM131" s="318">
        <f t="shared" si="69"/>
        <v>0</v>
      </c>
      <c r="AN131" s="318">
        <f t="shared" si="70"/>
        <v>0</v>
      </c>
      <c r="AO131" s="318">
        <f t="shared" si="71"/>
        <v>0</v>
      </c>
      <c r="AP131" s="318">
        <f t="shared" si="72"/>
        <v>0</v>
      </c>
      <c r="AQ131" s="318">
        <f t="shared" si="73"/>
        <v>0</v>
      </c>
      <c r="AR131" s="318">
        <f t="shared" si="74"/>
        <v>0</v>
      </c>
      <c r="AS131" s="318">
        <f t="shared" si="75"/>
        <v>0</v>
      </c>
      <c r="AT131" s="318">
        <f t="shared" si="76"/>
        <v>0</v>
      </c>
      <c r="AU131" s="318">
        <f t="shared" si="77"/>
        <v>0</v>
      </c>
      <c r="AV131" s="318">
        <f t="shared" si="78"/>
        <v>0</v>
      </c>
      <c r="AW131" s="318">
        <f t="shared" si="79"/>
        <v>0</v>
      </c>
      <c r="AX131" s="318">
        <f t="shared" si="80"/>
        <v>0</v>
      </c>
      <c r="AY131" s="318">
        <f t="shared" si="81"/>
        <v>0</v>
      </c>
      <c r="AZ131" s="318">
        <f t="shared" si="82"/>
        <v>0</v>
      </c>
      <c r="BA131" s="318">
        <f t="shared" si="83"/>
        <v>0</v>
      </c>
    </row>
    <row r="132" spans="1:53" s="315" customFormat="1" ht="15.75" customHeight="1">
      <c r="A132" s="63" t="str">
        <f t="array" ref="A132">IF(C132&lt;&gt;0,SUM(($C$11:C132&lt;&gt;0)*1),"")</f>
        <v/>
      </c>
      <c r="B132" s="316"/>
      <c r="C132" s="316"/>
      <c r="D132" s="316"/>
      <c r="E132" s="436"/>
      <c r="F132" s="372"/>
      <c r="G132" s="374"/>
      <c r="H132" s="374"/>
      <c r="I132" s="63" t="str">
        <f t="shared" si="91"/>
        <v/>
      </c>
      <c r="J132" s="318">
        <f t="shared" si="46"/>
        <v>0</v>
      </c>
      <c r="K132" s="318">
        <f t="shared" si="47"/>
        <v>0</v>
      </c>
      <c r="L132" s="318">
        <f t="shared" si="48"/>
        <v>0</v>
      </c>
      <c r="M132" s="318">
        <f t="shared" si="49"/>
        <v>0</v>
      </c>
      <c r="N132" s="318">
        <f t="shared" si="84"/>
        <v>0</v>
      </c>
      <c r="O132" s="318">
        <f t="shared" si="85"/>
        <v>0</v>
      </c>
      <c r="P132" s="318">
        <f t="shared" si="50"/>
        <v>0</v>
      </c>
      <c r="Q132" s="318">
        <f t="shared" si="51"/>
        <v>0</v>
      </c>
      <c r="R132" s="318">
        <f t="shared" si="52"/>
        <v>0</v>
      </c>
      <c r="S132" s="318">
        <f t="shared" si="53"/>
        <v>0</v>
      </c>
      <c r="T132" s="318">
        <f t="shared" si="86"/>
        <v>0</v>
      </c>
      <c r="U132" s="318">
        <f t="shared" si="87"/>
        <v>0</v>
      </c>
      <c r="V132" s="318">
        <f t="shared" si="54"/>
        <v>0</v>
      </c>
      <c r="W132" s="318">
        <f t="shared" si="55"/>
        <v>0</v>
      </c>
      <c r="X132" s="318">
        <f t="shared" si="56"/>
        <v>0</v>
      </c>
      <c r="Y132" s="318">
        <f t="shared" si="57"/>
        <v>0</v>
      </c>
      <c r="Z132" s="318">
        <f t="shared" si="58"/>
        <v>0</v>
      </c>
      <c r="AA132" s="318">
        <f t="shared" si="59"/>
        <v>0</v>
      </c>
      <c r="AB132" s="318">
        <f t="shared" si="60"/>
        <v>0</v>
      </c>
      <c r="AC132" s="318">
        <f t="shared" si="61"/>
        <v>0</v>
      </c>
      <c r="AD132" s="318">
        <f t="shared" si="62"/>
        <v>0</v>
      </c>
      <c r="AE132" s="318">
        <f t="shared" si="63"/>
        <v>0</v>
      </c>
      <c r="AF132" s="318">
        <f t="shared" si="88"/>
        <v>0</v>
      </c>
      <c r="AG132" s="318">
        <f t="shared" si="89"/>
        <v>0</v>
      </c>
      <c r="AH132" s="318">
        <f t="shared" si="64"/>
        <v>0</v>
      </c>
      <c r="AI132" s="318">
        <f t="shared" si="65"/>
        <v>0</v>
      </c>
      <c r="AJ132" s="318">
        <f t="shared" si="66"/>
        <v>0</v>
      </c>
      <c r="AK132" s="318">
        <f t="shared" si="67"/>
        <v>0</v>
      </c>
      <c r="AL132" s="318">
        <f t="shared" si="68"/>
        <v>0</v>
      </c>
      <c r="AM132" s="318">
        <f t="shared" si="69"/>
        <v>0</v>
      </c>
      <c r="AN132" s="318">
        <f t="shared" si="70"/>
        <v>0</v>
      </c>
      <c r="AO132" s="318">
        <f t="shared" si="71"/>
        <v>0</v>
      </c>
      <c r="AP132" s="318">
        <f t="shared" si="72"/>
        <v>0</v>
      </c>
      <c r="AQ132" s="318">
        <f t="shared" si="73"/>
        <v>0</v>
      </c>
      <c r="AR132" s="318">
        <f t="shared" si="74"/>
        <v>0</v>
      </c>
      <c r="AS132" s="318">
        <f t="shared" si="75"/>
        <v>0</v>
      </c>
      <c r="AT132" s="318">
        <f t="shared" si="76"/>
        <v>0</v>
      </c>
      <c r="AU132" s="318">
        <f t="shared" si="77"/>
        <v>0</v>
      </c>
      <c r="AV132" s="318">
        <f t="shared" si="78"/>
        <v>0</v>
      </c>
      <c r="AW132" s="318">
        <f t="shared" si="79"/>
        <v>0</v>
      </c>
      <c r="AX132" s="318">
        <f t="shared" si="80"/>
        <v>0</v>
      </c>
      <c r="AY132" s="318">
        <f t="shared" si="81"/>
        <v>0</v>
      </c>
      <c r="AZ132" s="318">
        <f t="shared" si="82"/>
        <v>0</v>
      </c>
      <c r="BA132" s="318">
        <f t="shared" si="83"/>
        <v>0</v>
      </c>
    </row>
    <row r="133" spans="1:53" s="315" customFormat="1" ht="15.75" customHeight="1">
      <c r="A133" s="63" t="str">
        <f t="array" ref="A133">IF(C133&lt;&gt;0,SUM(($C$11:C133&lt;&gt;0)*1),"")</f>
        <v/>
      </c>
      <c r="B133" s="316"/>
      <c r="C133" s="316"/>
      <c r="D133" s="316"/>
      <c r="E133" s="436"/>
      <c r="F133" s="372"/>
      <c r="G133" s="374"/>
      <c r="H133" s="374"/>
      <c r="I133" s="63" t="str">
        <f t="shared" si="91"/>
        <v/>
      </c>
      <c r="J133" s="318">
        <f t="shared" si="46"/>
        <v>0</v>
      </c>
      <c r="K133" s="318">
        <f t="shared" si="47"/>
        <v>0</v>
      </c>
      <c r="L133" s="318">
        <f t="shared" si="48"/>
        <v>0</v>
      </c>
      <c r="M133" s="318">
        <f t="shared" si="49"/>
        <v>0</v>
      </c>
      <c r="N133" s="318">
        <f t="shared" si="84"/>
        <v>0</v>
      </c>
      <c r="O133" s="318">
        <f t="shared" si="85"/>
        <v>0</v>
      </c>
      <c r="P133" s="318">
        <f t="shared" si="50"/>
        <v>0</v>
      </c>
      <c r="Q133" s="318">
        <f t="shared" si="51"/>
        <v>0</v>
      </c>
      <c r="R133" s="318">
        <f t="shared" si="52"/>
        <v>0</v>
      </c>
      <c r="S133" s="318">
        <f t="shared" si="53"/>
        <v>0</v>
      </c>
      <c r="T133" s="318">
        <f t="shared" si="86"/>
        <v>0</v>
      </c>
      <c r="U133" s="318">
        <f t="shared" si="87"/>
        <v>0</v>
      </c>
      <c r="V133" s="318">
        <f t="shared" si="54"/>
        <v>0</v>
      </c>
      <c r="W133" s="318">
        <f t="shared" si="55"/>
        <v>0</v>
      </c>
      <c r="X133" s="318">
        <f t="shared" si="56"/>
        <v>0</v>
      </c>
      <c r="Y133" s="318">
        <f t="shared" si="57"/>
        <v>0</v>
      </c>
      <c r="Z133" s="318">
        <f t="shared" si="58"/>
        <v>0</v>
      </c>
      <c r="AA133" s="318">
        <f t="shared" si="59"/>
        <v>0</v>
      </c>
      <c r="AB133" s="318">
        <f t="shared" si="60"/>
        <v>0</v>
      </c>
      <c r="AC133" s="318">
        <f t="shared" si="61"/>
        <v>0</v>
      </c>
      <c r="AD133" s="318">
        <f t="shared" si="62"/>
        <v>0</v>
      </c>
      <c r="AE133" s="318">
        <f t="shared" si="63"/>
        <v>0</v>
      </c>
      <c r="AF133" s="318">
        <f t="shared" si="88"/>
        <v>0</v>
      </c>
      <c r="AG133" s="318">
        <f t="shared" si="89"/>
        <v>0</v>
      </c>
      <c r="AH133" s="318">
        <f t="shared" si="64"/>
        <v>0</v>
      </c>
      <c r="AI133" s="318">
        <f t="shared" si="65"/>
        <v>0</v>
      </c>
      <c r="AJ133" s="318">
        <f t="shared" si="66"/>
        <v>0</v>
      </c>
      <c r="AK133" s="318">
        <f t="shared" si="67"/>
        <v>0</v>
      </c>
      <c r="AL133" s="318">
        <f t="shared" si="68"/>
        <v>0</v>
      </c>
      <c r="AM133" s="318">
        <f t="shared" si="69"/>
        <v>0</v>
      </c>
      <c r="AN133" s="318">
        <f t="shared" si="70"/>
        <v>0</v>
      </c>
      <c r="AO133" s="318">
        <f t="shared" si="71"/>
        <v>0</v>
      </c>
      <c r="AP133" s="318">
        <f t="shared" si="72"/>
        <v>0</v>
      </c>
      <c r="AQ133" s="318">
        <f t="shared" si="73"/>
        <v>0</v>
      </c>
      <c r="AR133" s="318">
        <f t="shared" si="74"/>
        <v>0</v>
      </c>
      <c r="AS133" s="318">
        <f t="shared" si="75"/>
        <v>0</v>
      </c>
      <c r="AT133" s="318">
        <f t="shared" si="76"/>
        <v>0</v>
      </c>
      <c r="AU133" s="318">
        <f t="shared" si="77"/>
        <v>0</v>
      </c>
      <c r="AV133" s="318">
        <f t="shared" si="78"/>
        <v>0</v>
      </c>
      <c r="AW133" s="318">
        <f t="shared" si="79"/>
        <v>0</v>
      </c>
      <c r="AX133" s="318">
        <f t="shared" si="80"/>
        <v>0</v>
      </c>
      <c r="AY133" s="318">
        <f t="shared" si="81"/>
        <v>0</v>
      </c>
      <c r="AZ133" s="318">
        <f t="shared" si="82"/>
        <v>0</v>
      </c>
      <c r="BA133" s="318">
        <f t="shared" si="83"/>
        <v>0</v>
      </c>
    </row>
    <row r="134" spans="1:53" s="315" customFormat="1" ht="15.75" customHeight="1">
      <c r="A134" s="63" t="str">
        <f t="array" ref="A134">IF(C134&lt;&gt;0,SUM(($C$11:C134&lt;&gt;0)*1),"")</f>
        <v/>
      </c>
      <c r="B134" s="316"/>
      <c r="C134" s="316"/>
      <c r="D134" s="316"/>
      <c r="E134" s="436"/>
      <c r="F134" s="372"/>
      <c r="G134" s="374"/>
      <c r="H134" s="374"/>
      <c r="I134" s="63" t="str">
        <f t="shared" si="91"/>
        <v/>
      </c>
      <c r="J134" s="318">
        <f t="shared" si="46"/>
        <v>0</v>
      </c>
      <c r="K134" s="318">
        <f t="shared" si="47"/>
        <v>0</v>
      </c>
      <c r="L134" s="318">
        <f t="shared" si="48"/>
        <v>0</v>
      </c>
      <c r="M134" s="318">
        <f t="shared" si="49"/>
        <v>0</v>
      </c>
      <c r="N134" s="318">
        <f t="shared" si="84"/>
        <v>0</v>
      </c>
      <c r="O134" s="318">
        <f t="shared" si="85"/>
        <v>0</v>
      </c>
      <c r="P134" s="318">
        <f t="shared" si="50"/>
        <v>0</v>
      </c>
      <c r="Q134" s="318">
        <f t="shared" si="51"/>
        <v>0</v>
      </c>
      <c r="R134" s="318">
        <f t="shared" si="52"/>
        <v>0</v>
      </c>
      <c r="S134" s="318">
        <f t="shared" si="53"/>
        <v>0</v>
      </c>
      <c r="T134" s="318">
        <f t="shared" si="86"/>
        <v>0</v>
      </c>
      <c r="U134" s="318">
        <f t="shared" si="87"/>
        <v>0</v>
      </c>
      <c r="V134" s="318">
        <f t="shared" si="54"/>
        <v>0</v>
      </c>
      <c r="W134" s="318">
        <f t="shared" si="55"/>
        <v>0</v>
      </c>
      <c r="X134" s="318">
        <f t="shared" si="56"/>
        <v>0</v>
      </c>
      <c r="Y134" s="318">
        <f t="shared" si="57"/>
        <v>0</v>
      </c>
      <c r="Z134" s="318">
        <f t="shared" si="58"/>
        <v>0</v>
      </c>
      <c r="AA134" s="318">
        <f t="shared" si="59"/>
        <v>0</v>
      </c>
      <c r="AB134" s="318">
        <f t="shared" si="60"/>
        <v>0</v>
      </c>
      <c r="AC134" s="318">
        <f t="shared" si="61"/>
        <v>0</v>
      </c>
      <c r="AD134" s="318">
        <f t="shared" si="62"/>
        <v>0</v>
      </c>
      <c r="AE134" s="318">
        <f t="shared" si="63"/>
        <v>0</v>
      </c>
      <c r="AF134" s="318">
        <f t="shared" si="88"/>
        <v>0</v>
      </c>
      <c r="AG134" s="318">
        <f t="shared" si="89"/>
        <v>0</v>
      </c>
      <c r="AH134" s="318">
        <f t="shared" si="64"/>
        <v>0</v>
      </c>
      <c r="AI134" s="318">
        <f t="shared" si="65"/>
        <v>0</v>
      </c>
      <c r="AJ134" s="318">
        <f t="shared" si="66"/>
        <v>0</v>
      </c>
      <c r="AK134" s="318">
        <f t="shared" si="67"/>
        <v>0</v>
      </c>
      <c r="AL134" s="318">
        <f t="shared" si="68"/>
        <v>0</v>
      </c>
      <c r="AM134" s="318">
        <f t="shared" si="69"/>
        <v>0</v>
      </c>
      <c r="AN134" s="318">
        <f t="shared" si="70"/>
        <v>0</v>
      </c>
      <c r="AO134" s="318">
        <f t="shared" si="71"/>
        <v>0</v>
      </c>
      <c r="AP134" s="318">
        <f t="shared" si="72"/>
        <v>0</v>
      </c>
      <c r="AQ134" s="318">
        <f t="shared" si="73"/>
        <v>0</v>
      </c>
      <c r="AR134" s="318">
        <f t="shared" si="74"/>
        <v>0</v>
      </c>
      <c r="AS134" s="318">
        <f t="shared" si="75"/>
        <v>0</v>
      </c>
      <c r="AT134" s="318">
        <f t="shared" si="76"/>
        <v>0</v>
      </c>
      <c r="AU134" s="318">
        <f t="shared" si="77"/>
        <v>0</v>
      </c>
      <c r="AV134" s="318">
        <f t="shared" si="78"/>
        <v>0</v>
      </c>
      <c r="AW134" s="318">
        <f t="shared" si="79"/>
        <v>0</v>
      </c>
      <c r="AX134" s="318">
        <f t="shared" si="80"/>
        <v>0</v>
      </c>
      <c r="AY134" s="318">
        <f t="shared" si="81"/>
        <v>0</v>
      </c>
      <c r="AZ134" s="318">
        <f t="shared" si="82"/>
        <v>0</v>
      </c>
      <c r="BA134" s="318">
        <f t="shared" si="83"/>
        <v>0</v>
      </c>
    </row>
    <row r="135" spans="1:53" s="315" customFormat="1" ht="15.75" customHeight="1">
      <c r="A135" s="63" t="str">
        <f t="array" ref="A135">IF(C135&lt;&gt;0,SUM(($C$11:C135&lt;&gt;0)*1),"")</f>
        <v/>
      </c>
      <c r="B135" s="316"/>
      <c r="C135" s="316"/>
      <c r="D135" s="316"/>
      <c r="E135" s="436"/>
      <c r="F135" s="372"/>
      <c r="G135" s="374"/>
      <c r="H135" s="374"/>
      <c r="I135" s="63" t="str">
        <f t="shared" si="91"/>
        <v/>
      </c>
      <c r="J135" s="318">
        <f t="shared" si="46"/>
        <v>0</v>
      </c>
      <c r="K135" s="318">
        <f t="shared" si="47"/>
        <v>0</v>
      </c>
      <c r="L135" s="318">
        <f t="shared" si="48"/>
        <v>0</v>
      </c>
      <c r="M135" s="318">
        <f t="shared" si="49"/>
        <v>0</v>
      </c>
      <c r="N135" s="318">
        <f t="shared" si="84"/>
        <v>0</v>
      </c>
      <c r="O135" s="318">
        <f t="shared" si="85"/>
        <v>0</v>
      </c>
      <c r="P135" s="318">
        <f t="shared" si="50"/>
        <v>0</v>
      </c>
      <c r="Q135" s="318">
        <f t="shared" si="51"/>
        <v>0</v>
      </c>
      <c r="R135" s="318">
        <f t="shared" si="52"/>
        <v>0</v>
      </c>
      <c r="S135" s="318">
        <f t="shared" si="53"/>
        <v>0</v>
      </c>
      <c r="T135" s="318">
        <f t="shared" si="86"/>
        <v>0</v>
      </c>
      <c r="U135" s="318">
        <f t="shared" si="87"/>
        <v>0</v>
      </c>
      <c r="V135" s="318">
        <f t="shared" si="54"/>
        <v>0</v>
      </c>
      <c r="W135" s="318">
        <f t="shared" si="55"/>
        <v>0</v>
      </c>
      <c r="X135" s="318">
        <f t="shared" si="56"/>
        <v>0</v>
      </c>
      <c r="Y135" s="318">
        <f t="shared" si="57"/>
        <v>0</v>
      </c>
      <c r="Z135" s="318">
        <f t="shared" si="58"/>
        <v>0</v>
      </c>
      <c r="AA135" s="318">
        <f t="shared" si="59"/>
        <v>0</v>
      </c>
      <c r="AB135" s="318">
        <f t="shared" si="60"/>
        <v>0</v>
      </c>
      <c r="AC135" s="318">
        <f t="shared" si="61"/>
        <v>0</v>
      </c>
      <c r="AD135" s="318">
        <f t="shared" si="62"/>
        <v>0</v>
      </c>
      <c r="AE135" s="318">
        <f t="shared" si="63"/>
        <v>0</v>
      </c>
      <c r="AF135" s="318">
        <f t="shared" si="88"/>
        <v>0</v>
      </c>
      <c r="AG135" s="318">
        <f t="shared" si="89"/>
        <v>0</v>
      </c>
      <c r="AH135" s="318">
        <f t="shared" si="64"/>
        <v>0</v>
      </c>
      <c r="AI135" s="318">
        <f t="shared" si="65"/>
        <v>0</v>
      </c>
      <c r="AJ135" s="318">
        <f t="shared" si="66"/>
        <v>0</v>
      </c>
      <c r="AK135" s="318">
        <f t="shared" si="67"/>
        <v>0</v>
      </c>
      <c r="AL135" s="318">
        <f t="shared" si="68"/>
        <v>0</v>
      </c>
      <c r="AM135" s="318">
        <f t="shared" si="69"/>
        <v>0</v>
      </c>
      <c r="AN135" s="318">
        <f t="shared" si="70"/>
        <v>0</v>
      </c>
      <c r="AO135" s="318">
        <f t="shared" si="71"/>
        <v>0</v>
      </c>
      <c r="AP135" s="318">
        <f t="shared" si="72"/>
        <v>0</v>
      </c>
      <c r="AQ135" s="318">
        <f t="shared" si="73"/>
        <v>0</v>
      </c>
      <c r="AR135" s="318">
        <f t="shared" si="74"/>
        <v>0</v>
      </c>
      <c r="AS135" s="318">
        <f t="shared" si="75"/>
        <v>0</v>
      </c>
      <c r="AT135" s="318">
        <f t="shared" si="76"/>
        <v>0</v>
      </c>
      <c r="AU135" s="318">
        <f t="shared" si="77"/>
        <v>0</v>
      </c>
      <c r="AV135" s="318">
        <f t="shared" si="78"/>
        <v>0</v>
      </c>
      <c r="AW135" s="318">
        <f t="shared" si="79"/>
        <v>0</v>
      </c>
      <c r="AX135" s="318">
        <f t="shared" si="80"/>
        <v>0</v>
      </c>
      <c r="AY135" s="318">
        <f t="shared" si="81"/>
        <v>0</v>
      </c>
      <c r="AZ135" s="318">
        <f t="shared" si="82"/>
        <v>0</v>
      </c>
      <c r="BA135" s="318">
        <f t="shared" si="83"/>
        <v>0</v>
      </c>
    </row>
    <row r="136" spans="1:53" s="315" customFormat="1" ht="15.75" customHeight="1">
      <c r="A136" s="63" t="str">
        <f t="array" ref="A136">IF(C136&lt;&gt;0,SUM(($C$11:C136&lt;&gt;0)*1),"")</f>
        <v/>
      </c>
      <c r="B136" s="316"/>
      <c r="C136" s="316"/>
      <c r="D136" s="316"/>
      <c r="E136" s="436"/>
      <c r="F136" s="372"/>
      <c r="G136" s="374"/>
      <c r="H136" s="374"/>
      <c r="I136" s="63" t="str">
        <f t="shared" si="91"/>
        <v/>
      </c>
      <c r="J136" s="318">
        <f t="shared" si="46"/>
        <v>0</v>
      </c>
      <c r="K136" s="318">
        <f t="shared" si="47"/>
        <v>0</v>
      </c>
      <c r="L136" s="318">
        <f t="shared" si="48"/>
        <v>0</v>
      </c>
      <c r="M136" s="318">
        <f t="shared" si="49"/>
        <v>0</v>
      </c>
      <c r="N136" s="318">
        <f t="shared" si="84"/>
        <v>0</v>
      </c>
      <c r="O136" s="318">
        <f t="shared" si="85"/>
        <v>0</v>
      </c>
      <c r="P136" s="318">
        <f t="shared" si="50"/>
        <v>0</v>
      </c>
      <c r="Q136" s="318">
        <f t="shared" si="51"/>
        <v>0</v>
      </c>
      <c r="R136" s="318">
        <f t="shared" si="52"/>
        <v>0</v>
      </c>
      <c r="S136" s="318">
        <f t="shared" si="53"/>
        <v>0</v>
      </c>
      <c r="T136" s="318">
        <f t="shared" si="86"/>
        <v>0</v>
      </c>
      <c r="U136" s="318">
        <f t="shared" si="87"/>
        <v>0</v>
      </c>
      <c r="V136" s="318">
        <f t="shared" si="54"/>
        <v>0</v>
      </c>
      <c r="W136" s="318">
        <f t="shared" si="55"/>
        <v>0</v>
      </c>
      <c r="X136" s="318">
        <f t="shared" si="56"/>
        <v>0</v>
      </c>
      <c r="Y136" s="318">
        <f t="shared" si="57"/>
        <v>0</v>
      </c>
      <c r="Z136" s="318">
        <f t="shared" si="58"/>
        <v>0</v>
      </c>
      <c r="AA136" s="318">
        <f t="shared" si="59"/>
        <v>0</v>
      </c>
      <c r="AB136" s="318">
        <f t="shared" si="60"/>
        <v>0</v>
      </c>
      <c r="AC136" s="318">
        <f t="shared" si="61"/>
        <v>0</v>
      </c>
      <c r="AD136" s="318">
        <f t="shared" si="62"/>
        <v>0</v>
      </c>
      <c r="AE136" s="318">
        <f t="shared" si="63"/>
        <v>0</v>
      </c>
      <c r="AF136" s="318">
        <f t="shared" si="88"/>
        <v>0</v>
      </c>
      <c r="AG136" s="318">
        <f t="shared" si="89"/>
        <v>0</v>
      </c>
      <c r="AH136" s="318">
        <f t="shared" si="64"/>
        <v>0</v>
      </c>
      <c r="AI136" s="318">
        <f t="shared" si="65"/>
        <v>0</v>
      </c>
      <c r="AJ136" s="318">
        <f t="shared" si="66"/>
        <v>0</v>
      </c>
      <c r="AK136" s="318">
        <f t="shared" si="67"/>
        <v>0</v>
      </c>
      <c r="AL136" s="318">
        <f t="shared" si="68"/>
        <v>0</v>
      </c>
      <c r="AM136" s="318">
        <f t="shared" si="69"/>
        <v>0</v>
      </c>
      <c r="AN136" s="318">
        <f t="shared" si="70"/>
        <v>0</v>
      </c>
      <c r="AO136" s="318">
        <f t="shared" si="71"/>
        <v>0</v>
      </c>
      <c r="AP136" s="318">
        <f t="shared" si="72"/>
        <v>0</v>
      </c>
      <c r="AQ136" s="318">
        <f t="shared" si="73"/>
        <v>0</v>
      </c>
      <c r="AR136" s="318">
        <f t="shared" si="74"/>
        <v>0</v>
      </c>
      <c r="AS136" s="318">
        <f t="shared" si="75"/>
        <v>0</v>
      </c>
      <c r="AT136" s="318">
        <f t="shared" si="76"/>
        <v>0</v>
      </c>
      <c r="AU136" s="318">
        <f t="shared" si="77"/>
        <v>0</v>
      </c>
      <c r="AV136" s="318">
        <f t="shared" si="78"/>
        <v>0</v>
      </c>
      <c r="AW136" s="318">
        <f t="shared" si="79"/>
        <v>0</v>
      </c>
      <c r="AX136" s="318">
        <f t="shared" si="80"/>
        <v>0</v>
      </c>
      <c r="AY136" s="318">
        <f t="shared" si="81"/>
        <v>0</v>
      </c>
      <c r="AZ136" s="318">
        <f t="shared" si="82"/>
        <v>0</v>
      </c>
      <c r="BA136" s="318">
        <f t="shared" si="83"/>
        <v>0</v>
      </c>
    </row>
    <row r="137" spans="1:53" s="315" customFormat="1" ht="15.75" customHeight="1">
      <c r="A137" s="63" t="str">
        <f t="array" ref="A137">IF(C137&lt;&gt;0,SUM(($C$11:C137&lt;&gt;0)*1),"")</f>
        <v/>
      </c>
      <c r="B137" s="316"/>
      <c r="C137" s="316"/>
      <c r="D137" s="316"/>
      <c r="E137" s="436"/>
      <c r="F137" s="372"/>
      <c r="G137" s="374"/>
      <c r="H137" s="374"/>
      <c r="I137" s="63" t="str">
        <f t="shared" si="91"/>
        <v/>
      </c>
      <c r="J137" s="318">
        <f t="shared" si="46"/>
        <v>0</v>
      </c>
      <c r="K137" s="318">
        <f t="shared" si="47"/>
        <v>0</v>
      </c>
      <c r="L137" s="318">
        <f t="shared" si="48"/>
        <v>0</v>
      </c>
      <c r="M137" s="318">
        <f t="shared" si="49"/>
        <v>0</v>
      </c>
      <c r="N137" s="318">
        <f t="shared" si="84"/>
        <v>0</v>
      </c>
      <c r="O137" s="318">
        <f t="shared" si="85"/>
        <v>0</v>
      </c>
      <c r="P137" s="318">
        <f t="shared" si="50"/>
        <v>0</v>
      </c>
      <c r="Q137" s="318">
        <f t="shared" si="51"/>
        <v>0</v>
      </c>
      <c r="R137" s="318">
        <f t="shared" si="52"/>
        <v>0</v>
      </c>
      <c r="S137" s="318">
        <f t="shared" si="53"/>
        <v>0</v>
      </c>
      <c r="T137" s="318">
        <f t="shared" si="86"/>
        <v>0</v>
      </c>
      <c r="U137" s="318">
        <f t="shared" si="87"/>
        <v>0</v>
      </c>
      <c r="V137" s="318">
        <f t="shared" si="54"/>
        <v>0</v>
      </c>
      <c r="W137" s="318">
        <f t="shared" si="55"/>
        <v>0</v>
      </c>
      <c r="X137" s="318">
        <f t="shared" si="56"/>
        <v>0</v>
      </c>
      <c r="Y137" s="318">
        <f t="shared" si="57"/>
        <v>0</v>
      </c>
      <c r="Z137" s="318">
        <f t="shared" si="58"/>
        <v>0</v>
      </c>
      <c r="AA137" s="318">
        <f t="shared" si="59"/>
        <v>0</v>
      </c>
      <c r="AB137" s="318">
        <f t="shared" si="60"/>
        <v>0</v>
      </c>
      <c r="AC137" s="318">
        <f t="shared" si="61"/>
        <v>0</v>
      </c>
      <c r="AD137" s="318">
        <f t="shared" si="62"/>
        <v>0</v>
      </c>
      <c r="AE137" s="318">
        <f t="shared" si="63"/>
        <v>0</v>
      </c>
      <c r="AF137" s="318">
        <f t="shared" si="88"/>
        <v>0</v>
      </c>
      <c r="AG137" s="318">
        <f t="shared" si="89"/>
        <v>0</v>
      </c>
      <c r="AH137" s="318">
        <f t="shared" si="64"/>
        <v>0</v>
      </c>
      <c r="AI137" s="318">
        <f t="shared" si="65"/>
        <v>0</v>
      </c>
      <c r="AJ137" s="318">
        <f t="shared" si="66"/>
        <v>0</v>
      </c>
      <c r="AK137" s="318">
        <f t="shared" si="67"/>
        <v>0</v>
      </c>
      <c r="AL137" s="318">
        <f t="shared" si="68"/>
        <v>0</v>
      </c>
      <c r="AM137" s="318">
        <f t="shared" si="69"/>
        <v>0</v>
      </c>
      <c r="AN137" s="318">
        <f t="shared" si="70"/>
        <v>0</v>
      </c>
      <c r="AO137" s="318">
        <f t="shared" si="71"/>
        <v>0</v>
      </c>
      <c r="AP137" s="318">
        <f t="shared" si="72"/>
        <v>0</v>
      </c>
      <c r="AQ137" s="318">
        <f t="shared" si="73"/>
        <v>0</v>
      </c>
      <c r="AR137" s="318">
        <f t="shared" si="74"/>
        <v>0</v>
      </c>
      <c r="AS137" s="318">
        <f t="shared" si="75"/>
        <v>0</v>
      </c>
      <c r="AT137" s="318">
        <f t="shared" si="76"/>
        <v>0</v>
      </c>
      <c r="AU137" s="318">
        <f t="shared" si="77"/>
        <v>0</v>
      </c>
      <c r="AV137" s="318">
        <f t="shared" si="78"/>
        <v>0</v>
      </c>
      <c r="AW137" s="318">
        <f t="shared" si="79"/>
        <v>0</v>
      </c>
      <c r="AX137" s="318">
        <f t="shared" si="80"/>
        <v>0</v>
      </c>
      <c r="AY137" s="318">
        <f t="shared" si="81"/>
        <v>0</v>
      </c>
      <c r="AZ137" s="318">
        <f t="shared" si="82"/>
        <v>0</v>
      </c>
      <c r="BA137" s="318">
        <f t="shared" si="83"/>
        <v>0</v>
      </c>
    </row>
    <row r="138" spans="1:53" s="315" customFormat="1" ht="15.75" customHeight="1">
      <c r="A138" s="63" t="str">
        <f t="array" ref="A138">IF(C138&lt;&gt;0,SUM(($C$11:C138&lt;&gt;0)*1),"")</f>
        <v/>
      </c>
      <c r="B138" s="316"/>
      <c r="C138" s="316"/>
      <c r="D138" s="316"/>
      <c r="E138" s="436"/>
      <c r="F138" s="372"/>
      <c r="G138" s="374"/>
      <c r="H138" s="374"/>
      <c r="I138" s="63" t="str">
        <f t="shared" si="91"/>
        <v/>
      </c>
      <c r="J138" s="318">
        <f t="shared" si="46"/>
        <v>0</v>
      </c>
      <c r="K138" s="318">
        <f t="shared" si="47"/>
        <v>0</v>
      </c>
      <c r="L138" s="318">
        <f t="shared" si="48"/>
        <v>0</v>
      </c>
      <c r="M138" s="318">
        <f t="shared" si="49"/>
        <v>0</v>
      </c>
      <c r="N138" s="318">
        <f t="shared" si="84"/>
        <v>0</v>
      </c>
      <c r="O138" s="318">
        <f t="shared" si="85"/>
        <v>0</v>
      </c>
      <c r="P138" s="318">
        <f t="shared" si="50"/>
        <v>0</v>
      </c>
      <c r="Q138" s="318">
        <f t="shared" si="51"/>
        <v>0</v>
      </c>
      <c r="R138" s="318">
        <f t="shared" si="52"/>
        <v>0</v>
      </c>
      <c r="S138" s="318">
        <f t="shared" si="53"/>
        <v>0</v>
      </c>
      <c r="T138" s="318">
        <f t="shared" si="86"/>
        <v>0</v>
      </c>
      <c r="U138" s="318">
        <f t="shared" si="87"/>
        <v>0</v>
      </c>
      <c r="V138" s="318">
        <f t="shared" si="54"/>
        <v>0</v>
      </c>
      <c r="W138" s="318">
        <f t="shared" si="55"/>
        <v>0</v>
      </c>
      <c r="X138" s="318">
        <f t="shared" si="56"/>
        <v>0</v>
      </c>
      <c r="Y138" s="318">
        <f t="shared" si="57"/>
        <v>0</v>
      </c>
      <c r="Z138" s="318">
        <f t="shared" si="58"/>
        <v>0</v>
      </c>
      <c r="AA138" s="318">
        <f t="shared" si="59"/>
        <v>0</v>
      </c>
      <c r="AB138" s="318">
        <f t="shared" si="60"/>
        <v>0</v>
      </c>
      <c r="AC138" s="318">
        <f t="shared" si="61"/>
        <v>0</v>
      </c>
      <c r="AD138" s="318">
        <f t="shared" si="62"/>
        <v>0</v>
      </c>
      <c r="AE138" s="318">
        <f t="shared" si="63"/>
        <v>0</v>
      </c>
      <c r="AF138" s="318">
        <f t="shared" si="88"/>
        <v>0</v>
      </c>
      <c r="AG138" s="318">
        <f t="shared" si="89"/>
        <v>0</v>
      </c>
      <c r="AH138" s="318">
        <f t="shared" si="64"/>
        <v>0</v>
      </c>
      <c r="AI138" s="318">
        <f t="shared" si="65"/>
        <v>0</v>
      </c>
      <c r="AJ138" s="318">
        <f t="shared" si="66"/>
        <v>0</v>
      </c>
      <c r="AK138" s="318">
        <f t="shared" si="67"/>
        <v>0</v>
      </c>
      <c r="AL138" s="318">
        <f t="shared" si="68"/>
        <v>0</v>
      </c>
      <c r="AM138" s="318">
        <f t="shared" si="69"/>
        <v>0</v>
      </c>
      <c r="AN138" s="318">
        <f t="shared" si="70"/>
        <v>0</v>
      </c>
      <c r="AO138" s="318">
        <f t="shared" si="71"/>
        <v>0</v>
      </c>
      <c r="AP138" s="318">
        <f t="shared" si="72"/>
        <v>0</v>
      </c>
      <c r="AQ138" s="318">
        <f t="shared" si="73"/>
        <v>0</v>
      </c>
      <c r="AR138" s="318">
        <f t="shared" si="74"/>
        <v>0</v>
      </c>
      <c r="AS138" s="318">
        <f t="shared" si="75"/>
        <v>0</v>
      </c>
      <c r="AT138" s="318">
        <f t="shared" si="76"/>
        <v>0</v>
      </c>
      <c r="AU138" s="318">
        <f t="shared" si="77"/>
        <v>0</v>
      </c>
      <c r="AV138" s="318">
        <f t="shared" si="78"/>
        <v>0</v>
      </c>
      <c r="AW138" s="318">
        <f t="shared" si="79"/>
        <v>0</v>
      </c>
      <c r="AX138" s="318">
        <f t="shared" si="80"/>
        <v>0</v>
      </c>
      <c r="AY138" s="318">
        <f t="shared" si="81"/>
        <v>0</v>
      </c>
      <c r="AZ138" s="318">
        <f t="shared" si="82"/>
        <v>0</v>
      </c>
      <c r="BA138" s="318">
        <f t="shared" si="83"/>
        <v>0</v>
      </c>
    </row>
    <row r="139" spans="1:53" s="315" customFormat="1" ht="15.75" customHeight="1">
      <c r="A139" s="63" t="str">
        <f t="array" ref="A139">IF(C139&lt;&gt;0,SUM(($C$11:C139&lt;&gt;0)*1),"")</f>
        <v/>
      </c>
      <c r="B139" s="316"/>
      <c r="C139" s="316"/>
      <c r="D139" s="316"/>
      <c r="E139" s="436"/>
      <c r="F139" s="372"/>
      <c r="G139" s="374"/>
      <c r="H139" s="374"/>
      <c r="I139" s="63" t="str">
        <f t="shared" si="91"/>
        <v/>
      </c>
      <c r="J139" s="318">
        <f t="shared" ref="J139:J202" si="92">IF($G139="1111",$F139,0)</f>
        <v>0</v>
      </c>
      <c r="K139" s="318">
        <f t="shared" ref="K139:K202" si="93">IF($H139="1111",$F139,0)</f>
        <v>0</v>
      </c>
      <c r="L139" s="318">
        <f t="shared" ref="L139:L202" si="94">IF($G139="1121",$F139,0)</f>
        <v>0</v>
      </c>
      <c r="M139" s="318">
        <f t="shared" ref="M139:M202" si="95">IF($H139="1121",$F139,0)</f>
        <v>0</v>
      </c>
      <c r="N139" s="318">
        <f t="shared" si="84"/>
        <v>0</v>
      </c>
      <c r="O139" s="318">
        <f t="shared" si="85"/>
        <v>0</v>
      </c>
      <c r="P139" s="318">
        <f t="shared" ref="P139:P202" si="96">IF($G139="1331",$F139,0)</f>
        <v>0</v>
      </c>
      <c r="Q139" s="318">
        <f t="shared" ref="Q139:Q202" si="97">IF($H139="1331",$F139,0)</f>
        <v>0</v>
      </c>
      <c r="R139" s="318">
        <f t="shared" ref="R139:R202" si="98">IF($G139="1388",$F139,0)</f>
        <v>0</v>
      </c>
      <c r="S139" s="318">
        <f t="shared" ref="S139:S202" si="99">IF($H139="1388",$F139,0)</f>
        <v>0</v>
      </c>
      <c r="T139" s="318">
        <f t="shared" si="86"/>
        <v>0</v>
      </c>
      <c r="U139" s="318">
        <f t="shared" si="87"/>
        <v>0</v>
      </c>
      <c r="V139" s="318">
        <f t="shared" ref="V139:V202" si="100">IF($G139="331",$F139,0)</f>
        <v>0</v>
      </c>
      <c r="W139" s="318">
        <f t="shared" ref="W139:W202" si="101">IF($H139="331",$F139,0)</f>
        <v>0</v>
      </c>
      <c r="X139" s="318">
        <f t="shared" ref="X139:X202" si="102">IF($G139="3334",$F139,0)</f>
        <v>0</v>
      </c>
      <c r="Y139" s="318">
        <f t="shared" ref="Y139:Y202" si="103">IF($H139="3334",$F139,0)</f>
        <v>0</v>
      </c>
      <c r="Z139" s="318">
        <f t="shared" ref="Z139:Z202" si="104">IF($G139="33382",$F139,0)</f>
        <v>0</v>
      </c>
      <c r="AA139" s="318">
        <f t="shared" ref="AA139:AA202" si="105">IF($H139="33382",$F139,0)</f>
        <v>0</v>
      </c>
      <c r="AB139" s="318">
        <f t="shared" ref="AB139:AB202" si="106">IF($G139="3388",$F139,0)</f>
        <v>0</v>
      </c>
      <c r="AC139" s="318">
        <f t="shared" ref="AC139:AC202" si="107">IF($H139="3388",$F139,0)</f>
        <v>0</v>
      </c>
      <c r="AD139" s="318">
        <f t="shared" ref="AD139:AD202" si="108">IF($G139="3411",$F139,0)</f>
        <v>0</v>
      </c>
      <c r="AE139" s="318">
        <f t="shared" ref="AE139:AE202" si="109">IF($H139="3411",$F139,0)</f>
        <v>0</v>
      </c>
      <c r="AF139" s="318">
        <f t="shared" si="88"/>
        <v>0</v>
      </c>
      <c r="AG139" s="318">
        <f t="shared" si="89"/>
        <v>0</v>
      </c>
      <c r="AH139" s="318">
        <f t="shared" ref="AH139:AH202" si="110">IF($G139="4111",$F139,0)</f>
        <v>0</v>
      </c>
      <c r="AI139" s="318">
        <f t="shared" ref="AI139:AI202" si="111">IF($H139="4111",$F139,0)</f>
        <v>0</v>
      </c>
      <c r="AJ139" s="318">
        <f t="shared" ref="AJ139:AJ202" si="112">IF($G139="4211",$F139,0)</f>
        <v>0</v>
      </c>
      <c r="AK139" s="318">
        <f t="shared" ref="AK139:AK202" si="113">IF($H139="4211",$F139,0)</f>
        <v>0</v>
      </c>
      <c r="AL139" s="318">
        <f t="shared" ref="AL139:AL202" si="114">IF($G139="4212",$F139,0)</f>
        <v>0</v>
      </c>
      <c r="AM139" s="318">
        <f t="shared" ref="AM139:AM202" si="115">IF($H139="4212",$F139,0)</f>
        <v>0</v>
      </c>
      <c r="AN139" s="318">
        <f t="shared" ref="AN139:AN202" si="116">IF($G139="515",$F139,0)</f>
        <v>0</v>
      </c>
      <c r="AO139" s="318">
        <f t="shared" ref="AO139:AO202" si="117">IF($H139="515",$F139,0)</f>
        <v>0</v>
      </c>
      <c r="AP139" s="318">
        <f t="shared" ref="AP139:AP202" si="118">IF($G139="635",$F139,0)</f>
        <v>0</v>
      </c>
      <c r="AQ139" s="318">
        <f t="shared" ref="AQ139:AQ202" si="119">IF($H139="635",$F139,0)</f>
        <v>0</v>
      </c>
      <c r="AR139" s="318">
        <f t="shared" ref="AR139:AR202" si="120">IF($G139="642",$F139,0)</f>
        <v>0</v>
      </c>
      <c r="AS139" s="318">
        <f t="shared" ref="AS139:AS202" si="121">IF($H139="642",$F139,0)</f>
        <v>0</v>
      </c>
      <c r="AT139" s="318">
        <f t="shared" ref="AT139:AT202" si="122">IF($G139="711",$F139,0)</f>
        <v>0</v>
      </c>
      <c r="AU139" s="318">
        <f t="shared" ref="AU139:AU202" si="123">IF($H139="711",$F139,0)</f>
        <v>0</v>
      </c>
      <c r="AV139" s="318">
        <f t="shared" ref="AV139:AV202" si="124">IF($G139="811",$F139,0)</f>
        <v>0</v>
      </c>
      <c r="AW139" s="318">
        <f t="shared" ref="AW139:AW202" si="125">IF($H139="811",$F139,0)</f>
        <v>0</v>
      </c>
      <c r="AX139" s="318">
        <f t="shared" ref="AX139:AX202" si="126">IF($G139="821",$F139,0)</f>
        <v>0</v>
      </c>
      <c r="AY139" s="318">
        <f t="shared" ref="AY139:AY202" si="127">IF($H139="821",$F139,0)</f>
        <v>0</v>
      </c>
      <c r="AZ139" s="318">
        <f t="shared" ref="AZ139:AZ202" si="128">IF($G139="911",$F139,0)</f>
        <v>0</v>
      </c>
      <c r="BA139" s="318">
        <f t="shared" ref="BA139:BA202" si="129">IF($H139="911",$F139,0)</f>
        <v>0</v>
      </c>
    </row>
    <row r="140" spans="1:53" s="315" customFormat="1" ht="15.75" customHeight="1">
      <c r="A140" s="63" t="str">
        <f t="array" ref="A140">IF(C140&lt;&gt;0,SUM(($C$11:C140&lt;&gt;0)*1),"")</f>
        <v/>
      </c>
      <c r="B140" s="316"/>
      <c r="C140" s="316"/>
      <c r="D140" s="316"/>
      <c r="E140" s="436"/>
      <c r="F140" s="372"/>
      <c r="G140" s="374"/>
      <c r="H140" s="374"/>
      <c r="I140" s="63" t="str">
        <f t="shared" si="91"/>
        <v/>
      </c>
      <c r="J140" s="318">
        <f t="shared" si="92"/>
        <v>0</v>
      </c>
      <c r="K140" s="318">
        <f t="shared" si="93"/>
        <v>0</v>
      </c>
      <c r="L140" s="318">
        <f t="shared" si="94"/>
        <v>0</v>
      </c>
      <c r="M140" s="318">
        <f t="shared" si="95"/>
        <v>0</v>
      </c>
      <c r="N140" s="318">
        <f t="shared" ref="N140:N203" si="130">IF($G140="1122",$F140,0)</f>
        <v>0</v>
      </c>
      <c r="O140" s="318">
        <f t="shared" ref="O140:O203" si="131">IF($H140="1122",$F140,0)</f>
        <v>0</v>
      </c>
      <c r="P140" s="318">
        <f t="shared" si="96"/>
        <v>0</v>
      </c>
      <c r="Q140" s="318">
        <f t="shared" si="97"/>
        <v>0</v>
      </c>
      <c r="R140" s="318">
        <f t="shared" si="98"/>
        <v>0</v>
      </c>
      <c r="S140" s="318">
        <f t="shared" si="99"/>
        <v>0</v>
      </c>
      <c r="T140" s="318">
        <f t="shared" ref="T140:T203" si="132">IF($G140="2412",$F140,0)</f>
        <v>0</v>
      </c>
      <c r="U140" s="318">
        <f t="shared" ref="U140:U203" si="133">IF($H140="2412",$F140,0)</f>
        <v>0</v>
      </c>
      <c r="V140" s="318">
        <f t="shared" si="100"/>
        <v>0</v>
      </c>
      <c r="W140" s="318">
        <f t="shared" si="101"/>
        <v>0</v>
      </c>
      <c r="X140" s="318">
        <f t="shared" si="102"/>
        <v>0</v>
      </c>
      <c r="Y140" s="318">
        <f t="shared" si="103"/>
        <v>0</v>
      </c>
      <c r="Z140" s="318">
        <f t="shared" si="104"/>
        <v>0</v>
      </c>
      <c r="AA140" s="318">
        <f t="shared" si="105"/>
        <v>0</v>
      </c>
      <c r="AB140" s="318">
        <f t="shared" si="106"/>
        <v>0</v>
      </c>
      <c r="AC140" s="318">
        <f t="shared" si="107"/>
        <v>0</v>
      </c>
      <c r="AD140" s="318">
        <f t="shared" si="108"/>
        <v>0</v>
      </c>
      <c r="AE140" s="318">
        <f t="shared" si="109"/>
        <v>0</v>
      </c>
      <c r="AF140" s="318">
        <f t="shared" ref="AF140:AF203" si="134">IF($G140="3412",$F140,0)</f>
        <v>0</v>
      </c>
      <c r="AG140" s="318">
        <f t="shared" ref="AG140:AG203" si="135">IF($H140="3412",$F140,0)</f>
        <v>0</v>
      </c>
      <c r="AH140" s="318">
        <f t="shared" si="110"/>
        <v>0</v>
      </c>
      <c r="AI140" s="318">
        <f t="shared" si="111"/>
        <v>0</v>
      </c>
      <c r="AJ140" s="318">
        <f t="shared" si="112"/>
        <v>0</v>
      </c>
      <c r="AK140" s="318">
        <f t="shared" si="113"/>
        <v>0</v>
      </c>
      <c r="AL140" s="318">
        <f t="shared" si="114"/>
        <v>0</v>
      </c>
      <c r="AM140" s="318">
        <f t="shared" si="115"/>
        <v>0</v>
      </c>
      <c r="AN140" s="318">
        <f t="shared" si="116"/>
        <v>0</v>
      </c>
      <c r="AO140" s="318">
        <f t="shared" si="117"/>
        <v>0</v>
      </c>
      <c r="AP140" s="318">
        <f t="shared" si="118"/>
        <v>0</v>
      </c>
      <c r="AQ140" s="318">
        <f t="shared" si="119"/>
        <v>0</v>
      </c>
      <c r="AR140" s="318">
        <f t="shared" si="120"/>
        <v>0</v>
      </c>
      <c r="AS140" s="318">
        <f t="shared" si="121"/>
        <v>0</v>
      </c>
      <c r="AT140" s="318">
        <f t="shared" si="122"/>
        <v>0</v>
      </c>
      <c r="AU140" s="318">
        <f t="shared" si="123"/>
        <v>0</v>
      </c>
      <c r="AV140" s="318">
        <f t="shared" si="124"/>
        <v>0</v>
      </c>
      <c r="AW140" s="318">
        <f t="shared" si="125"/>
        <v>0</v>
      </c>
      <c r="AX140" s="318">
        <f t="shared" si="126"/>
        <v>0</v>
      </c>
      <c r="AY140" s="318">
        <f t="shared" si="127"/>
        <v>0</v>
      </c>
      <c r="AZ140" s="318">
        <f t="shared" si="128"/>
        <v>0</v>
      </c>
      <c r="BA140" s="318">
        <f t="shared" si="129"/>
        <v>0</v>
      </c>
    </row>
    <row r="141" spans="1:53" s="315" customFormat="1" ht="15.75" customHeight="1">
      <c r="A141" s="63" t="str">
        <f t="array" ref="A141">IF(C141&lt;&gt;0,SUM(($C$11:C141&lt;&gt;0)*1),"")</f>
        <v/>
      </c>
      <c r="B141" s="316"/>
      <c r="C141" s="316"/>
      <c r="D141" s="316"/>
      <c r="E141" s="436"/>
      <c r="F141" s="372"/>
      <c r="G141" s="374"/>
      <c r="H141" s="374"/>
      <c r="I141" s="63" t="str">
        <f t="shared" si="91"/>
        <v/>
      </c>
      <c r="J141" s="318">
        <f t="shared" si="92"/>
        <v>0</v>
      </c>
      <c r="K141" s="318">
        <f t="shared" si="93"/>
        <v>0</v>
      </c>
      <c r="L141" s="318">
        <f t="shared" si="94"/>
        <v>0</v>
      </c>
      <c r="M141" s="318">
        <f t="shared" si="95"/>
        <v>0</v>
      </c>
      <c r="N141" s="318">
        <f t="shared" si="130"/>
        <v>0</v>
      </c>
      <c r="O141" s="318">
        <f t="shared" si="131"/>
        <v>0</v>
      </c>
      <c r="P141" s="318">
        <f t="shared" si="96"/>
        <v>0</v>
      </c>
      <c r="Q141" s="318">
        <f t="shared" si="97"/>
        <v>0</v>
      </c>
      <c r="R141" s="318">
        <f t="shared" si="98"/>
        <v>0</v>
      </c>
      <c r="S141" s="318">
        <f t="shared" si="99"/>
        <v>0</v>
      </c>
      <c r="T141" s="318">
        <f t="shared" si="132"/>
        <v>0</v>
      </c>
      <c r="U141" s="318">
        <f t="shared" si="133"/>
        <v>0</v>
      </c>
      <c r="V141" s="318">
        <f t="shared" si="100"/>
        <v>0</v>
      </c>
      <c r="W141" s="318">
        <f t="shared" si="101"/>
        <v>0</v>
      </c>
      <c r="X141" s="318">
        <f t="shared" si="102"/>
        <v>0</v>
      </c>
      <c r="Y141" s="318">
        <f t="shared" si="103"/>
        <v>0</v>
      </c>
      <c r="Z141" s="318">
        <f t="shared" si="104"/>
        <v>0</v>
      </c>
      <c r="AA141" s="318">
        <f t="shared" si="105"/>
        <v>0</v>
      </c>
      <c r="AB141" s="318">
        <f t="shared" si="106"/>
        <v>0</v>
      </c>
      <c r="AC141" s="318">
        <f t="shared" si="107"/>
        <v>0</v>
      </c>
      <c r="AD141" s="318">
        <f t="shared" si="108"/>
        <v>0</v>
      </c>
      <c r="AE141" s="318">
        <f t="shared" si="109"/>
        <v>0</v>
      </c>
      <c r="AF141" s="318">
        <f t="shared" si="134"/>
        <v>0</v>
      </c>
      <c r="AG141" s="318">
        <f t="shared" si="135"/>
        <v>0</v>
      </c>
      <c r="AH141" s="318">
        <f t="shared" si="110"/>
        <v>0</v>
      </c>
      <c r="AI141" s="318">
        <f t="shared" si="111"/>
        <v>0</v>
      </c>
      <c r="AJ141" s="318">
        <f t="shared" si="112"/>
        <v>0</v>
      </c>
      <c r="AK141" s="318">
        <f t="shared" si="113"/>
        <v>0</v>
      </c>
      <c r="AL141" s="318">
        <f t="shared" si="114"/>
        <v>0</v>
      </c>
      <c r="AM141" s="318">
        <f t="shared" si="115"/>
        <v>0</v>
      </c>
      <c r="AN141" s="318">
        <f t="shared" si="116"/>
        <v>0</v>
      </c>
      <c r="AO141" s="318">
        <f t="shared" si="117"/>
        <v>0</v>
      </c>
      <c r="AP141" s="318">
        <f t="shared" si="118"/>
        <v>0</v>
      </c>
      <c r="AQ141" s="318">
        <f t="shared" si="119"/>
        <v>0</v>
      </c>
      <c r="AR141" s="318">
        <f t="shared" si="120"/>
        <v>0</v>
      </c>
      <c r="AS141" s="318">
        <f t="shared" si="121"/>
        <v>0</v>
      </c>
      <c r="AT141" s="318">
        <f t="shared" si="122"/>
        <v>0</v>
      </c>
      <c r="AU141" s="318">
        <f t="shared" si="123"/>
        <v>0</v>
      </c>
      <c r="AV141" s="318">
        <f t="shared" si="124"/>
        <v>0</v>
      </c>
      <c r="AW141" s="318">
        <f t="shared" si="125"/>
        <v>0</v>
      </c>
      <c r="AX141" s="318">
        <f t="shared" si="126"/>
        <v>0</v>
      </c>
      <c r="AY141" s="318">
        <f t="shared" si="127"/>
        <v>0</v>
      </c>
      <c r="AZ141" s="318">
        <f t="shared" si="128"/>
        <v>0</v>
      </c>
      <c r="BA141" s="318">
        <f t="shared" si="129"/>
        <v>0</v>
      </c>
    </row>
    <row r="142" spans="1:53" s="315" customFormat="1" ht="15.75" customHeight="1">
      <c r="A142" s="63" t="str">
        <f t="array" ref="A142">IF(C142&lt;&gt;0,SUM(($C$11:C142&lt;&gt;0)*1),"")</f>
        <v/>
      </c>
      <c r="B142" s="316"/>
      <c r="C142" s="316"/>
      <c r="D142" s="316"/>
      <c r="E142" s="436"/>
      <c r="F142" s="372"/>
      <c r="G142" s="374"/>
      <c r="H142" s="374"/>
      <c r="I142" s="63" t="str">
        <f t="shared" si="91"/>
        <v/>
      </c>
      <c r="J142" s="318">
        <f t="shared" si="92"/>
        <v>0</v>
      </c>
      <c r="K142" s="318">
        <f t="shared" si="93"/>
        <v>0</v>
      </c>
      <c r="L142" s="318">
        <f t="shared" si="94"/>
        <v>0</v>
      </c>
      <c r="M142" s="318">
        <f t="shared" si="95"/>
        <v>0</v>
      </c>
      <c r="N142" s="318">
        <f t="shared" si="130"/>
        <v>0</v>
      </c>
      <c r="O142" s="318">
        <f t="shared" si="131"/>
        <v>0</v>
      </c>
      <c r="P142" s="318">
        <f t="shared" si="96"/>
        <v>0</v>
      </c>
      <c r="Q142" s="318">
        <f t="shared" si="97"/>
        <v>0</v>
      </c>
      <c r="R142" s="318">
        <f t="shared" si="98"/>
        <v>0</v>
      </c>
      <c r="S142" s="318">
        <f t="shared" si="99"/>
        <v>0</v>
      </c>
      <c r="T142" s="318">
        <f t="shared" si="132"/>
        <v>0</v>
      </c>
      <c r="U142" s="318">
        <f t="shared" si="133"/>
        <v>0</v>
      </c>
      <c r="V142" s="318">
        <f t="shared" si="100"/>
        <v>0</v>
      </c>
      <c r="W142" s="318">
        <f t="shared" si="101"/>
        <v>0</v>
      </c>
      <c r="X142" s="318">
        <f t="shared" si="102"/>
        <v>0</v>
      </c>
      <c r="Y142" s="318">
        <f t="shared" si="103"/>
        <v>0</v>
      </c>
      <c r="Z142" s="318">
        <f t="shared" si="104"/>
        <v>0</v>
      </c>
      <c r="AA142" s="318">
        <f t="shared" si="105"/>
        <v>0</v>
      </c>
      <c r="AB142" s="318">
        <f t="shared" si="106"/>
        <v>0</v>
      </c>
      <c r="AC142" s="318">
        <f t="shared" si="107"/>
        <v>0</v>
      </c>
      <c r="AD142" s="318">
        <f t="shared" si="108"/>
        <v>0</v>
      </c>
      <c r="AE142" s="318">
        <f t="shared" si="109"/>
        <v>0</v>
      </c>
      <c r="AF142" s="318">
        <f t="shared" si="134"/>
        <v>0</v>
      </c>
      <c r="AG142" s="318">
        <f t="shared" si="135"/>
        <v>0</v>
      </c>
      <c r="AH142" s="318">
        <f t="shared" si="110"/>
        <v>0</v>
      </c>
      <c r="AI142" s="318">
        <f t="shared" si="111"/>
        <v>0</v>
      </c>
      <c r="AJ142" s="318">
        <f t="shared" si="112"/>
        <v>0</v>
      </c>
      <c r="AK142" s="318">
        <f t="shared" si="113"/>
        <v>0</v>
      </c>
      <c r="AL142" s="318">
        <f t="shared" si="114"/>
        <v>0</v>
      </c>
      <c r="AM142" s="318">
        <f t="shared" si="115"/>
        <v>0</v>
      </c>
      <c r="AN142" s="318">
        <f t="shared" si="116"/>
        <v>0</v>
      </c>
      <c r="AO142" s="318">
        <f t="shared" si="117"/>
        <v>0</v>
      </c>
      <c r="AP142" s="318">
        <f t="shared" si="118"/>
        <v>0</v>
      </c>
      <c r="AQ142" s="318">
        <f t="shared" si="119"/>
        <v>0</v>
      </c>
      <c r="AR142" s="318">
        <f t="shared" si="120"/>
        <v>0</v>
      </c>
      <c r="AS142" s="318">
        <f t="shared" si="121"/>
        <v>0</v>
      </c>
      <c r="AT142" s="318">
        <f t="shared" si="122"/>
        <v>0</v>
      </c>
      <c r="AU142" s="318">
        <f t="shared" si="123"/>
        <v>0</v>
      </c>
      <c r="AV142" s="318">
        <f t="shared" si="124"/>
        <v>0</v>
      </c>
      <c r="AW142" s="318">
        <f t="shared" si="125"/>
        <v>0</v>
      </c>
      <c r="AX142" s="318">
        <f t="shared" si="126"/>
        <v>0</v>
      </c>
      <c r="AY142" s="318">
        <f t="shared" si="127"/>
        <v>0</v>
      </c>
      <c r="AZ142" s="318">
        <f t="shared" si="128"/>
        <v>0</v>
      </c>
      <c r="BA142" s="318">
        <f t="shared" si="129"/>
        <v>0</v>
      </c>
    </row>
    <row r="143" spans="1:53" s="315" customFormat="1" ht="15.75" customHeight="1">
      <c r="A143" s="63" t="str">
        <f t="array" ref="A143">IF(C143&lt;&gt;0,SUM(($C$11:C143&lt;&gt;0)*1),"")</f>
        <v/>
      </c>
      <c r="B143" s="316"/>
      <c r="C143" s="316"/>
      <c r="D143" s="316"/>
      <c r="E143" s="436"/>
      <c r="F143" s="372"/>
      <c r="G143" s="374"/>
      <c r="H143" s="374"/>
      <c r="I143" s="63" t="str">
        <f t="shared" si="91"/>
        <v/>
      </c>
      <c r="J143" s="318">
        <f t="shared" si="92"/>
        <v>0</v>
      </c>
      <c r="K143" s="318">
        <f t="shared" si="93"/>
        <v>0</v>
      </c>
      <c r="L143" s="318">
        <f t="shared" si="94"/>
        <v>0</v>
      </c>
      <c r="M143" s="318">
        <f t="shared" si="95"/>
        <v>0</v>
      </c>
      <c r="N143" s="318">
        <f t="shared" si="130"/>
        <v>0</v>
      </c>
      <c r="O143" s="318">
        <f t="shared" si="131"/>
        <v>0</v>
      </c>
      <c r="P143" s="318">
        <f t="shared" si="96"/>
        <v>0</v>
      </c>
      <c r="Q143" s="318">
        <f t="shared" si="97"/>
        <v>0</v>
      </c>
      <c r="R143" s="318">
        <f t="shared" si="98"/>
        <v>0</v>
      </c>
      <c r="S143" s="318">
        <f t="shared" si="99"/>
        <v>0</v>
      </c>
      <c r="T143" s="318">
        <f t="shared" si="132"/>
        <v>0</v>
      </c>
      <c r="U143" s="318">
        <f t="shared" si="133"/>
        <v>0</v>
      </c>
      <c r="V143" s="318">
        <f t="shared" si="100"/>
        <v>0</v>
      </c>
      <c r="W143" s="318">
        <f t="shared" si="101"/>
        <v>0</v>
      </c>
      <c r="X143" s="318">
        <f t="shared" si="102"/>
        <v>0</v>
      </c>
      <c r="Y143" s="318">
        <f t="shared" si="103"/>
        <v>0</v>
      </c>
      <c r="Z143" s="318">
        <f t="shared" si="104"/>
        <v>0</v>
      </c>
      <c r="AA143" s="318">
        <f t="shared" si="105"/>
        <v>0</v>
      </c>
      <c r="AB143" s="318">
        <f t="shared" si="106"/>
        <v>0</v>
      </c>
      <c r="AC143" s="318">
        <f t="shared" si="107"/>
        <v>0</v>
      </c>
      <c r="AD143" s="318">
        <f t="shared" si="108"/>
        <v>0</v>
      </c>
      <c r="AE143" s="318">
        <f t="shared" si="109"/>
        <v>0</v>
      </c>
      <c r="AF143" s="318">
        <f t="shared" si="134"/>
        <v>0</v>
      </c>
      <c r="AG143" s="318">
        <f t="shared" si="135"/>
        <v>0</v>
      </c>
      <c r="AH143" s="318">
        <f t="shared" si="110"/>
        <v>0</v>
      </c>
      <c r="AI143" s="318">
        <f t="shared" si="111"/>
        <v>0</v>
      </c>
      <c r="AJ143" s="318">
        <f t="shared" si="112"/>
        <v>0</v>
      </c>
      <c r="AK143" s="318">
        <f t="shared" si="113"/>
        <v>0</v>
      </c>
      <c r="AL143" s="318">
        <f t="shared" si="114"/>
        <v>0</v>
      </c>
      <c r="AM143" s="318">
        <f t="shared" si="115"/>
        <v>0</v>
      </c>
      <c r="AN143" s="318">
        <f t="shared" si="116"/>
        <v>0</v>
      </c>
      <c r="AO143" s="318">
        <f t="shared" si="117"/>
        <v>0</v>
      </c>
      <c r="AP143" s="318">
        <f t="shared" si="118"/>
        <v>0</v>
      </c>
      <c r="AQ143" s="318">
        <f t="shared" si="119"/>
        <v>0</v>
      </c>
      <c r="AR143" s="318">
        <f t="shared" si="120"/>
        <v>0</v>
      </c>
      <c r="AS143" s="318">
        <f t="shared" si="121"/>
        <v>0</v>
      </c>
      <c r="AT143" s="318">
        <f t="shared" si="122"/>
        <v>0</v>
      </c>
      <c r="AU143" s="318">
        <f t="shared" si="123"/>
        <v>0</v>
      </c>
      <c r="AV143" s="318">
        <f t="shared" si="124"/>
        <v>0</v>
      </c>
      <c r="AW143" s="318">
        <f t="shared" si="125"/>
        <v>0</v>
      </c>
      <c r="AX143" s="318">
        <f t="shared" si="126"/>
        <v>0</v>
      </c>
      <c r="AY143" s="318">
        <f t="shared" si="127"/>
        <v>0</v>
      </c>
      <c r="AZ143" s="318">
        <f t="shared" si="128"/>
        <v>0</v>
      </c>
      <c r="BA143" s="318">
        <f t="shared" si="129"/>
        <v>0</v>
      </c>
    </row>
    <row r="144" spans="1:53" s="315" customFormat="1" ht="15.75" customHeight="1">
      <c r="A144" s="63" t="str">
        <f t="array" ref="A144">IF(C144&lt;&gt;0,SUM(($C$11:C144&lt;&gt;0)*1),"")</f>
        <v/>
      </c>
      <c r="B144" s="316"/>
      <c r="C144" s="316"/>
      <c r="D144" s="316"/>
      <c r="E144" s="436"/>
      <c r="F144" s="372"/>
      <c r="G144" s="374"/>
      <c r="H144" s="374"/>
      <c r="I144" s="63" t="str">
        <f t="shared" si="91"/>
        <v/>
      </c>
      <c r="J144" s="318">
        <f t="shared" si="92"/>
        <v>0</v>
      </c>
      <c r="K144" s="318">
        <f t="shared" si="93"/>
        <v>0</v>
      </c>
      <c r="L144" s="318">
        <f t="shared" si="94"/>
        <v>0</v>
      </c>
      <c r="M144" s="318">
        <f t="shared" si="95"/>
        <v>0</v>
      </c>
      <c r="N144" s="318">
        <f t="shared" si="130"/>
        <v>0</v>
      </c>
      <c r="O144" s="318">
        <f t="shared" si="131"/>
        <v>0</v>
      </c>
      <c r="P144" s="318">
        <f t="shared" si="96"/>
        <v>0</v>
      </c>
      <c r="Q144" s="318">
        <f t="shared" si="97"/>
        <v>0</v>
      </c>
      <c r="R144" s="318">
        <f t="shared" si="98"/>
        <v>0</v>
      </c>
      <c r="S144" s="318">
        <f t="shared" si="99"/>
        <v>0</v>
      </c>
      <c r="T144" s="318">
        <f t="shared" si="132"/>
        <v>0</v>
      </c>
      <c r="U144" s="318">
        <f t="shared" si="133"/>
        <v>0</v>
      </c>
      <c r="V144" s="318">
        <f t="shared" si="100"/>
        <v>0</v>
      </c>
      <c r="W144" s="318">
        <f t="shared" si="101"/>
        <v>0</v>
      </c>
      <c r="X144" s="318">
        <f t="shared" si="102"/>
        <v>0</v>
      </c>
      <c r="Y144" s="318">
        <f t="shared" si="103"/>
        <v>0</v>
      </c>
      <c r="Z144" s="318">
        <f t="shared" si="104"/>
        <v>0</v>
      </c>
      <c r="AA144" s="318">
        <f t="shared" si="105"/>
        <v>0</v>
      </c>
      <c r="AB144" s="318">
        <f t="shared" si="106"/>
        <v>0</v>
      </c>
      <c r="AC144" s="318">
        <f t="shared" si="107"/>
        <v>0</v>
      </c>
      <c r="AD144" s="318">
        <f t="shared" si="108"/>
        <v>0</v>
      </c>
      <c r="AE144" s="318">
        <f t="shared" si="109"/>
        <v>0</v>
      </c>
      <c r="AF144" s="318">
        <f t="shared" si="134"/>
        <v>0</v>
      </c>
      <c r="AG144" s="318">
        <f t="shared" si="135"/>
        <v>0</v>
      </c>
      <c r="AH144" s="318">
        <f t="shared" si="110"/>
        <v>0</v>
      </c>
      <c r="AI144" s="318">
        <f t="shared" si="111"/>
        <v>0</v>
      </c>
      <c r="AJ144" s="318">
        <f t="shared" si="112"/>
        <v>0</v>
      </c>
      <c r="AK144" s="318">
        <f t="shared" si="113"/>
        <v>0</v>
      </c>
      <c r="AL144" s="318">
        <f t="shared" si="114"/>
        <v>0</v>
      </c>
      <c r="AM144" s="318">
        <f t="shared" si="115"/>
        <v>0</v>
      </c>
      <c r="AN144" s="318">
        <f t="shared" si="116"/>
        <v>0</v>
      </c>
      <c r="AO144" s="318">
        <f t="shared" si="117"/>
        <v>0</v>
      </c>
      <c r="AP144" s="318">
        <f t="shared" si="118"/>
        <v>0</v>
      </c>
      <c r="AQ144" s="318">
        <f t="shared" si="119"/>
        <v>0</v>
      </c>
      <c r="AR144" s="318">
        <f t="shared" si="120"/>
        <v>0</v>
      </c>
      <c r="AS144" s="318">
        <f t="shared" si="121"/>
        <v>0</v>
      </c>
      <c r="AT144" s="318">
        <f t="shared" si="122"/>
        <v>0</v>
      </c>
      <c r="AU144" s="318">
        <f t="shared" si="123"/>
        <v>0</v>
      </c>
      <c r="AV144" s="318">
        <f t="shared" si="124"/>
        <v>0</v>
      </c>
      <c r="AW144" s="318">
        <f t="shared" si="125"/>
        <v>0</v>
      </c>
      <c r="AX144" s="318">
        <f t="shared" si="126"/>
        <v>0</v>
      </c>
      <c r="AY144" s="318">
        <f t="shared" si="127"/>
        <v>0</v>
      </c>
      <c r="AZ144" s="318">
        <f t="shared" si="128"/>
        <v>0</v>
      </c>
      <c r="BA144" s="318">
        <f t="shared" si="129"/>
        <v>0</v>
      </c>
    </row>
    <row r="145" spans="1:53" s="315" customFormat="1" ht="15.75" customHeight="1">
      <c r="A145" s="63" t="str">
        <f t="array" ref="A145">IF(C145&lt;&gt;0,SUM(($C$11:C145&lt;&gt;0)*1),"")</f>
        <v/>
      </c>
      <c r="B145" s="316"/>
      <c r="C145" s="316"/>
      <c r="D145" s="316"/>
      <c r="E145" s="436"/>
      <c r="F145" s="372"/>
      <c r="G145" s="374"/>
      <c r="H145" s="374"/>
      <c r="I145" s="63" t="str">
        <f t="shared" si="91"/>
        <v/>
      </c>
      <c r="J145" s="318">
        <f t="shared" si="92"/>
        <v>0</v>
      </c>
      <c r="K145" s="318">
        <f t="shared" si="93"/>
        <v>0</v>
      </c>
      <c r="L145" s="318">
        <f t="shared" si="94"/>
        <v>0</v>
      </c>
      <c r="M145" s="318">
        <f t="shared" si="95"/>
        <v>0</v>
      </c>
      <c r="N145" s="318">
        <f t="shared" si="130"/>
        <v>0</v>
      </c>
      <c r="O145" s="318">
        <f t="shared" si="131"/>
        <v>0</v>
      </c>
      <c r="P145" s="318">
        <f t="shared" si="96"/>
        <v>0</v>
      </c>
      <c r="Q145" s="318">
        <f t="shared" si="97"/>
        <v>0</v>
      </c>
      <c r="R145" s="318">
        <f t="shared" si="98"/>
        <v>0</v>
      </c>
      <c r="S145" s="318">
        <f t="shared" si="99"/>
        <v>0</v>
      </c>
      <c r="T145" s="318">
        <f t="shared" si="132"/>
        <v>0</v>
      </c>
      <c r="U145" s="318">
        <f t="shared" si="133"/>
        <v>0</v>
      </c>
      <c r="V145" s="318">
        <f t="shared" si="100"/>
        <v>0</v>
      </c>
      <c r="W145" s="318">
        <f t="shared" si="101"/>
        <v>0</v>
      </c>
      <c r="X145" s="318">
        <f t="shared" si="102"/>
        <v>0</v>
      </c>
      <c r="Y145" s="318">
        <f t="shared" si="103"/>
        <v>0</v>
      </c>
      <c r="Z145" s="318">
        <f t="shared" si="104"/>
        <v>0</v>
      </c>
      <c r="AA145" s="318">
        <f t="shared" si="105"/>
        <v>0</v>
      </c>
      <c r="AB145" s="318">
        <f t="shared" si="106"/>
        <v>0</v>
      </c>
      <c r="AC145" s="318">
        <f t="shared" si="107"/>
        <v>0</v>
      </c>
      <c r="AD145" s="318">
        <f t="shared" si="108"/>
        <v>0</v>
      </c>
      <c r="AE145" s="318">
        <f t="shared" si="109"/>
        <v>0</v>
      </c>
      <c r="AF145" s="318">
        <f t="shared" si="134"/>
        <v>0</v>
      </c>
      <c r="AG145" s="318">
        <f t="shared" si="135"/>
        <v>0</v>
      </c>
      <c r="AH145" s="318">
        <f t="shared" si="110"/>
        <v>0</v>
      </c>
      <c r="AI145" s="318">
        <f t="shared" si="111"/>
        <v>0</v>
      </c>
      <c r="AJ145" s="318">
        <f t="shared" si="112"/>
        <v>0</v>
      </c>
      <c r="AK145" s="318">
        <f t="shared" si="113"/>
        <v>0</v>
      </c>
      <c r="AL145" s="318">
        <f t="shared" si="114"/>
        <v>0</v>
      </c>
      <c r="AM145" s="318">
        <f t="shared" si="115"/>
        <v>0</v>
      </c>
      <c r="AN145" s="318">
        <f t="shared" si="116"/>
        <v>0</v>
      </c>
      <c r="AO145" s="318">
        <f t="shared" si="117"/>
        <v>0</v>
      </c>
      <c r="AP145" s="318">
        <f t="shared" si="118"/>
        <v>0</v>
      </c>
      <c r="AQ145" s="318">
        <f t="shared" si="119"/>
        <v>0</v>
      </c>
      <c r="AR145" s="318">
        <f t="shared" si="120"/>
        <v>0</v>
      </c>
      <c r="AS145" s="318">
        <f t="shared" si="121"/>
        <v>0</v>
      </c>
      <c r="AT145" s="318">
        <f t="shared" si="122"/>
        <v>0</v>
      </c>
      <c r="AU145" s="318">
        <f t="shared" si="123"/>
        <v>0</v>
      </c>
      <c r="AV145" s="318">
        <f t="shared" si="124"/>
        <v>0</v>
      </c>
      <c r="AW145" s="318">
        <f t="shared" si="125"/>
        <v>0</v>
      </c>
      <c r="AX145" s="318">
        <f t="shared" si="126"/>
        <v>0</v>
      </c>
      <c r="AY145" s="318">
        <f t="shared" si="127"/>
        <v>0</v>
      </c>
      <c r="AZ145" s="318">
        <f t="shared" si="128"/>
        <v>0</v>
      </c>
      <c r="BA145" s="318">
        <f t="shared" si="129"/>
        <v>0</v>
      </c>
    </row>
    <row r="146" spans="1:53" s="315" customFormat="1" ht="15.75" customHeight="1">
      <c r="A146" s="63" t="str">
        <f t="array" ref="A146">IF(C146&lt;&gt;0,SUM(($C$11:C146&lt;&gt;0)*1),"")</f>
        <v/>
      </c>
      <c r="B146" s="316"/>
      <c r="C146" s="316"/>
      <c r="D146" s="316"/>
      <c r="E146" s="436"/>
      <c r="F146" s="372"/>
      <c r="G146" s="374"/>
      <c r="H146" s="374"/>
      <c r="I146" s="63" t="str">
        <f t="shared" si="91"/>
        <v/>
      </c>
      <c r="J146" s="318">
        <f t="shared" si="92"/>
        <v>0</v>
      </c>
      <c r="K146" s="318">
        <f t="shared" si="93"/>
        <v>0</v>
      </c>
      <c r="L146" s="318">
        <f t="shared" si="94"/>
        <v>0</v>
      </c>
      <c r="M146" s="318">
        <f t="shared" si="95"/>
        <v>0</v>
      </c>
      <c r="N146" s="318">
        <f t="shared" si="130"/>
        <v>0</v>
      </c>
      <c r="O146" s="318">
        <f t="shared" si="131"/>
        <v>0</v>
      </c>
      <c r="P146" s="318">
        <f t="shared" si="96"/>
        <v>0</v>
      </c>
      <c r="Q146" s="318">
        <f t="shared" si="97"/>
        <v>0</v>
      </c>
      <c r="R146" s="318">
        <f t="shared" si="98"/>
        <v>0</v>
      </c>
      <c r="S146" s="318">
        <f t="shared" si="99"/>
        <v>0</v>
      </c>
      <c r="T146" s="318">
        <f t="shared" si="132"/>
        <v>0</v>
      </c>
      <c r="U146" s="318">
        <f t="shared" si="133"/>
        <v>0</v>
      </c>
      <c r="V146" s="318">
        <f t="shared" si="100"/>
        <v>0</v>
      </c>
      <c r="W146" s="318">
        <f t="shared" si="101"/>
        <v>0</v>
      </c>
      <c r="X146" s="318">
        <f t="shared" si="102"/>
        <v>0</v>
      </c>
      <c r="Y146" s="318">
        <f t="shared" si="103"/>
        <v>0</v>
      </c>
      <c r="Z146" s="318">
        <f t="shared" si="104"/>
        <v>0</v>
      </c>
      <c r="AA146" s="318">
        <f t="shared" si="105"/>
        <v>0</v>
      </c>
      <c r="AB146" s="318">
        <f t="shared" si="106"/>
        <v>0</v>
      </c>
      <c r="AC146" s="318">
        <f t="shared" si="107"/>
        <v>0</v>
      </c>
      <c r="AD146" s="318">
        <f t="shared" si="108"/>
        <v>0</v>
      </c>
      <c r="AE146" s="318">
        <f t="shared" si="109"/>
        <v>0</v>
      </c>
      <c r="AF146" s="318">
        <f t="shared" si="134"/>
        <v>0</v>
      </c>
      <c r="AG146" s="318">
        <f t="shared" si="135"/>
        <v>0</v>
      </c>
      <c r="AH146" s="318">
        <f t="shared" si="110"/>
        <v>0</v>
      </c>
      <c r="AI146" s="318">
        <f t="shared" si="111"/>
        <v>0</v>
      </c>
      <c r="AJ146" s="318">
        <f t="shared" si="112"/>
        <v>0</v>
      </c>
      <c r="AK146" s="318">
        <f t="shared" si="113"/>
        <v>0</v>
      </c>
      <c r="AL146" s="318">
        <f t="shared" si="114"/>
        <v>0</v>
      </c>
      <c r="AM146" s="318">
        <f t="shared" si="115"/>
        <v>0</v>
      </c>
      <c r="AN146" s="318">
        <f t="shared" si="116"/>
        <v>0</v>
      </c>
      <c r="AO146" s="318">
        <f t="shared" si="117"/>
        <v>0</v>
      </c>
      <c r="AP146" s="318">
        <f t="shared" si="118"/>
        <v>0</v>
      </c>
      <c r="AQ146" s="318">
        <f t="shared" si="119"/>
        <v>0</v>
      </c>
      <c r="AR146" s="318">
        <f t="shared" si="120"/>
        <v>0</v>
      </c>
      <c r="AS146" s="318">
        <f t="shared" si="121"/>
        <v>0</v>
      </c>
      <c r="AT146" s="318">
        <f t="shared" si="122"/>
        <v>0</v>
      </c>
      <c r="AU146" s="318">
        <f t="shared" si="123"/>
        <v>0</v>
      </c>
      <c r="AV146" s="318">
        <f t="shared" si="124"/>
        <v>0</v>
      </c>
      <c r="AW146" s="318">
        <f t="shared" si="125"/>
        <v>0</v>
      </c>
      <c r="AX146" s="318">
        <f t="shared" si="126"/>
        <v>0</v>
      </c>
      <c r="AY146" s="318">
        <f t="shared" si="127"/>
        <v>0</v>
      </c>
      <c r="AZ146" s="318">
        <f t="shared" si="128"/>
        <v>0</v>
      </c>
      <c r="BA146" s="318">
        <f t="shared" si="129"/>
        <v>0</v>
      </c>
    </row>
    <row r="147" spans="1:53" s="315" customFormat="1" ht="15.75" customHeight="1">
      <c r="A147" s="63" t="str">
        <f t="array" ref="A147">IF(C147&lt;&gt;0,SUM(($C$11:C147&lt;&gt;0)*1),"")</f>
        <v/>
      </c>
      <c r="B147" s="316"/>
      <c r="C147" s="316"/>
      <c r="D147" s="316"/>
      <c r="E147" s="436"/>
      <c r="F147" s="372"/>
      <c r="G147" s="374"/>
      <c r="H147" s="374"/>
      <c r="I147" s="63" t="str">
        <f t="shared" si="91"/>
        <v/>
      </c>
      <c r="J147" s="318">
        <f t="shared" si="92"/>
        <v>0</v>
      </c>
      <c r="K147" s="318">
        <f t="shared" si="93"/>
        <v>0</v>
      </c>
      <c r="L147" s="318">
        <f t="shared" si="94"/>
        <v>0</v>
      </c>
      <c r="M147" s="318">
        <f t="shared" si="95"/>
        <v>0</v>
      </c>
      <c r="N147" s="318">
        <f t="shared" si="130"/>
        <v>0</v>
      </c>
      <c r="O147" s="318">
        <f t="shared" si="131"/>
        <v>0</v>
      </c>
      <c r="P147" s="318">
        <f t="shared" si="96"/>
        <v>0</v>
      </c>
      <c r="Q147" s="318">
        <f t="shared" si="97"/>
        <v>0</v>
      </c>
      <c r="R147" s="318">
        <f t="shared" si="98"/>
        <v>0</v>
      </c>
      <c r="S147" s="318">
        <f t="shared" si="99"/>
        <v>0</v>
      </c>
      <c r="T147" s="318">
        <f t="shared" si="132"/>
        <v>0</v>
      </c>
      <c r="U147" s="318">
        <f t="shared" si="133"/>
        <v>0</v>
      </c>
      <c r="V147" s="318">
        <f t="shared" si="100"/>
        <v>0</v>
      </c>
      <c r="W147" s="318">
        <f t="shared" si="101"/>
        <v>0</v>
      </c>
      <c r="X147" s="318">
        <f t="shared" si="102"/>
        <v>0</v>
      </c>
      <c r="Y147" s="318">
        <f t="shared" si="103"/>
        <v>0</v>
      </c>
      <c r="Z147" s="318">
        <f t="shared" si="104"/>
        <v>0</v>
      </c>
      <c r="AA147" s="318">
        <f t="shared" si="105"/>
        <v>0</v>
      </c>
      <c r="AB147" s="318">
        <f t="shared" si="106"/>
        <v>0</v>
      </c>
      <c r="AC147" s="318">
        <f t="shared" si="107"/>
        <v>0</v>
      </c>
      <c r="AD147" s="318">
        <f t="shared" si="108"/>
        <v>0</v>
      </c>
      <c r="AE147" s="318">
        <f t="shared" si="109"/>
        <v>0</v>
      </c>
      <c r="AF147" s="318">
        <f t="shared" si="134"/>
        <v>0</v>
      </c>
      <c r="AG147" s="318">
        <f t="shared" si="135"/>
        <v>0</v>
      </c>
      <c r="AH147" s="318">
        <f t="shared" si="110"/>
        <v>0</v>
      </c>
      <c r="AI147" s="318">
        <f t="shared" si="111"/>
        <v>0</v>
      </c>
      <c r="AJ147" s="318">
        <f t="shared" si="112"/>
        <v>0</v>
      </c>
      <c r="AK147" s="318">
        <f t="shared" si="113"/>
        <v>0</v>
      </c>
      <c r="AL147" s="318">
        <f t="shared" si="114"/>
        <v>0</v>
      </c>
      <c r="AM147" s="318">
        <f t="shared" si="115"/>
        <v>0</v>
      </c>
      <c r="AN147" s="318">
        <f t="shared" si="116"/>
        <v>0</v>
      </c>
      <c r="AO147" s="318">
        <f t="shared" si="117"/>
        <v>0</v>
      </c>
      <c r="AP147" s="318">
        <f t="shared" si="118"/>
        <v>0</v>
      </c>
      <c r="AQ147" s="318">
        <f t="shared" si="119"/>
        <v>0</v>
      </c>
      <c r="AR147" s="318">
        <f t="shared" si="120"/>
        <v>0</v>
      </c>
      <c r="AS147" s="318">
        <f t="shared" si="121"/>
        <v>0</v>
      </c>
      <c r="AT147" s="318">
        <f t="shared" si="122"/>
        <v>0</v>
      </c>
      <c r="AU147" s="318">
        <f t="shared" si="123"/>
        <v>0</v>
      </c>
      <c r="AV147" s="318">
        <f t="shared" si="124"/>
        <v>0</v>
      </c>
      <c r="AW147" s="318">
        <f t="shared" si="125"/>
        <v>0</v>
      </c>
      <c r="AX147" s="318">
        <f t="shared" si="126"/>
        <v>0</v>
      </c>
      <c r="AY147" s="318">
        <f t="shared" si="127"/>
        <v>0</v>
      </c>
      <c r="AZ147" s="318">
        <f t="shared" si="128"/>
        <v>0</v>
      </c>
      <c r="BA147" s="318">
        <f t="shared" si="129"/>
        <v>0</v>
      </c>
    </row>
    <row r="148" spans="1:53" s="315" customFormat="1" ht="15.75" customHeight="1">
      <c r="A148" s="63" t="str">
        <f t="array" ref="A148">IF(C148&lt;&gt;0,SUM(($C$11:C148&lt;&gt;0)*1),"")</f>
        <v/>
      </c>
      <c r="B148" s="316"/>
      <c r="C148" s="316"/>
      <c r="D148" s="316"/>
      <c r="E148" s="436"/>
      <c r="F148" s="372"/>
      <c r="G148" s="374"/>
      <c r="H148" s="374"/>
      <c r="I148" s="63" t="str">
        <f t="shared" si="91"/>
        <v/>
      </c>
      <c r="J148" s="318">
        <f t="shared" si="92"/>
        <v>0</v>
      </c>
      <c r="K148" s="318">
        <f t="shared" si="93"/>
        <v>0</v>
      </c>
      <c r="L148" s="318">
        <f t="shared" si="94"/>
        <v>0</v>
      </c>
      <c r="M148" s="318">
        <f t="shared" si="95"/>
        <v>0</v>
      </c>
      <c r="N148" s="318">
        <f t="shared" si="130"/>
        <v>0</v>
      </c>
      <c r="O148" s="318">
        <f t="shared" si="131"/>
        <v>0</v>
      </c>
      <c r="P148" s="318">
        <f t="shared" si="96"/>
        <v>0</v>
      </c>
      <c r="Q148" s="318">
        <f t="shared" si="97"/>
        <v>0</v>
      </c>
      <c r="R148" s="318">
        <f t="shared" si="98"/>
        <v>0</v>
      </c>
      <c r="S148" s="318">
        <f t="shared" si="99"/>
        <v>0</v>
      </c>
      <c r="T148" s="318">
        <f t="shared" si="132"/>
        <v>0</v>
      </c>
      <c r="U148" s="318">
        <f t="shared" si="133"/>
        <v>0</v>
      </c>
      <c r="V148" s="318">
        <f t="shared" si="100"/>
        <v>0</v>
      </c>
      <c r="W148" s="318">
        <f t="shared" si="101"/>
        <v>0</v>
      </c>
      <c r="X148" s="318">
        <f t="shared" si="102"/>
        <v>0</v>
      </c>
      <c r="Y148" s="318">
        <f t="shared" si="103"/>
        <v>0</v>
      </c>
      <c r="Z148" s="318">
        <f t="shared" si="104"/>
        <v>0</v>
      </c>
      <c r="AA148" s="318">
        <f t="shared" si="105"/>
        <v>0</v>
      </c>
      <c r="AB148" s="318">
        <f t="shared" si="106"/>
        <v>0</v>
      </c>
      <c r="AC148" s="318">
        <f t="shared" si="107"/>
        <v>0</v>
      </c>
      <c r="AD148" s="318">
        <f t="shared" si="108"/>
        <v>0</v>
      </c>
      <c r="AE148" s="318">
        <f t="shared" si="109"/>
        <v>0</v>
      </c>
      <c r="AF148" s="318">
        <f t="shared" si="134"/>
        <v>0</v>
      </c>
      <c r="AG148" s="318">
        <f t="shared" si="135"/>
        <v>0</v>
      </c>
      <c r="AH148" s="318">
        <f t="shared" si="110"/>
        <v>0</v>
      </c>
      <c r="AI148" s="318">
        <f t="shared" si="111"/>
        <v>0</v>
      </c>
      <c r="AJ148" s="318">
        <f t="shared" si="112"/>
        <v>0</v>
      </c>
      <c r="AK148" s="318">
        <f t="shared" si="113"/>
        <v>0</v>
      </c>
      <c r="AL148" s="318">
        <f t="shared" si="114"/>
        <v>0</v>
      </c>
      <c r="AM148" s="318">
        <f t="shared" si="115"/>
        <v>0</v>
      </c>
      <c r="AN148" s="318">
        <f t="shared" si="116"/>
        <v>0</v>
      </c>
      <c r="AO148" s="318">
        <f t="shared" si="117"/>
        <v>0</v>
      </c>
      <c r="AP148" s="318">
        <f t="shared" si="118"/>
        <v>0</v>
      </c>
      <c r="AQ148" s="318">
        <f t="shared" si="119"/>
        <v>0</v>
      </c>
      <c r="AR148" s="318">
        <f t="shared" si="120"/>
        <v>0</v>
      </c>
      <c r="AS148" s="318">
        <f t="shared" si="121"/>
        <v>0</v>
      </c>
      <c r="AT148" s="318">
        <f t="shared" si="122"/>
        <v>0</v>
      </c>
      <c r="AU148" s="318">
        <f t="shared" si="123"/>
        <v>0</v>
      </c>
      <c r="AV148" s="318">
        <f t="shared" si="124"/>
        <v>0</v>
      </c>
      <c r="AW148" s="318">
        <f t="shared" si="125"/>
        <v>0</v>
      </c>
      <c r="AX148" s="318">
        <f t="shared" si="126"/>
        <v>0</v>
      </c>
      <c r="AY148" s="318">
        <f t="shared" si="127"/>
        <v>0</v>
      </c>
      <c r="AZ148" s="318">
        <f t="shared" si="128"/>
        <v>0</v>
      </c>
      <c r="BA148" s="318">
        <f t="shared" si="129"/>
        <v>0</v>
      </c>
    </row>
    <row r="149" spans="1:53" s="315" customFormat="1" ht="15.75" customHeight="1">
      <c r="A149" s="63" t="str">
        <f t="array" ref="A149">IF(C149&lt;&gt;0,SUM(($C$11:C149&lt;&gt;0)*1),"")</f>
        <v/>
      </c>
      <c r="B149" s="316"/>
      <c r="C149" s="316"/>
      <c r="D149" s="316"/>
      <c r="E149" s="436"/>
      <c r="F149" s="372"/>
      <c r="G149" s="374"/>
      <c r="H149" s="374"/>
      <c r="I149" s="63" t="str">
        <f t="shared" si="91"/>
        <v/>
      </c>
      <c r="J149" s="318">
        <f t="shared" si="92"/>
        <v>0</v>
      </c>
      <c r="K149" s="318">
        <f t="shared" si="93"/>
        <v>0</v>
      </c>
      <c r="L149" s="318">
        <f t="shared" si="94"/>
        <v>0</v>
      </c>
      <c r="M149" s="318">
        <f t="shared" si="95"/>
        <v>0</v>
      </c>
      <c r="N149" s="318">
        <f t="shared" si="130"/>
        <v>0</v>
      </c>
      <c r="O149" s="318">
        <f t="shared" si="131"/>
        <v>0</v>
      </c>
      <c r="P149" s="318">
        <f t="shared" si="96"/>
        <v>0</v>
      </c>
      <c r="Q149" s="318">
        <f t="shared" si="97"/>
        <v>0</v>
      </c>
      <c r="R149" s="318">
        <f t="shared" si="98"/>
        <v>0</v>
      </c>
      <c r="S149" s="318">
        <f t="shared" si="99"/>
        <v>0</v>
      </c>
      <c r="T149" s="318">
        <f t="shared" si="132"/>
        <v>0</v>
      </c>
      <c r="U149" s="318">
        <f t="shared" si="133"/>
        <v>0</v>
      </c>
      <c r="V149" s="318">
        <f t="shared" si="100"/>
        <v>0</v>
      </c>
      <c r="W149" s="318">
        <f t="shared" si="101"/>
        <v>0</v>
      </c>
      <c r="X149" s="318">
        <f t="shared" si="102"/>
        <v>0</v>
      </c>
      <c r="Y149" s="318">
        <f t="shared" si="103"/>
        <v>0</v>
      </c>
      <c r="Z149" s="318">
        <f t="shared" si="104"/>
        <v>0</v>
      </c>
      <c r="AA149" s="318">
        <f t="shared" si="105"/>
        <v>0</v>
      </c>
      <c r="AB149" s="318">
        <f t="shared" si="106"/>
        <v>0</v>
      </c>
      <c r="AC149" s="318">
        <f t="shared" si="107"/>
        <v>0</v>
      </c>
      <c r="AD149" s="318">
        <f t="shared" si="108"/>
        <v>0</v>
      </c>
      <c r="AE149" s="318">
        <f t="shared" si="109"/>
        <v>0</v>
      </c>
      <c r="AF149" s="318">
        <f t="shared" si="134"/>
        <v>0</v>
      </c>
      <c r="AG149" s="318">
        <f t="shared" si="135"/>
        <v>0</v>
      </c>
      <c r="AH149" s="318">
        <f t="shared" si="110"/>
        <v>0</v>
      </c>
      <c r="AI149" s="318">
        <f t="shared" si="111"/>
        <v>0</v>
      </c>
      <c r="AJ149" s="318">
        <f t="shared" si="112"/>
        <v>0</v>
      </c>
      <c r="AK149" s="318">
        <f t="shared" si="113"/>
        <v>0</v>
      </c>
      <c r="AL149" s="318">
        <f t="shared" si="114"/>
        <v>0</v>
      </c>
      <c r="AM149" s="318">
        <f t="shared" si="115"/>
        <v>0</v>
      </c>
      <c r="AN149" s="318">
        <f t="shared" si="116"/>
        <v>0</v>
      </c>
      <c r="AO149" s="318">
        <f t="shared" si="117"/>
        <v>0</v>
      </c>
      <c r="AP149" s="318">
        <f t="shared" si="118"/>
        <v>0</v>
      </c>
      <c r="AQ149" s="318">
        <f t="shared" si="119"/>
        <v>0</v>
      </c>
      <c r="AR149" s="318">
        <f t="shared" si="120"/>
        <v>0</v>
      </c>
      <c r="AS149" s="318">
        <f t="shared" si="121"/>
        <v>0</v>
      </c>
      <c r="AT149" s="318">
        <f t="shared" si="122"/>
        <v>0</v>
      </c>
      <c r="AU149" s="318">
        <f t="shared" si="123"/>
        <v>0</v>
      </c>
      <c r="AV149" s="318">
        <f t="shared" si="124"/>
        <v>0</v>
      </c>
      <c r="AW149" s="318">
        <f t="shared" si="125"/>
        <v>0</v>
      </c>
      <c r="AX149" s="318">
        <f t="shared" si="126"/>
        <v>0</v>
      </c>
      <c r="AY149" s="318">
        <f t="shared" si="127"/>
        <v>0</v>
      </c>
      <c r="AZ149" s="318">
        <f t="shared" si="128"/>
        <v>0</v>
      </c>
      <c r="BA149" s="318">
        <f t="shared" si="129"/>
        <v>0</v>
      </c>
    </row>
    <row r="150" spans="1:53" s="315" customFormat="1" ht="15.75" customHeight="1">
      <c r="A150" s="63" t="str">
        <f t="array" ref="A150">IF(C150&lt;&gt;0,SUM(($C$11:C150&lt;&gt;0)*1),"")</f>
        <v/>
      </c>
      <c r="B150" s="316"/>
      <c r="C150" s="316"/>
      <c r="D150" s="316"/>
      <c r="E150" s="436"/>
      <c r="F150" s="372"/>
      <c r="G150" s="374"/>
      <c r="H150" s="374"/>
      <c r="I150" s="63" t="str">
        <f t="shared" si="91"/>
        <v/>
      </c>
      <c r="J150" s="318">
        <f t="shared" si="92"/>
        <v>0</v>
      </c>
      <c r="K150" s="318">
        <f t="shared" si="93"/>
        <v>0</v>
      </c>
      <c r="L150" s="318">
        <f t="shared" si="94"/>
        <v>0</v>
      </c>
      <c r="M150" s="318">
        <f t="shared" si="95"/>
        <v>0</v>
      </c>
      <c r="N150" s="318">
        <f t="shared" si="130"/>
        <v>0</v>
      </c>
      <c r="O150" s="318">
        <f t="shared" si="131"/>
        <v>0</v>
      </c>
      <c r="P150" s="318">
        <f t="shared" si="96"/>
        <v>0</v>
      </c>
      <c r="Q150" s="318">
        <f t="shared" si="97"/>
        <v>0</v>
      </c>
      <c r="R150" s="318">
        <f t="shared" si="98"/>
        <v>0</v>
      </c>
      <c r="S150" s="318">
        <f t="shared" si="99"/>
        <v>0</v>
      </c>
      <c r="T150" s="318">
        <f t="shared" si="132"/>
        <v>0</v>
      </c>
      <c r="U150" s="318">
        <f t="shared" si="133"/>
        <v>0</v>
      </c>
      <c r="V150" s="318">
        <f t="shared" si="100"/>
        <v>0</v>
      </c>
      <c r="W150" s="318">
        <f t="shared" si="101"/>
        <v>0</v>
      </c>
      <c r="X150" s="318">
        <f t="shared" si="102"/>
        <v>0</v>
      </c>
      <c r="Y150" s="318">
        <f t="shared" si="103"/>
        <v>0</v>
      </c>
      <c r="Z150" s="318">
        <f t="shared" si="104"/>
        <v>0</v>
      </c>
      <c r="AA150" s="318">
        <f t="shared" si="105"/>
        <v>0</v>
      </c>
      <c r="AB150" s="318">
        <f t="shared" si="106"/>
        <v>0</v>
      </c>
      <c r="AC150" s="318">
        <f t="shared" si="107"/>
        <v>0</v>
      </c>
      <c r="AD150" s="318">
        <f t="shared" si="108"/>
        <v>0</v>
      </c>
      <c r="AE150" s="318">
        <f t="shared" si="109"/>
        <v>0</v>
      </c>
      <c r="AF150" s="318">
        <f t="shared" si="134"/>
        <v>0</v>
      </c>
      <c r="AG150" s="318">
        <f t="shared" si="135"/>
        <v>0</v>
      </c>
      <c r="AH150" s="318">
        <f t="shared" si="110"/>
        <v>0</v>
      </c>
      <c r="AI150" s="318">
        <f t="shared" si="111"/>
        <v>0</v>
      </c>
      <c r="AJ150" s="318">
        <f t="shared" si="112"/>
        <v>0</v>
      </c>
      <c r="AK150" s="318">
        <f t="shared" si="113"/>
        <v>0</v>
      </c>
      <c r="AL150" s="318">
        <f t="shared" si="114"/>
        <v>0</v>
      </c>
      <c r="AM150" s="318">
        <f t="shared" si="115"/>
        <v>0</v>
      </c>
      <c r="AN150" s="318">
        <f t="shared" si="116"/>
        <v>0</v>
      </c>
      <c r="AO150" s="318">
        <f t="shared" si="117"/>
        <v>0</v>
      </c>
      <c r="AP150" s="318">
        <f t="shared" si="118"/>
        <v>0</v>
      </c>
      <c r="AQ150" s="318">
        <f t="shared" si="119"/>
        <v>0</v>
      </c>
      <c r="AR150" s="318">
        <f t="shared" si="120"/>
        <v>0</v>
      </c>
      <c r="AS150" s="318">
        <f t="shared" si="121"/>
        <v>0</v>
      </c>
      <c r="AT150" s="318">
        <f t="shared" si="122"/>
        <v>0</v>
      </c>
      <c r="AU150" s="318">
        <f t="shared" si="123"/>
        <v>0</v>
      </c>
      <c r="AV150" s="318">
        <f t="shared" si="124"/>
        <v>0</v>
      </c>
      <c r="AW150" s="318">
        <f t="shared" si="125"/>
        <v>0</v>
      </c>
      <c r="AX150" s="318">
        <f t="shared" si="126"/>
        <v>0</v>
      </c>
      <c r="AY150" s="318">
        <f t="shared" si="127"/>
        <v>0</v>
      </c>
      <c r="AZ150" s="318">
        <f t="shared" si="128"/>
        <v>0</v>
      </c>
      <c r="BA150" s="318">
        <f t="shared" si="129"/>
        <v>0</v>
      </c>
    </row>
    <row r="151" spans="1:53" s="315" customFormat="1" ht="15.75" customHeight="1">
      <c r="A151" s="63" t="str">
        <f t="array" ref="A151">IF(C151&lt;&gt;0,SUM(($C$11:C151&lt;&gt;0)*1),"")</f>
        <v/>
      </c>
      <c r="B151" s="316"/>
      <c r="C151" s="316"/>
      <c r="D151" s="316"/>
      <c r="E151" s="436"/>
      <c r="F151" s="372"/>
      <c r="G151" s="374"/>
      <c r="H151" s="374"/>
      <c r="I151" s="63" t="str">
        <f t="shared" si="91"/>
        <v/>
      </c>
      <c r="J151" s="318">
        <f t="shared" si="92"/>
        <v>0</v>
      </c>
      <c r="K151" s="318">
        <f t="shared" si="93"/>
        <v>0</v>
      </c>
      <c r="L151" s="318">
        <f t="shared" si="94"/>
        <v>0</v>
      </c>
      <c r="M151" s="318">
        <f t="shared" si="95"/>
        <v>0</v>
      </c>
      <c r="N151" s="318">
        <f t="shared" si="130"/>
        <v>0</v>
      </c>
      <c r="O151" s="318">
        <f t="shared" si="131"/>
        <v>0</v>
      </c>
      <c r="P151" s="318">
        <f t="shared" si="96"/>
        <v>0</v>
      </c>
      <c r="Q151" s="318">
        <f t="shared" si="97"/>
        <v>0</v>
      </c>
      <c r="R151" s="318">
        <f t="shared" si="98"/>
        <v>0</v>
      </c>
      <c r="S151" s="318">
        <f t="shared" si="99"/>
        <v>0</v>
      </c>
      <c r="T151" s="318">
        <f t="shared" si="132"/>
        <v>0</v>
      </c>
      <c r="U151" s="318">
        <f t="shared" si="133"/>
        <v>0</v>
      </c>
      <c r="V151" s="318">
        <f t="shared" si="100"/>
        <v>0</v>
      </c>
      <c r="W151" s="318">
        <f t="shared" si="101"/>
        <v>0</v>
      </c>
      <c r="X151" s="318">
        <f t="shared" si="102"/>
        <v>0</v>
      </c>
      <c r="Y151" s="318">
        <f t="shared" si="103"/>
        <v>0</v>
      </c>
      <c r="Z151" s="318">
        <f t="shared" si="104"/>
        <v>0</v>
      </c>
      <c r="AA151" s="318">
        <f t="shared" si="105"/>
        <v>0</v>
      </c>
      <c r="AB151" s="318">
        <f t="shared" si="106"/>
        <v>0</v>
      </c>
      <c r="AC151" s="318">
        <f t="shared" si="107"/>
        <v>0</v>
      </c>
      <c r="AD151" s="318">
        <f t="shared" si="108"/>
        <v>0</v>
      </c>
      <c r="AE151" s="318">
        <f t="shared" si="109"/>
        <v>0</v>
      </c>
      <c r="AF151" s="318">
        <f t="shared" si="134"/>
        <v>0</v>
      </c>
      <c r="AG151" s="318">
        <f t="shared" si="135"/>
        <v>0</v>
      </c>
      <c r="AH151" s="318">
        <f t="shared" si="110"/>
        <v>0</v>
      </c>
      <c r="AI151" s="318">
        <f t="shared" si="111"/>
        <v>0</v>
      </c>
      <c r="AJ151" s="318">
        <f t="shared" si="112"/>
        <v>0</v>
      </c>
      <c r="AK151" s="318">
        <f t="shared" si="113"/>
        <v>0</v>
      </c>
      <c r="AL151" s="318">
        <f t="shared" si="114"/>
        <v>0</v>
      </c>
      <c r="AM151" s="318">
        <f t="shared" si="115"/>
        <v>0</v>
      </c>
      <c r="AN151" s="318">
        <f t="shared" si="116"/>
        <v>0</v>
      </c>
      <c r="AO151" s="318">
        <f t="shared" si="117"/>
        <v>0</v>
      </c>
      <c r="AP151" s="318">
        <f t="shared" si="118"/>
        <v>0</v>
      </c>
      <c r="AQ151" s="318">
        <f t="shared" si="119"/>
        <v>0</v>
      </c>
      <c r="AR151" s="318">
        <f t="shared" si="120"/>
        <v>0</v>
      </c>
      <c r="AS151" s="318">
        <f t="shared" si="121"/>
        <v>0</v>
      </c>
      <c r="AT151" s="318">
        <f t="shared" si="122"/>
        <v>0</v>
      </c>
      <c r="AU151" s="318">
        <f t="shared" si="123"/>
        <v>0</v>
      </c>
      <c r="AV151" s="318">
        <f t="shared" si="124"/>
        <v>0</v>
      </c>
      <c r="AW151" s="318">
        <f t="shared" si="125"/>
        <v>0</v>
      </c>
      <c r="AX151" s="318">
        <f t="shared" si="126"/>
        <v>0</v>
      </c>
      <c r="AY151" s="318">
        <f t="shared" si="127"/>
        <v>0</v>
      </c>
      <c r="AZ151" s="318">
        <f t="shared" si="128"/>
        <v>0</v>
      </c>
      <c r="BA151" s="318">
        <f t="shared" si="129"/>
        <v>0</v>
      </c>
    </row>
    <row r="152" spans="1:53" s="315" customFormat="1" ht="15.75" customHeight="1">
      <c r="A152" s="63" t="str">
        <f t="array" ref="A152">IF(C152&lt;&gt;0,SUM(($C$11:C152&lt;&gt;0)*1),"")</f>
        <v/>
      </c>
      <c r="B152" s="316"/>
      <c r="C152" s="316"/>
      <c r="D152" s="316"/>
      <c r="E152" s="436"/>
      <c r="F152" s="372"/>
      <c r="G152" s="374"/>
      <c r="H152" s="374"/>
      <c r="I152" s="63" t="str">
        <f t="shared" si="91"/>
        <v/>
      </c>
      <c r="J152" s="318">
        <f t="shared" si="92"/>
        <v>0</v>
      </c>
      <c r="K152" s="318">
        <f t="shared" si="93"/>
        <v>0</v>
      </c>
      <c r="L152" s="318">
        <f t="shared" si="94"/>
        <v>0</v>
      </c>
      <c r="M152" s="318">
        <f t="shared" si="95"/>
        <v>0</v>
      </c>
      <c r="N152" s="318">
        <f t="shared" si="130"/>
        <v>0</v>
      </c>
      <c r="O152" s="318">
        <f t="shared" si="131"/>
        <v>0</v>
      </c>
      <c r="P152" s="318">
        <f t="shared" si="96"/>
        <v>0</v>
      </c>
      <c r="Q152" s="318">
        <f t="shared" si="97"/>
        <v>0</v>
      </c>
      <c r="R152" s="318">
        <f t="shared" si="98"/>
        <v>0</v>
      </c>
      <c r="S152" s="318">
        <f t="shared" si="99"/>
        <v>0</v>
      </c>
      <c r="T152" s="318">
        <f t="shared" si="132"/>
        <v>0</v>
      </c>
      <c r="U152" s="318">
        <f t="shared" si="133"/>
        <v>0</v>
      </c>
      <c r="V152" s="318">
        <f t="shared" si="100"/>
        <v>0</v>
      </c>
      <c r="W152" s="318">
        <f t="shared" si="101"/>
        <v>0</v>
      </c>
      <c r="X152" s="318">
        <f t="shared" si="102"/>
        <v>0</v>
      </c>
      <c r="Y152" s="318">
        <f t="shared" si="103"/>
        <v>0</v>
      </c>
      <c r="Z152" s="318">
        <f t="shared" si="104"/>
        <v>0</v>
      </c>
      <c r="AA152" s="318">
        <f t="shared" si="105"/>
        <v>0</v>
      </c>
      <c r="AB152" s="318">
        <f t="shared" si="106"/>
        <v>0</v>
      </c>
      <c r="AC152" s="318">
        <f t="shared" si="107"/>
        <v>0</v>
      </c>
      <c r="AD152" s="318">
        <f t="shared" si="108"/>
        <v>0</v>
      </c>
      <c r="AE152" s="318">
        <f t="shared" si="109"/>
        <v>0</v>
      </c>
      <c r="AF152" s="318">
        <f t="shared" si="134"/>
        <v>0</v>
      </c>
      <c r="AG152" s="318">
        <f t="shared" si="135"/>
        <v>0</v>
      </c>
      <c r="AH152" s="318">
        <f t="shared" si="110"/>
        <v>0</v>
      </c>
      <c r="AI152" s="318">
        <f t="shared" si="111"/>
        <v>0</v>
      </c>
      <c r="AJ152" s="318">
        <f t="shared" si="112"/>
        <v>0</v>
      </c>
      <c r="AK152" s="318">
        <f t="shared" si="113"/>
        <v>0</v>
      </c>
      <c r="AL152" s="318">
        <f t="shared" si="114"/>
        <v>0</v>
      </c>
      <c r="AM152" s="318">
        <f t="shared" si="115"/>
        <v>0</v>
      </c>
      <c r="AN152" s="318">
        <f t="shared" si="116"/>
        <v>0</v>
      </c>
      <c r="AO152" s="318">
        <f t="shared" si="117"/>
        <v>0</v>
      </c>
      <c r="AP152" s="318">
        <f t="shared" si="118"/>
        <v>0</v>
      </c>
      <c r="AQ152" s="318">
        <f t="shared" si="119"/>
        <v>0</v>
      </c>
      <c r="AR152" s="318">
        <f t="shared" si="120"/>
        <v>0</v>
      </c>
      <c r="AS152" s="318">
        <f t="shared" si="121"/>
        <v>0</v>
      </c>
      <c r="AT152" s="318">
        <f t="shared" si="122"/>
        <v>0</v>
      </c>
      <c r="AU152" s="318">
        <f t="shared" si="123"/>
        <v>0</v>
      </c>
      <c r="AV152" s="318">
        <f t="shared" si="124"/>
        <v>0</v>
      </c>
      <c r="AW152" s="318">
        <f t="shared" si="125"/>
        <v>0</v>
      </c>
      <c r="AX152" s="318">
        <f t="shared" si="126"/>
        <v>0</v>
      </c>
      <c r="AY152" s="318">
        <f t="shared" si="127"/>
        <v>0</v>
      </c>
      <c r="AZ152" s="318">
        <f t="shared" si="128"/>
        <v>0</v>
      </c>
      <c r="BA152" s="318">
        <f t="shared" si="129"/>
        <v>0</v>
      </c>
    </row>
    <row r="153" spans="1:53" s="315" customFormat="1" ht="15.75" customHeight="1">
      <c r="A153" s="63" t="str">
        <f t="array" ref="A153">IF(C153&lt;&gt;0,SUM(($C$11:C153&lt;&gt;0)*1),"")</f>
        <v/>
      </c>
      <c r="B153" s="316"/>
      <c r="C153" s="316"/>
      <c r="D153" s="316"/>
      <c r="E153" s="436"/>
      <c r="F153" s="372"/>
      <c r="G153" s="374"/>
      <c r="H153" s="374"/>
      <c r="I153" s="63" t="str">
        <f t="shared" si="91"/>
        <v/>
      </c>
      <c r="J153" s="318">
        <f t="shared" si="92"/>
        <v>0</v>
      </c>
      <c r="K153" s="318">
        <f t="shared" si="93"/>
        <v>0</v>
      </c>
      <c r="L153" s="318">
        <f t="shared" si="94"/>
        <v>0</v>
      </c>
      <c r="M153" s="318">
        <f t="shared" si="95"/>
        <v>0</v>
      </c>
      <c r="N153" s="318">
        <f t="shared" si="130"/>
        <v>0</v>
      </c>
      <c r="O153" s="318">
        <f t="shared" si="131"/>
        <v>0</v>
      </c>
      <c r="P153" s="318">
        <f t="shared" si="96"/>
        <v>0</v>
      </c>
      <c r="Q153" s="318">
        <f t="shared" si="97"/>
        <v>0</v>
      </c>
      <c r="R153" s="318">
        <f t="shared" si="98"/>
        <v>0</v>
      </c>
      <c r="S153" s="318">
        <f t="shared" si="99"/>
        <v>0</v>
      </c>
      <c r="T153" s="318">
        <f t="shared" si="132"/>
        <v>0</v>
      </c>
      <c r="U153" s="318">
        <f t="shared" si="133"/>
        <v>0</v>
      </c>
      <c r="V153" s="318">
        <f t="shared" si="100"/>
        <v>0</v>
      </c>
      <c r="W153" s="318">
        <f t="shared" si="101"/>
        <v>0</v>
      </c>
      <c r="X153" s="318">
        <f t="shared" si="102"/>
        <v>0</v>
      </c>
      <c r="Y153" s="318">
        <f t="shared" si="103"/>
        <v>0</v>
      </c>
      <c r="Z153" s="318">
        <f t="shared" si="104"/>
        <v>0</v>
      </c>
      <c r="AA153" s="318">
        <f t="shared" si="105"/>
        <v>0</v>
      </c>
      <c r="AB153" s="318">
        <f t="shared" si="106"/>
        <v>0</v>
      </c>
      <c r="AC153" s="318">
        <f t="shared" si="107"/>
        <v>0</v>
      </c>
      <c r="AD153" s="318">
        <f t="shared" si="108"/>
        <v>0</v>
      </c>
      <c r="AE153" s="318">
        <f t="shared" si="109"/>
        <v>0</v>
      </c>
      <c r="AF153" s="318">
        <f t="shared" si="134"/>
        <v>0</v>
      </c>
      <c r="AG153" s="318">
        <f t="shared" si="135"/>
        <v>0</v>
      </c>
      <c r="AH153" s="318">
        <f t="shared" si="110"/>
        <v>0</v>
      </c>
      <c r="AI153" s="318">
        <f t="shared" si="111"/>
        <v>0</v>
      </c>
      <c r="AJ153" s="318">
        <f t="shared" si="112"/>
        <v>0</v>
      </c>
      <c r="AK153" s="318">
        <f t="shared" si="113"/>
        <v>0</v>
      </c>
      <c r="AL153" s="318">
        <f t="shared" si="114"/>
        <v>0</v>
      </c>
      <c r="AM153" s="318">
        <f t="shared" si="115"/>
        <v>0</v>
      </c>
      <c r="AN153" s="318">
        <f t="shared" si="116"/>
        <v>0</v>
      </c>
      <c r="AO153" s="318">
        <f t="shared" si="117"/>
        <v>0</v>
      </c>
      <c r="AP153" s="318">
        <f t="shared" si="118"/>
        <v>0</v>
      </c>
      <c r="AQ153" s="318">
        <f t="shared" si="119"/>
        <v>0</v>
      </c>
      <c r="AR153" s="318">
        <f t="shared" si="120"/>
        <v>0</v>
      </c>
      <c r="AS153" s="318">
        <f t="shared" si="121"/>
        <v>0</v>
      </c>
      <c r="AT153" s="318">
        <f t="shared" si="122"/>
        <v>0</v>
      </c>
      <c r="AU153" s="318">
        <f t="shared" si="123"/>
        <v>0</v>
      </c>
      <c r="AV153" s="318">
        <f t="shared" si="124"/>
        <v>0</v>
      </c>
      <c r="AW153" s="318">
        <f t="shared" si="125"/>
        <v>0</v>
      </c>
      <c r="AX153" s="318">
        <f t="shared" si="126"/>
        <v>0</v>
      </c>
      <c r="AY153" s="318">
        <f t="shared" si="127"/>
        <v>0</v>
      </c>
      <c r="AZ153" s="318">
        <f t="shared" si="128"/>
        <v>0</v>
      </c>
      <c r="BA153" s="318">
        <f t="shared" si="129"/>
        <v>0</v>
      </c>
    </row>
    <row r="154" spans="1:53" s="315" customFormat="1" ht="15.75" customHeight="1">
      <c r="A154" s="63" t="str">
        <f t="array" ref="A154">IF(C154&lt;&gt;0,SUM(($C$11:C154&lt;&gt;0)*1),"")</f>
        <v/>
      </c>
      <c r="B154" s="316"/>
      <c r="C154" s="316"/>
      <c r="D154" s="316"/>
      <c r="E154" s="436"/>
      <c r="F154" s="372"/>
      <c r="G154" s="374"/>
      <c r="H154" s="374"/>
      <c r="I154" s="63" t="str">
        <f t="shared" si="91"/>
        <v/>
      </c>
      <c r="J154" s="318">
        <f t="shared" si="92"/>
        <v>0</v>
      </c>
      <c r="K154" s="318">
        <f t="shared" si="93"/>
        <v>0</v>
      </c>
      <c r="L154" s="318">
        <f t="shared" si="94"/>
        <v>0</v>
      </c>
      <c r="M154" s="318">
        <f t="shared" si="95"/>
        <v>0</v>
      </c>
      <c r="N154" s="318">
        <f t="shared" si="130"/>
        <v>0</v>
      </c>
      <c r="O154" s="318">
        <f t="shared" si="131"/>
        <v>0</v>
      </c>
      <c r="P154" s="318">
        <f t="shared" si="96"/>
        <v>0</v>
      </c>
      <c r="Q154" s="318">
        <f t="shared" si="97"/>
        <v>0</v>
      </c>
      <c r="R154" s="318">
        <f t="shared" si="98"/>
        <v>0</v>
      </c>
      <c r="S154" s="318">
        <f t="shared" si="99"/>
        <v>0</v>
      </c>
      <c r="T154" s="318">
        <f t="shared" si="132"/>
        <v>0</v>
      </c>
      <c r="U154" s="318">
        <f t="shared" si="133"/>
        <v>0</v>
      </c>
      <c r="V154" s="318">
        <f t="shared" si="100"/>
        <v>0</v>
      </c>
      <c r="W154" s="318">
        <f t="shared" si="101"/>
        <v>0</v>
      </c>
      <c r="X154" s="318">
        <f t="shared" si="102"/>
        <v>0</v>
      </c>
      <c r="Y154" s="318">
        <f t="shared" si="103"/>
        <v>0</v>
      </c>
      <c r="Z154" s="318">
        <f t="shared" si="104"/>
        <v>0</v>
      </c>
      <c r="AA154" s="318">
        <f t="shared" si="105"/>
        <v>0</v>
      </c>
      <c r="AB154" s="318">
        <f t="shared" si="106"/>
        <v>0</v>
      </c>
      <c r="AC154" s="318">
        <f t="shared" si="107"/>
        <v>0</v>
      </c>
      <c r="AD154" s="318">
        <f t="shared" si="108"/>
        <v>0</v>
      </c>
      <c r="AE154" s="318">
        <f t="shared" si="109"/>
        <v>0</v>
      </c>
      <c r="AF154" s="318">
        <f t="shared" si="134"/>
        <v>0</v>
      </c>
      <c r="AG154" s="318">
        <f t="shared" si="135"/>
        <v>0</v>
      </c>
      <c r="AH154" s="318">
        <f t="shared" si="110"/>
        <v>0</v>
      </c>
      <c r="AI154" s="318">
        <f t="shared" si="111"/>
        <v>0</v>
      </c>
      <c r="AJ154" s="318">
        <f t="shared" si="112"/>
        <v>0</v>
      </c>
      <c r="AK154" s="318">
        <f t="shared" si="113"/>
        <v>0</v>
      </c>
      <c r="AL154" s="318">
        <f t="shared" si="114"/>
        <v>0</v>
      </c>
      <c r="AM154" s="318">
        <f t="shared" si="115"/>
        <v>0</v>
      </c>
      <c r="AN154" s="318">
        <f t="shared" si="116"/>
        <v>0</v>
      </c>
      <c r="AO154" s="318">
        <f t="shared" si="117"/>
        <v>0</v>
      </c>
      <c r="AP154" s="318">
        <f t="shared" si="118"/>
        <v>0</v>
      </c>
      <c r="AQ154" s="318">
        <f t="shared" si="119"/>
        <v>0</v>
      </c>
      <c r="AR154" s="318">
        <f t="shared" si="120"/>
        <v>0</v>
      </c>
      <c r="AS154" s="318">
        <f t="shared" si="121"/>
        <v>0</v>
      </c>
      <c r="AT154" s="318">
        <f t="shared" si="122"/>
        <v>0</v>
      </c>
      <c r="AU154" s="318">
        <f t="shared" si="123"/>
        <v>0</v>
      </c>
      <c r="AV154" s="318">
        <f t="shared" si="124"/>
        <v>0</v>
      </c>
      <c r="AW154" s="318">
        <f t="shared" si="125"/>
        <v>0</v>
      </c>
      <c r="AX154" s="318">
        <f t="shared" si="126"/>
        <v>0</v>
      </c>
      <c r="AY154" s="318">
        <f t="shared" si="127"/>
        <v>0</v>
      </c>
      <c r="AZ154" s="318">
        <f t="shared" si="128"/>
        <v>0</v>
      </c>
      <c r="BA154" s="318">
        <f t="shared" si="129"/>
        <v>0</v>
      </c>
    </row>
    <row r="155" spans="1:53" s="315" customFormat="1" ht="15.75" customHeight="1">
      <c r="A155" s="63" t="str">
        <f t="array" ref="A155">IF(C155&lt;&gt;0,SUM(($C$11:C155&lt;&gt;0)*1),"")</f>
        <v/>
      </c>
      <c r="B155" s="316"/>
      <c r="C155" s="316"/>
      <c r="D155" s="316"/>
      <c r="E155" s="436"/>
      <c r="F155" s="372"/>
      <c r="G155" s="374"/>
      <c r="H155" s="374"/>
      <c r="I155" s="63" t="str">
        <f t="shared" si="91"/>
        <v/>
      </c>
      <c r="J155" s="318">
        <f t="shared" si="92"/>
        <v>0</v>
      </c>
      <c r="K155" s="318">
        <f t="shared" si="93"/>
        <v>0</v>
      </c>
      <c r="L155" s="318">
        <f t="shared" si="94"/>
        <v>0</v>
      </c>
      <c r="M155" s="318">
        <f t="shared" si="95"/>
        <v>0</v>
      </c>
      <c r="N155" s="318">
        <f t="shared" si="130"/>
        <v>0</v>
      </c>
      <c r="O155" s="318">
        <f t="shared" si="131"/>
        <v>0</v>
      </c>
      <c r="P155" s="318">
        <f t="shared" si="96"/>
        <v>0</v>
      </c>
      <c r="Q155" s="318">
        <f t="shared" si="97"/>
        <v>0</v>
      </c>
      <c r="R155" s="318">
        <f t="shared" si="98"/>
        <v>0</v>
      </c>
      <c r="S155" s="318">
        <f t="shared" si="99"/>
        <v>0</v>
      </c>
      <c r="T155" s="318">
        <f t="shared" si="132"/>
        <v>0</v>
      </c>
      <c r="U155" s="318">
        <f t="shared" si="133"/>
        <v>0</v>
      </c>
      <c r="V155" s="318">
        <f t="shared" si="100"/>
        <v>0</v>
      </c>
      <c r="W155" s="318">
        <f t="shared" si="101"/>
        <v>0</v>
      </c>
      <c r="X155" s="318">
        <f t="shared" si="102"/>
        <v>0</v>
      </c>
      <c r="Y155" s="318">
        <f t="shared" si="103"/>
        <v>0</v>
      </c>
      <c r="Z155" s="318">
        <f t="shared" si="104"/>
        <v>0</v>
      </c>
      <c r="AA155" s="318">
        <f t="shared" si="105"/>
        <v>0</v>
      </c>
      <c r="AB155" s="318">
        <f t="shared" si="106"/>
        <v>0</v>
      </c>
      <c r="AC155" s="318">
        <f t="shared" si="107"/>
        <v>0</v>
      </c>
      <c r="AD155" s="318">
        <f t="shared" si="108"/>
        <v>0</v>
      </c>
      <c r="AE155" s="318">
        <f t="shared" si="109"/>
        <v>0</v>
      </c>
      <c r="AF155" s="318">
        <f t="shared" si="134"/>
        <v>0</v>
      </c>
      <c r="AG155" s="318">
        <f t="shared" si="135"/>
        <v>0</v>
      </c>
      <c r="AH155" s="318">
        <f t="shared" si="110"/>
        <v>0</v>
      </c>
      <c r="AI155" s="318">
        <f t="shared" si="111"/>
        <v>0</v>
      </c>
      <c r="AJ155" s="318">
        <f t="shared" si="112"/>
        <v>0</v>
      </c>
      <c r="AK155" s="318">
        <f t="shared" si="113"/>
        <v>0</v>
      </c>
      <c r="AL155" s="318">
        <f t="shared" si="114"/>
        <v>0</v>
      </c>
      <c r="AM155" s="318">
        <f t="shared" si="115"/>
        <v>0</v>
      </c>
      <c r="AN155" s="318">
        <f t="shared" si="116"/>
        <v>0</v>
      </c>
      <c r="AO155" s="318">
        <f t="shared" si="117"/>
        <v>0</v>
      </c>
      <c r="AP155" s="318">
        <f t="shared" si="118"/>
        <v>0</v>
      </c>
      <c r="AQ155" s="318">
        <f t="shared" si="119"/>
        <v>0</v>
      </c>
      <c r="AR155" s="318">
        <f t="shared" si="120"/>
        <v>0</v>
      </c>
      <c r="AS155" s="318">
        <f t="shared" si="121"/>
        <v>0</v>
      </c>
      <c r="AT155" s="318">
        <f t="shared" si="122"/>
        <v>0</v>
      </c>
      <c r="AU155" s="318">
        <f t="shared" si="123"/>
        <v>0</v>
      </c>
      <c r="AV155" s="318">
        <f t="shared" si="124"/>
        <v>0</v>
      </c>
      <c r="AW155" s="318">
        <f t="shared" si="125"/>
        <v>0</v>
      </c>
      <c r="AX155" s="318">
        <f t="shared" si="126"/>
        <v>0</v>
      </c>
      <c r="AY155" s="318">
        <f t="shared" si="127"/>
        <v>0</v>
      </c>
      <c r="AZ155" s="318">
        <f t="shared" si="128"/>
        <v>0</v>
      </c>
      <c r="BA155" s="318">
        <f t="shared" si="129"/>
        <v>0</v>
      </c>
    </row>
    <row r="156" spans="1:53" s="315" customFormat="1" ht="15.75" customHeight="1">
      <c r="A156" s="63" t="str">
        <f t="array" ref="A156">IF(C156&lt;&gt;0,SUM(($C$11:C156&lt;&gt;0)*1),"")</f>
        <v/>
      </c>
      <c r="B156" s="316"/>
      <c r="C156" s="316"/>
      <c r="D156" s="316"/>
      <c r="E156" s="436"/>
      <c r="F156" s="372"/>
      <c r="G156" s="374"/>
      <c r="H156" s="374"/>
      <c r="I156" s="63" t="str">
        <f t="shared" si="91"/>
        <v/>
      </c>
      <c r="J156" s="318">
        <f t="shared" si="92"/>
        <v>0</v>
      </c>
      <c r="K156" s="318">
        <f t="shared" si="93"/>
        <v>0</v>
      </c>
      <c r="L156" s="318">
        <f t="shared" si="94"/>
        <v>0</v>
      </c>
      <c r="M156" s="318">
        <f t="shared" si="95"/>
        <v>0</v>
      </c>
      <c r="N156" s="318">
        <f t="shared" si="130"/>
        <v>0</v>
      </c>
      <c r="O156" s="318">
        <f t="shared" si="131"/>
        <v>0</v>
      </c>
      <c r="P156" s="318">
        <f t="shared" si="96"/>
        <v>0</v>
      </c>
      <c r="Q156" s="318">
        <f t="shared" si="97"/>
        <v>0</v>
      </c>
      <c r="R156" s="318">
        <f t="shared" si="98"/>
        <v>0</v>
      </c>
      <c r="S156" s="318">
        <f t="shared" si="99"/>
        <v>0</v>
      </c>
      <c r="T156" s="318">
        <f t="shared" si="132"/>
        <v>0</v>
      </c>
      <c r="U156" s="318">
        <f t="shared" si="133"/>
        <v>0</v>
      </c>
      <c r="V156" s="318">
        <f t="shared" si="100"/>
        <v>0</v>
      </c>
      <c r="W156" s="318">
        <f t="shared" si="101"/>
        <v>0</v>
      </c>
      <c r="X156" s="318">
        <f t="shared" si="102"/>
        <v>0</v>
      </c>
      <c r="Y156" s="318">
        <f t="shared" si="103"/>
        <v>0</v>
      </c>
      <c r="Z156" s="318">
        <f t="shared" si="104"/>
        <v>0</v>
      </c>
      <c r="AA156" s="318">
        <f t="shared" si="105"/>
        <v>0</v>
      </c>
      <c r="AB156" s="318">
        <f t="shared" si="106"/>
        <v>0</v>
      </c>
      <c r="AC156" s="318">
        <f t="shared" si="107"/>
        <v>0</v>
      </c>
      <c r="AD156" s="318">
        <f t="shared" si="108"/>
        <v>0</v>
      </c>
      <c r="AE156" s="318">
        <f t="shared" si="109"/>
        <v>0</v>
      </c>
      <c r="AF156" s="318">
        <f t="shared" si="134"/>
        <v>0</v>
      </c>
      <c r="AG156" s="318">
        <f t="shared" si="135"/>
        <v>0</v>
      </c>
      <c r="AH156" s="318">
        <f t="shared" si="110"/>
        <v>0</v>
      </c>
      <c r="AI156" s="318">
        <f t="shared" si="111"/>
        <v>0</v>
      </c>
      <c r="AJ156" s="318">
        <f t="shared" si="112"/>
        <v>0</v>
      </c>
      <c r="AK156" s="318">
        <f t="shared" si="113"/>
        <v>0</v>
      </c>
      <c r="AL156" s="318">
        <f t="shared" si="114"/>
        <v>0</v>
      </c>
      <c r="AM156" s="318">
        <f t="shared" si="115"/>
        <v>0</v>
      </c>
      <c r="AN156" s="318">
        <f t="shared" si="116"/>
        <v>0</v>
      </c>
      <c r="AO156" s="318">
        <f t="shared" si="117"/>
        <v>0</v>
      </c>
      <c r="AP156" s="318">
        <f t="shared" si="118"/>
        <v>0</v>
      </c>
      <c r="AQ156" s="318">
        <f t="shared" si="119"/>
        <v>0</v>
      </c>
      <c r="AR156" s="318">
        <f t="shared" si="120"/>
        <v>0</v>
      </c>
      <c r="AS156" s="318">
        <f t="shared" si="121"/>
        <v>0</v>
      </c>
      <c r="AT156" s="318">
        <f t="shared" si="122"/>
        <v>0</v>
      </c>
      <c r="AU156" s="318">
        <f t="shared" si="123"/>
        <v>0</v>
      </c>
      <c r="AV156" s="318">
        <f t="shared" si="124"/>
        <v>0</v>
      </c>
      <c r="AW156" s="318">
        <f t="shared" si="125"/>
        <v>0</v>
      </c>
      <c r="AX156" s="318">
        <f t="shared" si="126"/>
        <v>0</v>
      </c>
      <c r="AY156" s="318">
        <f t="shared" si="127"/>
        <v>0</v>
      </c>
      <c r="AZ156" s="318">
        <f t="shared" si="128"/>
        <v>0</v>
      </c>
      <c r="BA156" s="318">
        <f t="shared" si="129"/>
        <v>0</v>
      </c>
    </row>
    <row r="157" spans="1:53" s="315" customFormat="1" ht="15.75" customHeight="1">
      <c r="A157" s="63" t="str">
        <f t="array" ref="A157">IF(C157&lt;&gt;0,SUM(($C$11:C157&lt;&gt;0)*1),"")</f>
        <v/>
      </c>
      <c r="B157" s="316"/>
      <c r="C157" s="316"/>
      <c r="D157" s="316"/>
      <c r="E157" s="436"/>
      <c r="F157" s="372"/>
      <c r="G157" s="374"/>
      <c r="H157" s="374"/>
      <c r="I157" s="63" t="str">
        <f t="shared" si="91"/>
        <v/>
      </c>
      <c r="J157" s="318">
        <f t="shared" si="92"/>
        <v>0</v>
      </c>
      <c r="K157" s="318">
        <f t="shared" si="93"/>
        <v>0</v>
      </c>
      <c r="L157" s="318">
        <f t="shared" si="94"/>
        <v>0</v>
      </c>
      <c r="M157" s="318">
        <f t="shared" si="95"/>
        <v>0</v>
      </c>
      <c r="N157" s="318">
        <f t="shared" si="130"/>
        <v>0</v>
      </c>
      <c r="O157" s="318">
        <f t="shared" si="131"/>
        <v>0</v>
      </c>
      <c r="P157" s="318">
        <f t="shared" si="96"/>
        <v>0</v>
      </c>
      <c r="Q157" s="318">
        <f t="shared" si="97"/>
        <v>0</v>
      </c>
      <c r="R157" s="318">
        <f t="shared" si="98"/>
        <v>0</v>
      </c>
      <c r="S157" s="318">
        <f t="shared" si="99"/>
        <v>0</v>
      </c>
      <c r="T157" s="318">
        <f t="shared" si="132"/>
        <v>0</v>
      </c>
      <c r="U157" s="318">
        <f t="shared" si="133"/>
        <v>0</v>
      </c>
      <c r="V157" s="318">
        <f t="shared" si="100"/>
        <v>0</v>
      </c>
      <c r="W157" s="318">
        <f t="shared" si="101"/>
        <v>0</v>
      </c>
      <c r="X157" s="318">
        <f t="shared" si="102"/>
        <v>0</v>
      </c>
      <c r="Y157" s="318">
        <f t="shared" si="103"/>
        <v>0</v>
      </c>
      <c r="Z157" s="318">
        <f t="shared" si="104"/>
        <v>0</v>
      </c>
      <c r="AA157" s="318">
        <f t="shared" si="105"/>
        <v>0</v>
      </c>
      <c r="AB157" s="318">
        <f t="shared" si="106"/>
        <v>0</v>
      </c>
      <c r="AC157" s="318">
        <f t="shared" si="107"/>
        <v>0</v>
      </c>
      <c r="AD157" s="318">
        <f t="shared" si="108"/>
        <v>0</v>
      </c>
      <c r="AE157" s="318">
        <f t="shared" si="109"/>
        <v>0</v>
      </c>
      <c r="AF157" s="318">
        <f t="shared" si="134"/>
        <v>0</v>
      </c>
      <c r="AG157" s="318">
        <f t="shared" si="135"/>
        <v>0</v>
      </c>
      <c r="AH157" s="318">
        <f t="shared" si="110"/>
        <v>0</v>
      </c>
      <c r="AI157" s="318">
        <f t="shared" si="111"/>
        <v>0</v>
      </c>
      <c r="AJ157" s="318">
        <f t="shared" si="112"/>
        <v>0</v>
      </c>
      <c r="AK157" s="318">
        <f t="shared" si="113"/>
        <v>0</v>
      </c>
      <c r="AL157" s="318">
        <f t="shared" si="114"/>
        <v>0</v>
      </c>
      <c r="AM157" s="318">
        <f t="shared" si="115"/>
        <v>0</v>
      </c>
      <c r="AN157" s="318">
        <f t="shared" si="116"/>
        <v>0</v>
      </c>
      <c r="AO157" s="318">
        <f t="shared" si="117"/>
        <v>0</v>
      </c>
      <c r="AP157" s="318">
        <f t="shared" si="118"/>
        <v>0</v>
      </c>
      <c r="AQ157" s="318">
        <f t="shared" si="119"/>
        <v>0</v>
      </c>
      <c r="AR157" s="318">
        <f t="shared" si="120"/>
        <v>0</v>
      </c>
      <c r="AS157" s="318">
        <f t="shared" si="121"/>
        <v>0</v>
      </c>
      <c r="AT157" s="318">
        <f t="shared" si="122"/>
        <v>0</v>
      </c>
      <c r="AU157" s="318">
        <f t="shared" si="123"/>
        <v>0</v>
      </c>
      <c r="AV157" s="318">
        <f t="shared" si="124"/>
        <v>0</v>
      </c>
      <c r="AW157" s="318">
        <f t="shared" si="125"/>
        <v>0</v>
      </c>
      <c r="AX157" s="318">
        <f t="shared" si="126"/>
        <v>0</v>
      </c>
      <c r="AY157" s="318">
        <f t="shared" si="127"/>
        <v>0</v>
      </c>
      <c r="AZ157" s="318">
        <f t="shared" si="128"/>
        <v>0</v>
      </c>
      <c r="BA157" s="318">
        <f t="shared" si="129"/>
        <v>0</v>
      </c>
    </row>
    <row r="158" spans="1:53" s="315" customFormat="1" ht="15.75" customHeight="1">
      <c r="A158" s="63" t="str">
        <f t="array" ref="A158">IF(C158&lt;&gt;0,SUM(($C$11:C158&lt;&gt;0)*1),"")</f>
        <v/>
      </c>
      <c r="B158" s="316"/>
      <c r="C158" s="316"/>
      <c r="D158" s="316"/>
      <c r="E158" s="436"/>
      <c r="F158" s="372"/>
      <c r="G158" s="374"/>
      <c r="H158" s="374"/>
      <c r="I158" s="63" t="str">
        <f t="shared" si="91"/>
        <v/>
      </c>
      <c r="J158" s="318">
        <f t="shared" si="92"/>
        <v>0</v>
      </c>
      <c r="K158" s="318">
        <f t="shared" si="93"/>
        <v>0</v>
      </c>
      <c r="L158" s="318">
        <f t="shared" si="94"/>
        <v>0</v>
      </c>
      <c r="M158" s="318">
        <f t="shared" si="95"/>
        <v>0</v>
      </c>
      <c r="N158" s="318">
        <f t="shared" si="130"/>
        <v>0</v>
      </c>
      <c r="O158" s="318">
        <f t="shared" si="131"/>
        <v>0</v>
      </c>
      <c r="P158" s="318">
        <f t="shared" si="96"/>
        <v>0</v>
      </c>
      <c r="Q158" s="318">
        <f t="shared" si="97"/>
        <v>0</v>
      </c>
      <c r="R158" s="318">
        <f t="shared" si="98"/>
        <v>0</v>
      </c>
      <c r="S158" s="318">
        <f t="shared" si="99"/>
        <v>0</v>
      </c>
      <c r="T158" s="318">
        <f t="shared" si="132"/>
        <v>0</v>
      </c>
      <c r="U158" s="318">
        <f t="shared" si="133"/>
        <v>0</v>
      </c>
      <c r="V158" s="318">
        <f t="shared" si="100"/>
        <v>0</v>
      </c>
      <c r="W158" s="318">
        <f t="shared" si="101"/>
        <v>0</v>
      </c>
      <c r="X158" s="318">
        <f t="shared" si="102"/>
        <v>0</v>
      </c>
      <c r="Y158" s="318">
        <f t="shared" si="103"/>
        <v>0</v>
      </c>
      <c r="Z158" s="318">
        <f t="shared" si="104"/>
        <v>0</v>
      </c>
      <c r="AA158" s="318">
        <f t="shared" si="105"/>
        <v>0</v>
      </c>
      <c r="AB158" s="318">
        <f t="shared" si="106"/>
        <v>0</v>
      </c>
      <c r="AC158" s="318">
        <f t="shared" si="107"/>
        <v>0</v>
      </c>
      <c r="AD158" s="318">
        <f t="shared" si="108"/>
        <v>0</v>
      </c>
      <c r="AE158" s="318">
        <f t="shared" si="109"/>
        <v>0</v>
      </c>
      <c r="AF158" s="318">
        <f t="shared" si="134"/>
        <v>0</v>
      </c>
      <c r="AG158" s="318">
        <f t="shared" si="135"/>
        <v>0</v>
      </c>
      <c r="AH158" s="318">
        <f t="shared" si="110"/>
        <v>0</v>
      </c>
      <c r="AI158" s="318">
        <f t="shared" si="111"/>
        <v>0</v>
      </c>
      <c r="AJ158" s="318">
        <f t="shared" si="112"/>
        <v>0</v>
      </c>
      <c r="AK158" s="318">
        <f t="shared" si="113"/>
        <v>0</v>
      </c>
      <c r="AL158" s="318">
        <f t="shared" si="114"/>
        <v>0</v>
      </c>
      <c r="AM158" s="318">
        <f t="shared" si="115"/>
        <v>0</v>
      </c>
      <c r="AN158" s="318">
        <f t="shared" si="116"/>
        <v>0</v>
      </c>
      <c r="AO158" s="318">
        <f t="shared" si="117"/>
        <v>0</v>
      </c>
      <c r="AP158" s="318">
        <f t="shared" si="118"/>
        <v>0</v>
      </c>
      <c r="AQ158" s="318">
        <f t="shared" si="119"/>
        <v>0</v>
      </c>
      <c r="AR158" s="318">
        <f t="shared" si="120"/>
        <v>0</v>
      </c>
      <c r="AS158" s="318">
        <f t="shared" si="121"/>
        <v>0</v>
      </c>
      <c r="AT158" s="318">
        <f t="shared" si="122"/>
        <v>0</v>
      </c>
      <c r="AU158" s="318">
        <f t="shared" si="123"/>
        <v>0</v>
      </c>
      <c r="AV158" s="318">
        <f t="shared" si="124"/>
        <v>0</v>
      </c>
      <c r="AW158" s="318">
        <f t="shared" si="125"/>
        <v>0</v>
      </c>
      <c r="AX158" s="318">
        <f t="shared" si="126"/>
        <v>0</v>
      </c>
      <c r="AY158" s="318">
        <f t="shared" si="127"/>
        <v>0</v>
      </c>
      <c r="AZ158" s="318">
        <f t="shared" si="128"/>
        <v>0</v>
      </c>
      <c r="BA158" s="318">
        <f t="shared" si="129"/>
        <v>0</v>
      </c>
    </row>
    <row r="159" spans="1:53" s="315" customFormat="1" ht="15.75" customHeight="1">
      <c r="A159" s="63" t="str">
        <f t="array" ref="A159">IF(C159&lt;&gt;0,SUM(($C$11:C159&lt;&gt;0)*1),"")</f>
        <v/>
      </c>
      <c r="B159" s="316"/>
      <c r="C159" s="316"/>
      <c r="D159" s="316"/>
      <c r="E159" s="436"/>
      <c r="F159" s="372"/>
      <c r="G159" s="374"/>
      <c r="H159" s="374"/>
      <c r="I159" s="63" t="str">
        <f t="shared" si="91"/>
        <v/>
      </c>
      <c r="J159" s="318">
        <f t="shared" si="92"/>
        <v>0</v>
      </c>
      <c r="K159" s="318">
        <f t="shared" si="93"/>
        <v>0</v>
      </c>
      <c r="L159" s="318">
        <f t="shared" si="94"/>
        <v>0</v>
      </c>
      <c r="M159" s="318">
        <f t="shared" si="95"/>
        <v>0</v>
      </c>
      <c r="N159" s="318">
        <f t="shared" si="130"/>
        <v>0</v>
      </c>
      <c r="O159" s="318">
        <f t="shared" si="131"/>
        <v>0</v>
      </c>
      <c r="P159" s="318">
        <f t="shared" si="96"/>
        <v>0</v>
      </c>
      <c r="Q159" s="318">
        <f t="shared" si="97"/>
        <v>0</v>
      </c>
      <c r="R159" s="318">
        <f t="shared" si="98"/>
        <v>0</v>
      </c>
      <c r="S159" s="318">
        <f t="shared" si="99"/>
        <v>0</v>
      </c>
      <c r="T159" s="318">
        <f t="shared" si="132"/>
        <v>0</v>
      </c>
      <c r="U159" s="318">
        <f t="shared" si="133"/>
        <v>0</v>
      </c>
      <c r="V159" s="318">
        <f t="shared" si="100"/>
        <v>0</v>
      </c>
      <c r="W159" s="318">
        <f t="shared" si="101"/>
        <v>0</v>
      </c>
      <c r="X159" s="318">
        <f t="shared" si="102"/>
        <v>0</v>
      </c>
      <c r="Y159" s="318">
        <f t="shared" si="103"/>
        <v>0</v>
      </c>
      <c r="Z159" s="318">
        <f t="shared" si="104"/>
        <v>0</v>
      </c>
      <c r="AA159" s="318">
        <f t="shared" si="105"/>
        <v>0</v>
      </c>
      <c r="AB159" s="318">
        <f t="shared" si="106"/>
        <v>0</v>
      </c>
      <c r="AC159" s="318">
        <f t="shared" si="107"/>
        <v>0</v>
      </c>
      <c r="AD159" s="318">
        <f t="shared" si="108"/>
        <v>0</v>
      </c>
      <c r="AE159" s="318">
        <f t="shared" si="109"/>
        <v>0</v>
      </c>
      <c r="AF159" s="318">
        <f t="shared" si="134"/>
        <v>0</v>
      </c>
      <c r="AG159" s="318">
        <f t="shared" si="135"/>
        <v>0</v>
      </c>
      <c r="AH159" s="318">
        <f t="shared" si="110"/>
        <v>0</v>
      </c>
      <c r="AI159" s="318">
        <f t="shared" si="111"/>
        <v>0</v>
      </c>
      <c r="AJ159" s="318">
        <f t="shared" si="112"/>
        <v>0</v>
      </c>
      <c r="AK159" s="318">
        <f t="shared" si="113"/>
        <v>0</v>
      </c>
      <c r="AL159" s="318">
        <f t="shared" si="114"/>
        <v>0</v>
      </c>
      <c r="AM159" s="318">
        <f t="shared" si="115"/>
        <v>0</v>
      </c>
      <c r="AN159" s="318">
        <f t="shared" si="116"/>
        <v>0</v>
      </c>
      <c r="AO159" s="318">
        <f t="shared" si="117"/>
        <v>0</v>
      </c>
      <c r="AP159" s="318">
        <f t="shared" si="118"/>
        <v>0</v>
      </c>
      <c r="AQ159" s="318">
        <f t="shared" si="119"/>
        <v>0</v>
      </c>
      <c r="AR159" s="318">
        <f t="shared" si="120"/>
        <v>0</v>
      </c>
      <c r="AS159" s="318">
        <f t="shared" si="121"/>
        <v>0</v>
      </c>
      <c r="AT159" s="318">
        <f t="shared" si="122"/>
        <v>0</v>
      </c>
      <c r="AU159" s="318">
        <f t="shared" si="123"/>
        <v>0</v>
      </c>
      <c r="AV159" s="318">
        <f t="shared" si="124"/>
        <v>0</v>
      </c>
      <c r="AW159" s="318">
        <f t="shared" si="125"/>
        <v>0</v>
      </c>
      <c r="AX159" s="318">
        <f t="shared" si="126"/>
        <v>0</v>
      </c>
      <c r="AY159" s="318">
        <f t="shared" si="127"/>
        <v>0</v>
      </c>
      <c r="AZ159" s="318">
        <f t="shared" si="128"/>
        <v>0</v>
      </c>
      <c r="BA159" s="318">
        <f t="shared" si="129"/>
        <v>0</v>
      </c>
    </row>
    <row r="160" spans="1:53" s="315" customFormat="1" ht="15.75" customHeight="1">
      <c r="A160" s="63" t="str">
        <f t="array" ref="A160">IF(C160&lt;&gt;0,SUM(($C$11:C160&lt;&gt;0)*1),"")</f>
        <v/>
      </c>
      <c r="B160" s="316"/>
      <c r="C160" s="316"/>
      <c r="D160" s="316"/>
      <c r="E160" s="436"/>
      <c r="F160" s="372"/>
      <c r="G160" s="374"/>
      <c r="H160" s="374"/>
      <c r="I160" s="63" t="str">
        <f>A160</f>
        <v/>
      </c>
      <c r="J160" s="318">
        <f t="shared" si="92"/>
        <v>0</v>
      </c>
      <c r="K160" s="318">
        <f t="shared" si="93"/>
        <v>0</v>
      </c>
      <c r="L160" s="318">
        <f t="shared" si="94"/>
        <v>0</v>
      </c>
      <c r="M160" s="318">
        <f t="shared" si="95"/>
        <v>0</v>
      </c>
      <c r="N160" s="318">
        <f t="shared" si="130"/>
        <v>0</v>
      </c>
      <c r="O160" s="318">
        <f t="shared" si="131"/>
        <v>0</v>
      </c>
      <c r="P160" s="318">
        <f t="shared" si="96"/>
        <v>0</v>
      </c>
      <c r="Q160" s="318">
        <f t="shared" si="97"/>
        <v>0</v>
      </c>
      <c r="R160" s="318">
        <f t="shared" si="98"/>
        <v>0</v>
      </c>
      <c r="S160" s="318">
        <f t="shared" si="99"/>
        <v>0</v>
      </c>
      <c r="T160" s="318">
        <f t="shared" si="132"/>
        <v>0</v>
      </c>
      <c r="U160" s="318">
        <f t="shared" si="133"/>
        <v>0</v>
      </c>
      <c r="V160" s="318">
        <f t="shared" si="100"/>
        <v>0</v>
      </c>
      <c r="W160" s="318">
        <f t="shared" si="101"/>
        <v>0</v>
      </c>
      <c r="X160" s="318">
        <f t="shared" si="102"/>
        <v>0</v>
      </c>
      <c r="Y160" s="318">
        <f t="shared" si="103"/>
        <v>0</v>
      </c>
      <c r="Z160" s="318">
        <f t="shared" si="104"/>
        <v>0</v>
      </c>
      <c r="AA160" s="318">
        <f t="shared" si="105"/>
        <v>0</v>
      </c>
      <c r="AB160" s="318">
        <f t="shared" si="106"/>
        <v>0</v>
      </c>
      <c r="AC160" s="318">
        <f t="shared" si="107"/>
        <v>0</v>
      </c>
      <c r="AD160" s="318">
        <f t="shared" si="108"/>
        <v>0</v>
      </c>
      <c r="AE160" s="318">
        <f t="shared" si="109"/>
        <v>0</v>
      </c>
      <c r="AF160" s="318">
        <f t="shared" si="134"/>
        <v>0</v>
      </c>
      <c r="AG160" s="318">
        <f t="shared" si="135"/>
        <v>0</v>
      </c>
      <c r="AH160" s="318">
        <f t="shared" si="110"/>
        <v>0</v>
      </c>
      <c r="AI160" s="318">
        <f t="shared" si="111"/>
        <v>0</v>
      </c>
      <c r="AJ160" s="318">
        <f t="shared" si="112"/>
        <v>0</v>
      </c>
      <c r="AK160" s="318">
        <f t="shared" si="113"/>
        <v>0</v>
      </c>
      <c r="AL160" s="318">
        <f t="shared" si="114"/>
        <v>0</v>
      </c>
      <c r="AM160" s="318">
        <f t="shared" si="115"/>
        <v>0</v>
      </c>
      <c r="AN160" s="318">
        <f t="shared" si="116"/>
        <v>0</v>
      </c>
      <c r="AO160" s="318">
        <f t="shared" si="117"/>
        <v>0</v>
      </c>
      <c r="AP160" s="318">
        <f t="shared" si="118"/>
        <v>0</v>
      </c>
      <c r="AQ160" s="318">
        <f t="shared" si="119"/>
        <v>0</v>
      </c>
      <c r="AR160" s="318">
        <f t="shared" si="120"/>
        <v>0</v>
      </c>
      <c r="AS160" s="318">
        <f t="shared" si="121"/>
        <v>0</v>
      </c>
      <c r="AT160" s="318">
        <f t="shared" si="122"/>
        <v>0</v>
      </c>
      <c r="AU160" s="318">
        <f t="shared" si="123"/>
        <v>0</v>
      </c>
      <c r="AV160" s="318">
        <f t="shared" si="124"/>
        <v>0</v>
      </c>
      <c r="AW160" s="318">
        <f t="shared" si="125"/>
        <v>0</v>
      </c>
      <c r="AX160" s="318">
        <f t="shared" si="126"/>
        <v>0</v>
      </c>
      <c r="AY160" s="318">
        <f t="shared" si="127"/>
        <v>0</v>
      </c>
      <c r="AZ160" s="318">
        <f t="shared" si="128"/>
        <v>0</v>
      </c>
      <c r="BA160" s="318">
        <f t="shared" si="129"/>
        <v>0</v>
      </c>
    </row>
    <row r="161" spans="1:53" s="315" customFormat="1" ht="15.75" customHeight="1">
      <c r="A161" s="63" t="str">
        <f t="array" ref="A161">IF(C161&lt;&gt;0,SUM(($C$11:C161&lt;&gt;0)*1),"")</f>
        <v/>
      </c>
      <c r="B161" s="316"/>
      <c r="C161" s="316"/>
      <c r="D161" s="316"/>
      <c r="E161" s="436"/>
      <c r="F161" s="372"/>
      <c r="G161" s="374"/>
      <c r="H161" s="374"/>
      <c r="I161" s="63" t="str">
        <f>A161</f>
        <v/>
      </c>
      <c r="J161" s="318">
        <f t="shared" si="92"/>
        <v>0</v>
      </c>
      <c r="K161" s="318">
        <f t="shared" si="93"/>
        <v>0</v>
      </c>
      <c r="L161" s="318">
        <f t="shared" si="94"/>
        <v>0</v>
      </c>
      <c r="M161" s="318">
        <f t="shared" si="95"/>
        <v>0</v>
      </c>
      <c r="N161" s="318">
        <f t="shared" si="130"/>
        <v>0</v>
      </c>
      <c r="O161" s="318">
        <f t="shared" si="131"/>
        <v>0</v>
      </c>
      <c r="P161" s="318">
        <f t="shared" si="96"/>
        <v>0</v>
      </c>
      <c r="Q161" s="318">
        <f t="shared" si="97"/>
        <v>0</v>
      </c>
      <c r="R161" s="318">
        <f t="shared" si="98"/>
        <v>0</v>
      </c>
      <c r="S161" s="318">
        <f t="shared" si="99"/>
        <v>0</v>
      </c>
      <c r="T161" s="318">
        <f t="shared" si="132"/>
        <v>0</v>
      </c>
      <c r="U161" s="318">
        <f t="shared" si="133"/>
        <v>0</v>
      </c>
      <c r="V161" s="318">
        <f t="shared" si="100"/>
        <v>0</v>
      </c>
      <c r="W161" s="318">
        <f t="shared" si="101"/>
        <v>0</v>
      </c>
      <c r="X161" s="318">
        <f t="shared" si="102"/>
        <v>0</v>
      </c>
      <c r="Y161" s="318">
        <f t="shared" si="103"/>
        <v>0</v>
      </c>
      <c r="Z161" s="318">
        <f t="shared" si="104"/>
        <v>0</v>
      </c>
      <c r="AA161" s="318">
        <f t="shared" si="105"/>
        <v>0</v>
      </c>
      <c r="AB161" s="318">
        <f t="shared" si="106"/>
        <v>0</v>
      </c>
      <c r="AC161" s="318">
        <f t="shared" si="107"/>
        <v>0</v>
      </c>
      <c r="AD161" s="318">
        <f t="shared" si="108"/>
        <v>0</v>
      </c>
      <c r="AE161" s="318">
        <f t="shared" si="109"/>
        <v>0</v>
      </c>
      <c r="AF161" s="318">
        <f t="shared" si="134"/>
        <v>0</v>
      </c>
      <c r="AG161" s="318">
        <f t="shared" si="135"/>
        <v>0</v>
      </c>
      <c r="AH161" s="318">
        <f t="shared" si="110"/>
        <v>0</v>
      </c>
      <c r="AI161" s="318">
        <f t="shared" si="111"/>
        <v>0</v>
      </c>
      <c r="AJ161" s="318">
        <f t="shared" si="112"/>
        <v>0</v>
      </c>
      <c r="AK161" s="318">
        <f t="shared" si="113"/>
        <v>0</v>
      </c>
      <c r="AL161" s="318">
        <f t="shared" si="114"/>
        <v>0</v>
      </c>
      <c r="AM161" s="318">
        <f t="shared" si="115"/>
        <v>0</v>
      </c>
      <c r="AN161" s="318">
        <f t="shared" si="116"/>
        <v>0</v>
      </c>
      <c r="AO161" s="318">
        <f t="shared" si="117"/>
        <v>0</v>
      </c>
      <c r="AP161" s="318">
        <f t="shared" si="118"/>
        <v>0</v>
      </c>
      <c r="AQ161" s="318">
        <f t="shared" si="119"/>
        <v>0</v>
      </c>
      <c r="AR161" s="318">
        <f t="shared" si="120"/>
        <v>0</v>
      </c>
      <c r="AS161" s="318">
        <f t="shared" si="121"/>
        <v>0</v>
      </c>
      <c r="AT161" s="318">
        <f t="shared" si="122"/>
        <v>0</v>
      </c>
      <c r="AU161" s="318">
        <f t="shared" si="123"/>
        <v>0</v>
      </c>
      <c r="AV161" s="318">
        <f t="shared" si="124"/>
        <v>0</v>
      </c>
      <c r="AW161" s="318">
        <f t="shared" si="125"/>
        <v>0</v>
      </c>
      <c r="AX161" s="318">
        <f t="shared" si="126"/>
        <v>0</v>
      </c>
      <c r="AY161" s="318">
        <f t="shared" si="127"/>
        <v>0</v>
      </c>
      <c r="AZ161" s="318">
        <f t="shared" si="128"/>
        <v>0</v>
      </c>
      <c r="BA161" s="318">
        <f t="shared" si="129"/>
        <v>0</v>
      </c>
    </row>
    <row r="162" spans="1:53" s="315" customFormat="1" ht="15.75" customHeight="1">
      <c r="A162" s="63" t="str">
        <f t="array" ref="A162">IF(C162&lt;&gt;0,SUM(($C$11:C162&lt;&gt;0)*1),"")</f>
        <v/>
      </c>
      <c r="B162" s="316"/>
      <c r="C162" s="316"/>
      <c r="D162" s="316"/>
      <c r="E162" s="436"/>
      <c r="F162" s="372"/>
      <c r="G162" s="374"/>
      <c r="H162" s="374"/>
      <c r="I162" s="63" t="str">
        <f t="shared" ref="I162:I175" si="136">A162</f>
        <v/>
      </c>
      <c r="J162" s="318">
        <f t="shared" si="92"/>
        <v>0</v>
      </c>
      <c r="K162" s="318">
        <f t="shared" si="93"/>
        <v>0</v>
      </c>
      <c r="L162" s="318">
        <f t="shared" si="94"/>
        <v>0</v>
      </c>
      <c r="M162" s="318">
        <f t="shared" si="95"/>
        <v>0</v>
      </c>
      <c r="N162" s="318">
        <f t="shared" si="130"/>
        <v>0</v>
      </c>
      <c r="O162" s="318">
        <f t="shared" si="131"/>
        <v>0</v>
      </c>
      <c r="P162" s="318">
        <f t="shared" si="96"/>
        <v>0</v>
      </c>
      <c r="Q162" s="318">
        <f t="shared" si="97"/>
        <v>0</v>
      </c>
      <c r="R162" s="318">
        <f t="shared" si="98"/>
        <v>0</v>
      </c>
      <c r="S162" s="318">
        <f t="shared" si="99"/>
        <v>0</v>
      </c>
      <c r="T162" s="318">
        <f t="shared" si="132"/>
        <v>0</v>
      </c>
      <c r="U162" s="318">
        <f t="shared" si="133"/>
        <v>0</v>
      </c>
      <c r="V162" s="318">
        <f t="shared" si="100"/>
        <v>0</v>
      </c>
      <c r="W162" s="318">
        <f t="shared" si="101"/>
        <v>0</v>
      </c>
      <c r="X162" s="318">
        <f t="shared" si="102"/>
        <v>0</v>
      </c>
      <c r="Y162" s="318">
        <f t="shared" si="103"/>
        <v>0</v>
      </c>
      <c r="Z162" s="318">
        <f t="shared" si="104"/>
        <v>0</v>
      </c>
      <c r="AA162" s="318">
        <f t="shared" si="105"/>
        <v>0</v>
      </c>
      <c r="AB162" s="318">
        <f t="shared" si="106"/>
        <v>0</v>
      </c>
      <c r="AC162" s="318">
        <f t="shared" si="107"/>
        <v>0</v>
      </c>
      <c r="AD162" s="318">
        <f t="shared" si="108"/>
        <v>0</v>
      </c>
      <c r="AE162" s="318">
        <f t="shared" si="109"/>
        <v>0</v>
      </c>
      <c r="AF162" s="318">
        <f t="shared" si="134"/>
        <v>0</v>
      </c>
      <c r="AG162" s="318">
        <f t="shared" si="135"/>
        <v>0</v>
      </c>
      <c r="AH162" s="318">
        <f t="shared" si="110"/>
        <v>0</v>
      </c>
      <c r="AI162" s="318">
        <f t="shared" si="111"/>
        <v>0</v>
      </c>
      <c r="AJ162" s="318">
        <f t="shared" si="112"/>
        <v>0</v>
      </c>
      <c r="AK162" s="318">
        <f t="shared" si="113"/>
        <v>0</v>
      </c>
      <c r="AL162" s="318">
        <f t="shared" si="114"/>
        <v>0</v>
      </c>
      <c r="AM162" s="318">
        <f t="shared" si="115"/>
        <v>0</v>
      </c>
      <c r="AN162" s="318">
        <f t="shared" si="116"/>
        <v>0</v>
      </c>
      <c r="AO162" s="318">
        <f t="shared" si="117"/>
        <v>0</v>
      </c>
      <c r="AP162" s="318">
        <f t="shared" si="118"/>
        <v>0</v>
      </c>
      <c r="AQ162" s="318">
        <f t="shared" si="119"/>
        <v>0</v>
      </c>
      <c r="AR162" s="318">
        <f t="shared" si="120"/>
        <v>0</v>
      </c>
      <c r="AS162" s="318">
        <f t="shared" si="121"/>
        <v>0</v>
      </c>
      <c r="AT162" s="318">
        <f t="shared" si="122"/>
        <v>0</v>
      </c>
      <c r="AU162" s="318">
        <f t="shared" si="123"/>
        <v>0</v>
      </c>
      <c r="AV162" s="318">
        <f t="shared" si="124"/>
        <v>0</v>
      </c>
      <c r="AW162" s="318">
        <f t="shared" si="125"/>
        <v>0</v>
      </c>
      <c r="AX162" s="318">
        <f t="shared" si="126"/>
        <v>0</v>
      </c>
      <c r="AY162" s="318">
        <f t="shared" si="127"/>
        <v>0</v>
      </c>
      <c r="AZ162" s="318">
        <f t="shared" si="128"/>
        <v>0</v>
      </c>
      <c r="BA162" s="318">
        <f t="shared" si="129"/>
        <v>0</v>
      </c>
    </row>
    <row r="163" spans="1:53" s="315" customFormat="1" ht="15.75" customHeight="1">
      <c r="A163" s="63" t="str">
        <f t="array" ref="A163">IF(C163&lt;&gt;0,SUM(($C$11:C163&lt;&gt;0)*1),"")</f>
        <v/>
      </c>
      <c r="B163" s="316"/>
      <c r="C163" s="316"/>
      <c r="D163" s="316"/>
      <c r="E163" s="436"/>
      <c r="F163" s="372"/>
      <c r="G163" s="374"/>
      <c r="H163" s="374"/>
      <c r="I163" s="63" t="str">
        <f t="shared" si="136"/>
        <v/>
      </c>
      <c r="J163" s="318">
        <f t="shared" si="92"/>
        <v>0</v>
      </c>
      <c r="K163" s="318">
        <f t="shared" si="93"/>
        <v>0</v>
      </c>
      <c r="L163" s="318">
        <f t="shared" si="94"/>
        <v>0</v>
      </c>
      <c r="M163" s="318">
        <f t="shared" si="95"/>
        <v>0</v>
      </c>
      <c r="N163" s="318">
        <f t="shared" si="130"/>
        <v>0</v>
      </c>
      <c r="O163" s="318">
        <f t="shared" si="131"/>
        <v>0</v>
      </c>
      <c r="P163" s="318">
        <f t="shared" si="96"/>
        <v>0</v>
      </c>
      <c r="Q163" s="318">
        <f t="shared" si="97"/>
        <v>0</v>
      </c>
      <c r="R163" s="318">
        <f t="shared" si="98"/>
        <v>0</v>
      </c>
      <c r="S163" s="318">
        <f t="shared" si="99"/>
        <v>0</v>
      </c>
      <c r="T163" s="318">
        <f t="shared" si="132"/>
        <v>0</v>
      </c>
      <c r="U163" s="318">
        <f t="shared" si="133"/>
        <v>0</v>
      </c>
      <c r="V163" s="318">
        <f t="shared" si="100"/>
        <v>0</v>
      </c>
      <c r="W163" s="318">
        <f t="shared" si="101"/>
        <v>0</v>
      </c>
      <c r="X163" s="318">
        <f t="shared" si="102"/>
        <v>0</v>
      </c>
      <c r="Y163" s="318">
        <f t="shared" si="103"/>
        <v>0</v>
      </c>
      <c r="Z163" s="318">
        <f t="shared" si="104"/>
        <v>0</v>
      </c>
      <c r="AA163" s="318">
        <f t="shared" si="105"/>
        <v>0</v>
      </c>
      <c r="AB163" s="318">
        <f t="shared" si="106"/>
        <v>0</v>
      </c>
      <c r="AC163" s="318">
        <f t="shared" si="107"/>
        <v>0</v>
      </c>
      <c r="AD163" s="318">
        <f t="shared" si="108"/>
        <v>0</v>
      </c>
      <c r="AE163" s="318">
        <f t="shared" si="109"/>
        <v>0</v>
      </c>
      <c r="AF163" s="318">
        <f t="shared" si="134"/>
        <v>0</v>
      </c>
      <c r="AG163" s="318">
        <f t="shared" si="135"/>
        <v>0</v>
      </c>
      <c r="AH163" s="318">
        <f t="shared" si="110"/>
        <v>0</v>
      </c>
      <c r="AI163" s="318">
        <f t="shared" si="111"/>
        <v>0</v>
      </c>
      <c r="AJ163" s="318">
        <f t="shared" si="112"/>
        <v>0</v>
      </c>
      <c r="AK163" s="318">
        <f t="shared" si="113"/>
        <v>0</v>
      </c>
      <c r="AL163" s="318">
        <f t="shared" si="114"/>
        <v>0</v>
      </c>
      <c r="AM163" s="318">
        <f t="shared" si="115"/>
        <v>0</v>
      </c>
      <c r="AN163" s="318">
        <f t="shared" si="116"/>
        <v>0</v>
      </c>
      <c r="AO163" s="318">
        <f t="shared" si="117"/>
        <v>0</v>
      </c>
      <c r="AP163" s="318">
        <f t="shared" si="118"/>
        <v>0</v>
      </c>
      <c r="AQ163" s="318">
        <f t="shared" si="119"/>
        <v>0</v>
      </c>
      <c r="AR163" s="318">
        <f t="shared" si="120"/>
        <v>0</v>
      </c>
      <c r="AS163" s="318">
        <f t="shared" si="121"/>
        <v>0</v>
      </c>
      <c r="AT163" s="318">
        <f t="shared" si="122"/>
        <v>0</v>
      </c>
      <c r="AU163" s="318">
        <f t="shared" si="123"/>
        <v>0</v>
      </c>
      <c r="AV163" s="318">
        <f t="shared" si="124"/>
        <v>0</v>
      </c>
      <c r="AW163" s="318">
        <f t="shared" si="125"/>
        <v>0</v>
      </c>
      <c r="AX163" s="318">
        <f t="shared" si="126"/>
        <v>0</v>
      </c>
      <c r="AY163" s="318">
        <f t="shared" si="127"/>
        <v>0</v>
      </c>
      <c r="AZ163" s="318">
        <f t="shared" si="128"/>
        <v>0</v>
      </c>
      <c r="BA163" s="318">
        <f t="shared" si="129"/>
        <v>0</v>
      </c>
    </row>
    <row r="164" spans="1:53" s="315" customFormat="1" ht="15.75" customHeight="1">
      <c r="A164" s="63" t="str">
        <f t="array" ref="A164">IF(C164&lt;&gt;0,SUM(($C$11:C164&lt;&gt;0)*1),"")</f>
        <v/>
      </c>
      <c r="B164" s="316"/>
      <c r="C164" s="316"/>
      <c r="D164" s="316"/>
      <c r="E164" s="436"/>
      <c r="F164" s="372"/>
      <c r="G164" s="374"/>
      <c r="H164" s="374"/>
      <c r="I164" s="63" t="str">
        <f t="shared" si="136"/>
        <v/>
      </c>
      <c r="J164" s="318">
        <f t="shared" si="92"/>
        <v>0</v>
      </c>
      <c r="K164" s="318">
        <f t="shared" si="93"/>
        <v>0</v>
      </c>
      <c r="L164" s="318">
        <f t="shared" si="94"/>
        <v>0</v>
      </c>
      <c r="M164" s="318">
        <f t="shared" si="95"/>
        <v>0</v>
      </c>
      <c r="N164" s="318">
        <f t="shared" si="130"/>
        <v>0</v>
      </c>
      <c r="O164" s="318">
        <f t="shared" si="131"/>
        <v>0</v>
      </c>
      <c r="P164" s="318">
        <f t="shared" si="96"/>
        <v>0</v>
      </c>
      <c r="Q164" s="318">
        <f t="shared" si="97"/>
        <v>0</v>
      </c>
      <c r="R164" s="318">
        <f t="shared" si="98"/>
        <v>0</v>
      </c>
      <c r="S164" s="318">
        <f t="shared" si="99"/>
        <v>0</v>
      </c>
      <c r="T164" s="318">
        <f t="shared" si="132"/>
        <v>0</v>
      </c>
      <c r="U164" s="318">
        <f t="shared" si="133"/>
        <v>0</v>
      </c>
      <c r="V164" s="318">
        <f t="shared" si="100"/>
        <v>0</v>
      </c>
      <c r="W164" s="318">
        <f t="shared" si="101"/>
        <v>0</v>
      </c>
      <c r="X164" s="318">
        <f t="shared" si="102"/>
        <v>0</v>
      </c>
      <c r="Y164" s="318">
        <f t="shared" si="103"/>
        <v>0</v>
      </c>
      <c r="Z164" s="318">
        <f t="shared" si="104"/>
        <v>0</v>
      </c>
      <c r="AA164" s="318">
        <f t="shared" si="105"/>
        <v>0</v>
      </c>
      <c r="AB164" s="318">
        <f t="shared" si="106"/>
        <v>0</v>
      </c>
      <c r="AC164" s="318">
        <f t="shared" si="107"/>
        <v>0</v>
      </c>
      <c r="AD164" s="318">
        <f t="shared" si="108"/>
        <v>0</v>
      </c>
      <c r="AE164" s="318">
        <f t="shared" si="109"/>
        <v>0</v>
      </c>
      <c r="AF164" s="318">
        <f t="shared" si="134"/>
        <v>0</v>
      </c>
      <c r="AG164" s="318">
        <f t="shared" si="135"/>
        <v>0</v>
      </c>
      <c r="AH164" s="318">
        <f t="shared" si="110"/>
        <v>0</v>
      </c>
      <c r="AI164" s="318">
        <f t="shared" si="111"/>
        <v>0</v>
      </c>
      <c r="AJ164" s="318">
        <f t="shared" si="112"/>
        <v>0</v>
      </c>
      <c r="AK164" s="318">
        <f t="shared" si="113"/>
        <v>0</v>
      </c>
      <c r="AL164" s="318">
        <f t="shared" si="114"/>
        <v>0</v>
      </c>
      <c r="AM164" s="318">
        <f t="shared" si="115"/>
        <v>0</v>
      </c>
      <c r="AN164" s="318">
        <f t="shared" si="116"/>
        <v>0</v>
      </c>
      <c r="AO164" s="318">
        <f t="shared" si="117"/>
        <v>0</v>
      </c>
      <c r="AP164" s="318">
        <f t="shared" si="118"/>
        <v>0</v>
      </c>
      <c r="AQ164" s="318">
        <f t="shared" si="119"/>
        <v>0</v>
      </c>
      <c r="AR164" s="318">
        <f t="shared" si="120"/>
        <v>0</v>
      </c>
      <c r="AS164" s="318">
        <f t="shared" si="121"/>
        <v>0</v>
      </c>
      <c r="AT164" s="318">
        <f t="shared" si="122"/>
        <v>0</v>
      </c>
      <c r="AU164" s="318">
        <f t="shared" si="123"/>
        <v>0</v>
      </c>
      <c r="AV164" s="318">
        <f t="shared" si="124"/>
        <v>0</v>
      </c>
      <c r="AW164" s="318">
        <f t="shared" si="125"/>
        <v>0</v>
      </c>
      <c r="AX164" s="318">
        <f t="shared" si="126"/>
        <v>0</v>
      </c>
      <c r="AY164" s="318">
        <f t="shared" si="127"/>
        <v>0</v>
      </c>
      <c r="AZ164" s="318">
        <f t="shared" si="128"/>
        <v>0</v>
      </c>
      <c r="BA164" s="318">
        <f t="shared" si="129"/>
        <v>0</v>
      </c>
    </row>
    <row r="165" spans="1:53" s="315" customFormat="1" ht="15.75" customHeight="1">
      <c r="A165" s="63" t="str">
        <f t="array" ref="A165">IF(C165&lt;&gt;0,SUM(($C$11:C165&lt;&gt;0)*1),"")</f>
        <v/>
      </c>
      <c r="B165" s="316"/>
      <c r="C165" s="316"/>
      <c r="D165" s="316"/>
      <c r="E165" s="436"/>
      <c r="F165" s="372"/>
      <c r="G165" s="374"/>
      <c r="H165" s="374"/>
      <c r="I165" s="63" t="str">
        <f t="shared" si="136"/>
        <v/>
      </c>
      <c r="J165" s="318">
        <f t="shared" si="92"/>
        <v>0</v>
      </c>
      <c r="K165" s="318">
        <f t="shared" si="93"/>
        <v>0</v>
      </c>
      <c r="L165" s="318">
        <f t="shared" si="94"/>
        <v>0</v>
      </c>
      <c r="M165" s="318">
        <f t="shared" si="95"/>
        <v>0</v>
      </c>
      <c r="N165" s="318">
        <f t="shared" si="130"/>
        <v>0</v>
      </c>
      <c r="O165" s="318">
        <f t="shared" si="131"/>
        <v>0</v>
      </c>
      <c r="P165" s="318">
        <f t="shared" si="96"/>
        <v>0</v>
      </c>
      <c r="Q165" s="318">
        <f t="shared" si="97"/>
        <v>0</v>
      </c>
      <c r="R165" s="318">
        <f t="shared" si="98"/>
        <v>0</v>
      </c>
      <c r="S165" s="318">
        <f t="shared" si="99"/>
        <v>0</v>
      </c>
      <c r="T165" s="318">
        <f t="shared" si="132"/>
        <v>0</v>
      </c>
      <c r="U165" s="318">
        <f t="shared" si="133"/>
        <v>0</v>
      </c>
      <c r="V165" s="318">
        <f t="shared" si="100"/>
        <v>0</v>
      </c>
      <c r="W165" s="318">
        <f t="shared" si="101"/>
        <v>0</v>
      </c>
      <c r="X165" s="318">
        <f t="shared" si="102"/>
        <v>0</v>
      </c>
      <c r="Y165" s="318">
        <f t="shared" si="103"/>
        <v>0</v>
      </c>
      <c r="Z165" s="318">
        <f t="shared" si="104"/>
        <v>0</v>
      </c>
      <c r="AA165" s="318">
        <f t="shared" si="105"/>
        <v>0</v>
      </c>
      <c r="AB165" s="318">
        <f t="shared" si="106"/>
        <v>0</v>
      </c>
      <c r="AC165" s="318">
        <f t="shared" si="107"/>
        <v>0</v>
      </c>
      <c r="AD165" s="318">
        <f t="shared" si="108"/>
        <v>0</v>
      </c>
      <c r="AE165" s="318">
        <f t="shared" si="109"/>
        <v>0</v>
      </c>
      <c r="AF165" s="318">
        <f t="shared" si="134"/>
        <v>0</v>
      </c>
      <c r="AG165" s="318">
        <f t="shared" si="135"/>
        <v>0</v>
      </c>
      <c r="AH165" s="318">
        <f t="shared" si="110"/>
        <v>0</v>
      </c>
      <c r="AI165" s="318">
        <f t="shared" si="111"/>
        <v>0</v>
      </c>
      <c r="AJ165" s="318">
        <f t="shared" si="112"/>
        <v>0</v>
      </c>
      <c r="AK165" s="318">
        <f t="shared" si="113"/>
        <v>0</v>
      </c>
      <c r="AL165" s="318">
        <f t="shared" si="114"/>
        <v>0</v>
      </c>
      <c r="AM165" s="318">
        <f t="shared" si="115"/>
        <v>0</v>
      </c>
      <c r="AN165" s="318">
        <f t="shared" si="116"/>
        <v>0</v>
      </c>
      <c r="AO165" s="318">
        <f t="shared" si="117"/>
        <v>0</v>
      </c>
      <c r="AP165" s="318">
        <f t="shared" si="118"/>
        <v>0</v>
      </c>
      <c r="AQ165" s="318">
        <f t="shared" si="119"/>
        <v>0</v>
      </c>
      <c r="AR165" s="318">
        <f t="shared" si="120"/>
        <v>0</v>
      </c>
      <c r="AS165" s="318">
        <f t="shared" si="121"/>
        <v>0</v>
      </c>
      <c r="AT165" s="318">
        <f t="shared" si="122"/>
        <v>0</v>
      </c>
      <c r="AU165" s="318">
        <f t="shared" si="123"/>
        <v>0</v>
      </c>
      <c r="AV165" s="318">
        <f t="shared" si="124"/>
        <v>0</v>
      </c>
      <c r="AW165" s="318">
        <f t="shared" si="125"/>
        <v>0</v>
      </c>
      <c r="AX165" s="318">
        <f t="shared" si="126"/>
        <v>0</v>
      </c>
      <c r="AY165" s="318">
        <f t="shared" si="127"/>
        <v>0</v>
      </c>
      <c r="AZ165" s="318">
        <f t="shared" si="128"/>
        <v>0</v>
      </c>
      <c r="BA165" s="318">
        <f t="shared" si="129"/>
        <v>0</v>
      </c>
    </row>
    <row r="166" spans="1:53" s="315" customFormat="1" ht="15.75" customHeight="1">
      <c r="A166" s="63" t="str">
        <f t="array" ref="A166">IF(C166&lt;&gt;0,SUM(($C$11:C166&lt;&gt;0)*1),"")</f>
        <v/>
      </c>
      <c r="B166" s="316"/>
      <c r="C166" s="316"/>
      <c r="D166" s="316"/>
      <c r="E166" s="436"/>
      <c r="F166" s="372"/>
      <c r="G166" s="374"/>
      <c r="H166" s="374"/>
      <c r="I166" s="63" t="str">
        <f t="shared" si="136"/>
        <v/>
      </c>
      <c r="J166" s="318">
        <f t="shared" si="92"/>
        <v>0</v>
      </c>
      <c r="K166" s="318">
        <f t="shared" si="93"/>
        <v>0</v>
      </c>
      <c r="L166" s="318">
        <f t="shared" si="94"/>
        <v>0</v>
      </c>
      <c r="M166" s="318">
        <f t="shared" si="95"/>
        <v>0</v>
      </c>
      <c r="N166" s="318">
        <f t="shared" si="130"/>
        <v>0</v>
      </c>
      <c r="O166" s="318">
        <f t="shared" si="131"/>
        <v>0</v>
      </c>
      <c r="P166" s="318">
        <f t="shared" si="96"/>
        <v>0</v>
      </c>
      <c r="Q166" s="318">
        <f t="shared" si="97"/>
        <v>0</v>
      </c>
      <c r="R166" s="318">
        <f t="shared" si="98"/>
        <v>0</v>
      </c>
      <c r="S166" s="318">
        <f t="shared" si="99"/>
        <v>0</v>
      </c>
      <c r="T166" s="318">
        <f t="shared" si="132"/>
        <v>0</v>
      </c>
      <c r="U166" s="318">
        <f t="shared" si="133"/>
        <v>0</v>
      </c>
      <c r="V166" s="318">
        <f t="shared" si="100"/>
        <v>0</v>
      </c>
      <c r="W166" s="318">
        <f t="shared" si="101"/>
        <v>0</v>
      </c>
      <c r="X166" s="318">
        <f t="shared" si="102"/>
        <v>0</v>
      </c>
      <c r="Y166" s="318">
        <f t="shared" si="103"/>
        <v>0</v>
      </c>
      <c r="Z166" s="318">
        <f t="shared" si="104"/>
        <v>0</v>
      </c>
      <c r="AA166" s="318">
        <f t="shared" si="105"/>
        <v>0</v>
      </c>
      <c r="AB166" s="318">
        <f t="shared" si="106"/>
        <v>0</v>
      </c>
      <c r="AC166" s="318">
        <f t="shared" si="107"/>
        <v>0</v>
      </c>
      <c r="AD166" s="318">
        <f t="shared" si="108"/>
        <v>0</v>
      </c>
      <c r="AE166" s="318">
        <f t="shared" si="109"/>
        <v>0</v>
      </c>
      <c r="AF166" s="318">
        <f t="shared" si="134"/>
        <v>0</v>
      </c>
      <c r="AG166" s="318">
        <f t="shared" si="135"/>
        <v>0</v>
      </c>
      <c r="AH166" s="318">
        <f t="shared" si="110"/>
        <v>0</v>
      </c>
      <c r="AI166" s="318">
        <f t="shared" si="111"/>
        <v>0</v>
      </c>
      <c r="AJ166" s="318">
        <f t="shared" si="112"/>
        <v>0</v>
      </c>
      <c r="AK166" s="318">
        <f t="shared" si="113"/>
        <v>0</v>
      </c>
      <c r="AL166" s="318">
        <f t="shared" si="114"/>
        <v>0</v>
      </c>
      <c r="AM166" s="318">
        <f t="shared" si="115"/>
        <v>0</v>
      </c>
      <c r="AN166" s="318">
        <f t="shared" si="116"/>
        <v>0</v>
      </c>
      <c r="AO166" s="318">
        <f t="shared" si="117"/>
        <v>0</v>
      </c>
      <c r="AP166" s="318">
        <f t="shared" si="118"/>
        <v>0</v>
      </c>
      <c r="AQ166" s="318">
        <f t="shared" si="119"/>
        <v>0</v>
      </c>
      <c r="AR166" s="318">
        <f t="shared" si="120"/>
        <v>0</v>
      </c>
      <c r="AS166" s="318">
        <f t="shared" si="121"/>
        <v>0</v>
      </c>
      <c r="AT166" s="318">
        <f t="shared" si="122"/>
        <v>0</v>
      </c>
      <c r="AU166" s="318">
        <f t="shared" si="123"/>
        <v>0</v>
      </c>
      <c r="AV166" s="318">
        <f t="shared" si="124"/>
        <v>0</v>
      </c>
      <c r="AW166" s="318">
        <f t="shared" si="125"/>
        <v>0</v>
      </c>
      <c r="AX166" s="318">
        <f t="shared" si="126"/>
        <v>0</v>
      </c>
      <c r="AY166" s="318">
        <f t="shared" si="127"/>
        <v>0</v>
      </c>
      <c r="AZ166" s="318">
        <f t="shared" si="128"/>
        <v>0</v>
      </c>
      <c r="BA166" s="318">
        <f t="shared" si="129"/>
        <v>0</v>
      </c>
    </row>
    <row r="167" spans="1:53" s="315" customFormat="1" ht="15.75" customHeight="1">
      <c r="A167" s="63" t="str">
        <f t="array" ref="A167">IF(C167&lt;&gt;0,SUM(($C$11:C167&lt;&gt;0)*1),"")</f>
        <v/>
      </c>
      <c r="B167" s="316"/>
      <c r="C167" s="316"/>
      <c r="D167" s="316"/>
      <c r="E167" s="436"/>
      <c r="F167" s="372"/>
      <c r="G167" s="374"/>
      <c r="H167" s="374"/>
      <c r="I167" s="63" t="str">
        <f t="shared" si="136"/>
        <v/>
      </c>
      <c r="J167" s="318">
        <f t="shared" si="92"/>
        <v>0</v>
      </c>
      <c r="K167" s="318">
        <f t="shared" si="93"/>
        <v>0</v>
      </c>
      <c r="L167" s="318">
        <f t="shared" si="94"/>
        <v>0</v>
      </c>
      <c r="M167" s="318">
        <f t="shared" si="95"/>
        <v>0</v>
      </c>
      <c r="N167" s="318">
        <f t="shared" si="130"/>
        <v>0</v>
      </c>
      <c r="O167" s="318">
        <f t="shared" si="131"/>
        <v>0</v>
      </c>
      <c r="P167" s="318">
        <f t="shared" si="96"/>
        <v>0</v>
      </c>
      <c r="Q167" s="318">
        <f t="shared" si="97"/>
        <v>0</v>
      </c>
      <c r="R167" s="318">
        <f t="shared" si="98"/>
        <v>0</v>
      </c>
      <c r="S167" s="318">
        <f t="shared" si="99"/>
        <v>0</v>
      </c>
      <c r="T167" s="318">
        <f t="shared" si="132"/>
        <v>0</v>
      </c>
      <c r="U167" s="318">
        <f t="shared" si="133"/>
        <v>0</v>
      </c>
      <c r="V167" s="318">
        <f t="shared" si="100"/>
        <v>0</v>
      </c>
      <c r="W167" s="318">
        <f t="shared" si="101"/>
        <v>0</v>
      </c>
      <c r="X167" s="318">
        <f t="shared" si="102"/>
        <v>0</v>
      </c>
      <c r="Y167" s="318">
        <f t="shared" si="103"/>
        <v>0</v>
      </c>
      <c r="Z167" s="318">
        <f t="shared" si="104"/>
        <v>0</v>
      </c>
      <c r="AA167" s="318">
        <f t="shared" si="105"/>
        <v>0</v>
      </c>
      <c r="AB167" s="318">
        <f t="shared" si="106"/>
        <v>0</v>
      </c>
      <c r="AC167" s="318">
        <f t="shared" si="107"/>
        <v>0</v>
      </c>
      <c r="AD167" s="318">
        <f t="shared" si="108"/>
        <v>0</v>
      </c>
      <c r="AE167" s="318">
        <f t="shared" si="109"/>
        <v>0</v>
      </c>
      <c r="AF167" s="318">
        <f t="shared" si="134"/>
        <v>0</v>
      </c>
      <c r="AG167" s="318">
        <f t="shared" si="135"/>
        <v>0</v>
      </c>
      <c r="AH167" s="318">
        <f t="shared" si="110"/>
        <v>0</v>
      </c>
      <c r="AI167" s="318">
        <f t="shared" si="111"/>
        <v>0</v>
      </c>
      <c r="AJ167" s="318">
        <f t="shared" si="112"/>
        <v>0</v>
      </c>
      <c r="AK167" s="318">
        <f t="shared" si="113"/>
        <v>0</v>
      </c>
      <c r="AL167" s="318">
        <f t="shared" si="114"/>
        <v>0</v>
      </c>
      <c r="AM167" s="318">
        <f t="shared" si="115"/>
        <v>0</v>
      </c>
      <c r="AN167" s="318">
        <f t="shared" si="116"/>
        <v>0</v>
      </c>
      <c r="AO167" s="318">
        <f t="shared" si="117"/>
        <v>0</v>
      </c>
      <c r="AP167" s="318">
        <f t="shared" si="118"/>
        <v>0</v>
      </c>
      <c r="AQ167" s="318">
        <f t="shared" si="119"/>
        <v>0</v>
      </c>
      <c r="AR167" s="318">
        <f t="shared" si="120"/>
        <v>0</v>
      </c>
      <c r="AS167" s="318">
        <f t="shared" si="121"/>
        <v>0</v>
      </c>
      <c r="AT167" s="318">
        <f t="shared" si="122"/>
        <v>0</v>
      </c>
      <c r="AU167" s="318">
        <f t="shared" si="123"/>
        <v>0</v>
      </c>
      <c r="AV167" s="318">
        <f t="shared" si="124"/>
        <v>0</v>
      </c>
      <c r="AW167" s="318">
        <f t="shared" si="125"/>
        <v>0</v>
      </c>
      <c r="AX167" s="318">
        <f t="shared" si="126"/>
        <v>0</v>
      </c>
      <c r="AY167" s="318">
        <f t="shared" si="127"/>
        <v>0</v>
      </c>
      <c r="AZ167" s="318">
        <f t="shared" si="128"/>
        <v>0</v>
      </c>
      <c r="BA167" s="318">
        <f t="shared" si="129"/>
        <v>0</v>
      </c>
    </row>
    <row r="168" spans="1:53" s="315" customFormat="1" ht="15.75" customHeight="1">
      <c r="A168" s="63" t="str">
        <f t="array" ref="A168">IF(C168&lt;&gt;0,SUM(($C$11:C168&lt;&gt;0)*1),"")</f>
        <v/>
      </c>
      <c r="B168" s="316"/>
      <c r="C168" s="316"/>
      <c r="D168" s="316"/>
      <c r="E168" s="436"/>
      <c r="F168" s="372"/>
      <c r="G168" s="374"/>
      <c r="H168" s="374"/>
      <c r="I168" s="63" t="str">
        <f t="shared" si="136"/>
        <v/>
      </c>
      <c r="J168" s="318">
        <f t="shared" si="92"/>
        <v>0</v>
      </c>
      <c r="K168" s="318">
        <f t="shared" si="93"/>
        <v>0</v>
      </c>
      <c r="L168" s="318">
        <f t="shared" si="94"/>
        <v>0</v>
      </c>
      <c r="M168" s="318">
        <f t="shared" si="95"/>
        <v>0</v>
      </c>
      <c r="N168" s="318">
        <f t="shared" si="130"/>
        <v>0</v>
      </c>
      <c r="O168" s="318">
        <f t="shared" si="131"/>
        <v>0</v>
      </c>
      <c r="P168" s="318">
        <f t="shared" si="96"/>
        <v>0</v>
      </c>
      <c r="Q168" s="318">
        <f t="shared" si="97"/>
        <v>0</v>
      </c>
      <c r="R168" s="318">
        <f t="shared" si="98"/>
        <v>0</v>
      </c>
      <c r="S168" s="318">
        <f t="shared" si="99"/>
        <v>0</v>
      </c>
      <c r="T168" s="318">
        <f t="shared" si="132"/>
        <v>0</v>
      </c>
      <c r="U168" s="318">
        <f t="shared" si="133"/>
        <v>0</v>
      </c>
      <c r="V168" s="318">
        <f t="shared" si="100"/>
        <v>0</v>
      </c>
      <c r="W168" s="318">
        <f t="shared" si="101"/>
        <v>0</v>
      </c>
      <c r="X168" s="318">
        <f t="shared" si="102"/>
        <v>0</v>
      </c>
      <c r="Y168" s="318">
        <f t="shared" si="103"/>
        <v>0</v>
      </c>
      <c r="Z168" s="318">
        <f t="shared" si="104"/>
        <v>0</v>
      </c>
      <c r="AA168" s="318">
        <f t="shared" si="105"/>
        <v>0</v>
      </c>
      <c r="AB168" s="318">
        <f t="shared" si="106"/>
        <v>0</v>
      </c>
      <c r="AC168" s="318">
        <f t="shared" si="107"/>
        <v>0</v>
      </c>
      <c r="AD168" s="318">
        <f t="shared" si="108"/>
        <v>0</v>
      </c>
      <c r="AE168" s="318">
        <f t="shared" si="109"/>
        <v>0</v>
      </c>
      <c r="AF168" s="318">
        <f t="shared" si="134"/>
        <v>0</v>
      </c>
      <c r="AG168" s="318">
        <f t="shared" si="135"/>
        <v>0</v>
      </c>
      <c r="AH168" s="318">
        <f t="shared" si="110"/>
        <v>0</v>
      </c>
      <c r="AI168" s="318">
        <f t="shared" si="111"/>
        <v>0</v>
      </c>
      <c r="AJ168" s="318">
        <f t="shared" si="112"/>
        <v>0</v>
      </c>
      <c r="AK168" s="318">
        <f t="shared" si="113"/>
        <v>0</v>
      </c>
      <c r="AL168" s="318">
        <f t="shared" si="114"/>
        <v>0</v>
      </c>
      <c r="AM168" s="318">
        <f t="shared" si="115"/>
        <v>0</v>
      </c>
      <c r="AN168" s="318">
        <f t="shared" si="116"/>
        <v>0</v>
      </c>
      <c r="AO168" s="318">
        <f t="shared" si="117"/>
        <v>0</v>
      </c>
      <c r="AP168" s="318">
        <f t="shared" si="118"/>
        <v>0</v>
      </c>
      <c r="AQ168" s="318">
        <f t="shared" si="119"/>
        <v>0</v>
      </c>
      <c r="AR168" s="318">
        <f t="shared" si="120"/>
        <v>0</v>
      </c>
      <c r="AS168" s="318">
        <f t="shared" si="121"/>
        <v>0</v>
      </c>
      <c r="AT168" s="318">
        <f t="shared" si="122"/>
        <v>0</v>
      </c>
      <c r="AU168" s="318">
        <f t="shared" si="123"/>
        <v>0</v>
      </c>
      <c r="AV168" s="318">
        <f t="shared" si="124"/>
        <v>0</v>
      </c>
      <c r="AW168" s="318">
        <f t="shared" si="125"/>
        <v>0</v>
      </c>
      <c r="AX168" s="318">
        <f t="shared" si="126"/>
        <v>0</v>
      </c>
      <c r="AY168" s="318">
        <f t="shared" si="127"/>
        <v>0</v>
      </c>
      <c r="AZ168" s="318">
        <f t="shared" si="128"/>
        <v>0</v>
      </c>
      <c r="BA168" s="318">
        <f t="shared" si="129"/>
        <v>0</v>
      </c>
    </row>
    <row r="169" spans="1:53" s="315" customFormat="1" ht="15.75" customHeight="1">
      <c r="A169" s="63" t="str">
        <f t="array" ref="A169">IF(C169&lt;&gt;0,SUM(($C$11:C169&lt;&gt;0)*1),"")</f>
        <v/>
      </c>
      <c r="B169" s="316"/>
      <c r="C169" s="316"/>
      <c r="D169" s="316"/>
      <c r="E169" s="436"/>
      <c r="F169" s="372"/>
      <c r="G169" s="374"/>
      <c r="H169" s="374"/>
      <c r="I169" s="63" t="str">
        <f t="shared" si="136"/>
        <v/>
      </c>
      <c r="J169" s="318">
        <f t="shared" si="92"/>
        <v>0</v>
      </c>
      <c r="K169" s="318">
        <f t="shared" si="93"/>
        <v>0</v>
      </c>
      <c r="L169" s="318">
        <f t="shared" si="94"/>
        <v>0</v>
      </c>
      <c r="M169" s="318">
        <f t="shared" si="95"/>
        <v>0</v>
      </c>
      <c r="N169" s="318">
        <f t="shared" si="130"/>
        <v>0</v>
      </c>
      <c r="O169" s="318">
        <f t="shared" si="131"/>
        <v>0</v>
      </c>
      <c r="P169" s="318">
        <f t="shared" si="96"/>
        <v>0</v>
      </c>
      <c r="Q169" s="318">
        <f t="shared" si="97"/>
        <v>0</v>
      </c>
      <c r="R169" s="318">
        <f t="shared" si="98"/>
        <v>0</v>
      </c>
      <c r="S169" s="318">
        <f t="shared" si="99"/>
        <v>0</v>
      </c>
      <c r="T169" s="318">
        <f t="shared" si="132"/>
        <v>0</v>
      </c>
      <c r="U169" s="318">
        <f t="shared" si="133"/>
        <v>0</v>
      </c>
      <c r="V169" s="318">
        <f t="shared" si="100"/>
        <v>0</v>
      </c>
      <c r="W169" s="318">
        <f t="shared" si="101"/>
        <v>0</v>
      </c>
      <c r="X169" s="318">
        <f t="shared" si="102"/>
        <v>0</v>
      </c>
      <c r="Y169" s="318">
        <f t="shared" si="103"/>
        <v>0</v>
      </c>
      <c r="Z169" s="318">
        <f t="shared" si="104"/>
        <v>0</v>
      </c>
      <c r="AA169" s="318">
        <f t="shared" si="105"/>
        <v>0</v>
      </c>
      <c r="AB169" s="318">
        <f t="shared" si="106"/>
        <v>0</v>
      </c>
      <c r="AC169" s="318">
        <f t="shared" si="107"/>
        <v>0</v>
      </c>
      <c r="AD169" s="318">
        <f t="shared" si="108"/>
        <v>0</v>
      </c>
      <c r="AE169" s="318">
        <f t="shared" si="109"/>
        <v>0</v>
      </c>
      <c r="AF169" s="318">
        <f t="shared" si="134"/>
        <v>0</v>
      </c>
      <c r="AG169" s="318">
        <f t="shared" si="135"/>
        <v>0</v>
      </c>
      <c r="AH169" s="318">
        <f t="shared" si="110"/>
        <v>0</v>
      </c>
      <c r="AI169" s="318">
        <f t="shared" si="111"/>
        <v>0</v>
      </c>
      <c r="AJ169" s="318">
        <f t="shared" si="112"/>
        <v>0</v>
      </c>
      <c r="AK169" s="318">
        <f t="shared" si="113"/>
        <v>0</v>
      </c>
      <c r="AL169" s="318">
        <f t="shared" si="114"/>
        <v>0</v>
      </c>
      <c r="AM169" s="318">
        <f t="shared" si="115"/>
        <v>0</v>
      </c>
      <c r="AN169" s="318">
        <f t="shared" si="116"/>
        <v>0</v>
      </c>
      <c r="AO169" s="318">
        <f t="shared" si="117"/>
        <v>0</v>
      </c>
      <c r="AP169" s="318">
        <f t="shared" si="118"/>
        <v>0</v>
      </c>
      <c r="AQ169" s="318">
        <f t="shared" si="119"/>
        <v>0</v>
      </c>
      <c r="AR169" s="318">
        <f t="shared" si="120"/>
        <v>0</v>
      </c>
      <c r="AS169" s="318">
        <f t="shared" si="121"/>
        <v>0</v>
      </c>
      <c r="AT169" s="318">
        <f t="shared" si="122"/>
        <v>0</v>
      </c>
      <c r="AU169" s="318">
        <f t="shared" si="123"/>
        <v>0</v>
      </c>
      <c r="AV169" s="318">
        <f t="shared" si="124"/>
        <v>0</v>
      </c>
      <c r="AW169" s="318">
        <f t="shared" si="125"/>
        <v>0</v>
      </c>
      <c r="AX169" s="318">
        <f t="shared" si="126"/>
        <v>0</v>
      </c>
      <c r="AY169" s="318">
        <f t="shared" si="127"/>
        <v>0</v>
      </c>
      <c r="AZ169" s="318">
        <f t="shared" si="128"/>
        <v>0</v>
      </c>
      <c r="BA169" s="318">
        <f t="shared" si="129"/>
        <v>0</v>
      </c>
    </row>
    <row r="170" spans="1:53" s="315" customFormat="1" ht="15.75" customHeight="1">
      <c r="A170" s="63" t="str">
        <f t="array" ref="A170">IF(C170&lt;&gt;0,SUM(($C$11:C170&lt;&gt;0)*1),"")</f>
        <v/>
      </c>
      <c r="B170" s="316"/>
      <c r="C170" s="316"/>
      <c r="D170" s="316"/>
      <c r="E170" s="436"/>
      <c r="F170" s="372"/>
      <c r="G170" s="374"/>
      <c r="H170" s="374"/>
      <c r="I170" s="63" t="str">
        <f t="shared" si="136"/>
        <v/>
      </c>
      <c r="J170" s="318">
        <f t="shared" si="92"/>
        <v>0</v>
      </c>
      <c r="K170" s="318">
        <f t="shared" si="93"/>
        <v>0</v>
      </c>
      <c r="L170" s="318">
        <f t="shared" si="94"/>
        <v>0</v>
      </c>
      <c r="M170" s="318">
        <f t="shared" si="95"/>
        <v>0</v>
      </c>
      <c r="N170" s="318">
        <f t="shared" si="130"/>
        <v>0</v>
      </c>
      <c r="O170" s="318">
        <f t="shared" si="131"/>
        <v>0</v>
      </c>
      <c r="P170" s="318">
        <f t="shared" si="96"/>
        <v>0</v>
      </c>
      <c r="Q170" s="318">
        <f t="shared" si="97"/>
        <v>0</v>
      </c>
      <c r="R170" s="318">
        <f t="shared" si="98"/>
        <v>0</v>
      </c>
      <c r="S170" s="318">
        <f t="shared" si="99"/>
        <v>0</v>
      </c>
      <c r="T170" s="318">
        <f t="shared" si="132"/>
        <v>0</v>
      </c>
      <c r="U170" s="318">
        <f t="shared" si="133"/>
        <v>0</v>
      </c>
      <c r="V170" s="318">
        <f t="shared" si="100"/>
        <v>0</v>
      </c>
      <c r="W170" s="318">
        <f t="shared" si="101"/>
        <v>0</v>
      </c>
      <c r="X170" s="318">
        <f t="shared" si="102"/>
        <v>0</v>
      </c>
      <c r="Y170" s="318">
        <f t="shared" si="103"/>
        <v>0</v>
      </c>
      <c r="Z170" s="318">
        <f t="shared" si="104"/>
        <v>0</v>
      </c>
      <c r="AA170" s="318">
        <f t="shared" si="105"/>
        <v>0</v>
      </c>
      <c r="AB170" s="318">
        <f t="shared" si="106"/>
        <v>0</v>
      </c>
      <c r="AC170" s="318">
        <f t="shared" si="107"/>
        <v>0</v>
      </c>
      <c r="AD170" s="318">
        <f t="shared" si="108"/>
        <v>0</v>
      </c>
      <c r="AE170" s="318">
        <f t="shared" si="109"/>
        <v>0</v>
      </c>
      <c r="AF170" s="318">
        <f t="shared" si="134"/>
        <v>0</v>
      </c>
      <c r="AG170" s="318">
        <f t="shared" si="135"/>
        <v>0</v>
      </c>
      <c r="AH170" s="318">
        <f t="shared" si="110"/>
        <v>0</v>
      </c>
      <c r="AI170" s="318">
        <f t="shared" si="111"/>
        <v>0</v>
      </c>
      <c r="AJ170" s="318">
        <f t="shared" si="112"/>
        <v>0</v>
      </c>
      <c r="AK170" s="318">
        <f t="shared" si="113"/>
        <v>0</v>
      </c>
      <c r="AL170" s="318">
        <f t="shared" si="114"/>
        <v>0</v>
      </c>
      <c r="AM170" s="318">
        <f t="shared" si="115"/>
        <v>0</v>
      </c>
      <c r="AN170" s="318">
        <f t="shared" si="116"/>
        <v>0</v>
      </c>
      <c r="AO170" s="318">
        <f t="shared" si="117"/>
        <v>0</v>
      </c>
      <c r="AP170" s="318">
        <f t="shared" si="118"/>
        <v>0</v>
      </c>
      <c r="AQ170" s="318">
        <f t="shared" si="119"/>
        <v>0</v>
      </c>
      <c r="AR170" s="318">
        <f t="shared" si="120"/>
        <v>0</v>
      </c>
      <c r="AS170" s="318">
        <f t="shared" si="121"/>
        <v>0</v>
      </c>
      <c r="AT170" s="318">
        <f t="shared" si="122"/>
        <v>0</v>
      </c>
      <c r="AU170" s="318">
        <f t="shared" si="123"/>
        <v>0</v>
      </c>
      <c r="AV170" s="318">
        <f t="shared" si="124"/>
        <v>0</v>
      </c>
      <c r="AW170" s="318">
        <f t="shared" si="125"/>
        <v>0</v>
      </c>
      <c r="AX170" s="318">
        <f t="shared" si="126"/>
        <v>0</v>
      </c>
      <c r="AY170" s="318">
        <f t="shared" si="127"/>
        <v>0</v>
      </c>
      <c r="AZ170" s="318">
        <f t="shared" si="128"/>
        <v>0</v>
      </c>
      <c r="BA170" s="318">
        <f t="shared" si="129"/>
        <v>0</v>
      </c>
    </row>
    <row r="171" spans="1:53" s="315" customFormat="1" ht="15.75" customHeight="1">
      <c r="A171" s="63" t="str">
        <f t="array" ref="A171">IF(C171&lt;&gt;0,SUM(($C$11:C171&lt;&gt;0)*1),"")</f>
        <v/>
      </c>
      <c r="B171" s="316"/>
      <c r="C171" s="316"/>
      <c r="D171" s="316"/>
      <c r="E171" s="436"/>
      <c r="F171" s="372"/>
      <c r="G171" s="374"/>
      <c r="H171" s="374"/>
      <c r="I171" s="63" t="str">
        <f t="shared" si="136"/>
        <v/>
      </c>
      <c r="J171" s="318">
        <f t="shared" si="92"/>
        <v>0</v>
      </c>
      <c r="K171" s="318">
        <f t="shared" si="93"/>
        <v>0</v>
      </c>
      <c r="L171" s="318">
        <f t="shared" si="94"/>
        <v>0</v>
      </c>
      <c r="M171" s="318">
        <f t="shared" si="95"/>
        <v>0</v>
      </c>
      <c r="N171" s="318">
        <f t="shared" si="130"/>
        <v>0</v>
      </c>
      <c r="O171" s="318">
        <f t="shared" si="131"/>
        <v>0</v>
      </c>
      <c r="P171" s="318">
        <f t="shared" si="96"/>
        <v>0</v>
      </c>
      <c r="Q171" s="318">
        <f t="shared" si="97"/>
        <v>0</v>
      </c>
      <c r="R171" s="318">
        <f t="shared" si="98"/>
        <v>0</v>
      </c>
      <c r="S171" s="318">
        <f t="shared" si="99"/>
        <v>0</v>
      </c>
      <c r="T171" s="318">
        <f t="shared" si="132"/>
        <v>0</v>
      </c>
      <c r="U171" s="318">
        <f t="shared" si="133"/>
        <v>0</v>
      </c>
      <c r="V171" s="318">
        <f t="shared" si="100"/>
        <v>0</v>
      </c>
      <c r="W171" s="318">
        <f t="shared" si="101"/>
        <v>0</v>
      </c>
      <c r="X171" s="318">
        <f t="shared" si="102"/>
        <v>0</v>
      </c>
      <c r="Y171" s="318">
        <f t="shared" si="103"/>
        <v>0</v>
      </c>
      <c r="Z171" s="318">
        <f t="shared" si="104"/>
        <v>0</v>
      </c>
      <c r="AA171" s="318">
        <f t="shared" si="105"/>
        <v>0</v>
      </c>
      <c r="AB171" s="318">
        <f t="shared" si="106"/>
        <v>0</v>
      </c>
      <c r="AC171" s="318">
        <f t="shared" si="107"/>
        <v>0</v>
      </c>
      <c r="AD171" s="318">
        <f t="shared" si="108"/>
        <v>0</v>
      </c>
      <c r="AE171" s="318">
        <f t="shared" si="109"/>
        <v>0</v>
      </c>
      <c r="AF171" s="318">
        <f t="shared" si="134"/>
        <v>0</v>
      </c>
      <c r="AG171" s="318">
        <f t="shared" si="135"/>
        <v>0</v>
      </c>
      <c r="AH171" s="318">
        <f t="shared" si="110"/>
        <v>0</v>
      </c>
      <c r="AI171" s="318">
        <f t="shared" si="111"/>
        <v>0</v>
      </c>
      <c r="AJ171" s="318">
        <f t="shared" si="112"/>
        <v>0</v>
      </c>
      <c r="AK171" s="318">
        <f t="shared" si="113"/>
        <v>0</v>
      </c>
      <c r="AL171" s="318">
        <f t="shared" si="114"/>
        <v>0</v>
      </c>
      <c r="AM171" s="318">
        <f t="shared" si="115"/>
        <v>0</v>
      </c>
      <c r="AN171" s="318">
        <f t="shared" si="116"/>
        <v>0</v>
      </c>
      <c r="AO171" s="318">
        <f t="shared" si="117"/>
        <v>0</v>
      </c>
      <c r="AP171" s="318">
        <f t="shared" si="118"/>
        <v>0</v>
      </c>
      <c r="AQ171" s="318">
        <f t="shared" si="119"/>
        <v>0</v>
      </c>
      <c r="AR171" s="318">
        <f t="shared" si="120"/>
        <v>0</v>
      </c>
      <c r="AS171" s="318">
        <f t="shared" si="121"/>
        <v>0</v>
      </c>
      <c r="AT171" s="318">
        <f t="shared" si="122"/>
        <v>0</v>
      </c>
      <c r="AU171" s="318">
        <f t="shared" si="123"/>
        <v>0</v>
      </c>
      <c r="AV171" s="318">
        <f t="shared" si="124"/>
        <v>0</v>
      </c>
      <c r="AW171" s="318">
        <f t="shared" si="125"/>
        <v>0</v>
      </c>
      <c r="AX171" s="318">
        <f t="shared" si="126"/>
        <v>0</v>
      </c>
      <c r="AY171" s="318">
        <f t="shared" si="127"/>
        <v>0</v>
      </c>
      <c r="AZ171" s="318">
        <f t="shared" si="128"/>
        <v>0</v>
      </c>
      <c r="BA171" s="318">
        <f t="shared" si="129"/>
        <v>0</v>
      </c>
    </row>
    <row r="172" spans="1:53" s="315" customFormat="1" ht="15.75" customHeight="1">
      <c r="A172" s="63" t="str">
        <f t="array" ref="A172">IF(C172&lt;&gt;0,SUM(($C$11:C172&lt;&gt;0)*1),"")</f>
        <v/>
      </c>
      <c r="B172" s="316"/>
      <c r="C172" s="316"/>
      <c r="D172" s="316"/>
      <c r="E172" s="436"/>
      <c r="F172" s="372"/>
      <c r="G172" s="374"/>
      <c r="H172" s="374"/>
      <c r="I172" s="63" t="str">
        <f t="shared" si="136"/>
        <v/>
      </c>
      <c r="J172" s="318">
        <f t="shared" si="92"/>
        <v>0</v>
      </c>
      <c r="K172" s="318">
        <f t="shared" si="93"/>
        <v>0</v>
      </c>
      <c r="L172" s="318">
        <f t="shared" si="94"/>
        <v>0</v>
      </c>
      <c r="M172" s="318">
        <f t="shared" si="95"/>
        <v>0</v>
      </c>
      <c r="N172" s="318">
        <f t="shared" si="130"/>
        <v>0</v>
      </c>
      <c r="O172" s="318">
        <f t="shared" si="131"/>
        <v>0</v>
      </c>
      <c r="P172" s="318">
        <f t="shared" si="96"/>
        <v>0</v>
      </c>
      <c r="Q172" s="318">
        <f t="shared" si="97"/>
        <v>0</v>
      </c>
      <c r="R172" s="318">
        <f t="shared" si="98"/>
        <v>0</v>
      </c>
      <c r="S172" s="318">
        <f t="shared" si="99"/>
        <v>0</v>
      </c>
      <c r="T172" s="318">
        <f t="shared" si="132"/>
        <v>0</v>
      </c>
      <c r="U172" s="318">
        <f t="shared" si="133"/>
        <v>0</v>
      </c>
      <c r="V172" s="318">
        <f t="shared" si="100"/>
        <v>0</v>
      </c>
      <c r="W172" s="318">
        <f t="shared" si="101"/>
        <v>0</v>
      </c>
      <c r="X172" s="318">
        <f t="shared" si="102"/>
        <v>0</v>
      </c>
      <c r="Y172" s="318">
        <f t="shared" si="103"/>
        <v>0</v>
      </c>
      <c r="Z172" s="318">
        <f t="shared" si="104"/>
        <v>0</v>
      </c>
      <c r="AA172" s="318">
        <f t="shared" si="105"/>
        <v>0</v>
      </c>
      <c r="AB172" s="318">
        <f t="shared" si="106"/>
        <v>0</v>
      </c>
      <c r="AC172" s="318">
        <f t="shared" si="107"/>
        <v>0</v>
      </c>
      <c r="AD172" s="318">
        <f t="shared" si="108"/>
        <v>0</v>
      </c>
      <c r="AE172" s="318">
        <f t="shared" si="109"/>
        <v>0</v>
      </c>
      <c r="AF172" s="318">
        <f t="shared" si="134"/>
        <v>0</v>
      </c>
      <c r="AG172" s="318">
        <f t="shared" si="135"/>
        <v>0</v>
      </c>
      <c r="AH172" s="318">
        <f t="shared" si="110"/>
        <v>0</v>
      </c>
      <c r="AI172" s="318">
        <f t="shared" si="111"/>
        <v>0</v>
      </c>
      <c r="AJ172" s="318">
        <f t="shared" si="112"/>
        <v>0</v>
      </c>
      <c r="AK172" s="318">
        <f t="shared" si="113"/>
        <v>0</v>
      </c>
      <c r="AL172" s="318">
        <f t="shared" si="114"/>
        <v>0</v>
      </c>
      <c r="AM172" s="318">
        <f t="shared" si="115"/>
        <v>0</v>
      </c>
      <c r="AN172" s="318">
        <f t="shared" si="116"/>
        <v>0</v>
      </c>
      <c r="AO172" s="318">
        <f t="shared" si="117"/>
        <v>0</v>
      </c>
      <c r="AP172" s="318">
        <f t="shared" si="118"/>
        <v>0</v>
      </c>
      <c r="AQ172" s="318">
        <f t="shared" si="119"/>
        <v>0</v>
      </c>
      <c r="AR172" s="318">
        <f t="shared" si="120"/>
        <v>0</v>
      </c>
      <c r="AS172" s="318">
        <f t="shared" si="121"/>
        <v>0</v>
      </c>
      <c r="AT172" s="318">
        <f t="shared" si="122"/>
        <v>0</v>
      </c>
      <c r="AU172" s="318">
        <f t="shared" si="123"/>
        <v>0</v>
      </c>
      <c r="AV172" s="318">
        <f t="shared" si="124"/>
        <v>0</v>
      </c>
      <c r="AW172" s="318">
        <f t="shared" si="125"/>
        <v>0</v>
      </c>
      <c r="AX172" s="318">
        <f t="shared" si="126"/>
        <v>0</v>
      </c>
      <c r="AY172" s="318">
        <f t="shared" si="127"/>
        <v>0</v>
      </c>
      <c r="AZ172" s="318">
        <f t="shared" si="128"/>
        <v>0</v>
      </c>
      <c r="BA172" s="318">
        <f t="shared" si="129"/>
        <v>0</v>
      </c>
    </row>
    <row r="173" spans="1:53" s="315" customFormat="1" ht="15.75" customHeight="1">
      <c r="A173" s="63" t="str">
        <f t="array" ref="A173">IF(C173&lt;&gt;0,SUM(($C$11:C173&lt;&gt;0)*1),"")</f>
        <v/>
      </c>
      <c r="B173" s="316"/>
      <c r="C173" s="316"/>
      <c r="D173" s="316"/>
      <c r="E173" s="436"/>
      <c r="F173" s="372"/>
      <c r="G173" s="374"/>
      <c r="H173" s="374"/>
      <c r="I173" s="63" t="str">
        <f t="shared" si="136"/>
        <v/>
      </c>
      <c r="J173" s="318">
        <f t="shared" si="92"/>
        <v>0</v>
      </c>
      <c r="K173" s="318">
        <f t="shared" si="93"/>
        <v>0</v>
      </c>
      <c r="L173" s="318">
        <f t="shared" si="94"/>
        <v>0</v>
      </c>
      <c r="M173" s="318">
        <f t="shared" si="95"/>
        <v>0</v>
      </c>
      <c r="N173" s="318">
        <f t="shared" si="130"/>
        <v>0</v>
      </c>
      <c r="O173" s="318">
        <f t="shared" si="131"/>
        <v>0</v>
      </c>
      <c r="P173" s="318">
        <f t="shared" si="96"/>
        <v>0</v>
      </c>
      <c r="Q173" s="318">
        <f t="shared" si="97"/>
        <v>0</v>
      </c>
      <c r="R173" s="318">
        <f t="shared" si="98"/>
        <v>0</v>
      </c>
      <c r="S173" s="318">
        <f t="shared" si="99"/>
        <v>0</v>
      </c>
      <c r="T173" s="318">
        <f t="shared" si="132"/>
        <v>0</v>
      </c>
      <c r="U173" s="318">
        <f t="shared" si="133"/>
        <v>0</v>
      </c>
      <c r="V173" s="318">
        <f t="shared" si="100"/>
        <v>0</v>
      </c>
      <c r="W173" s="318">
        <f t="shared" si="101"/>
        <v>0</v>
      </c>
      <c r="X173" s="318">
        <f t="shared" si="102"/>
        <v>0</v>
      </c>
      <c r="Y173" s="318">
        <f t="shared" si="103"/>
        <v>0</v>
      </c>
      <c r="Z173" s="318">
        <f t="shared" si="104"/>
        <v>0</v>
      </c>
      <c r="AA173" s="318">
        <f t="shared" si="105"/>
        <v>0</v>
      </c>
      <c r="AB173" s="318">
        <f t="shared" si="106"/>
        <v>0</v>
      </c>
      <c r="AC173" s="318">
        <f t="shared" si="107"/>
        <v>0</v>
      </c>
      <c r="AD173" s="318">
        <f t="shared" si="108"/>
        <v>0</v>
      </c>
      <c r="AE173" s="318">
        <f t="shared" si="109"/>
        <v>0</v>
      </c>
      <c r="AF173" s="318">
        <f t="shared" si="134"/>
        <v>0</v>
      </c>
      <c r="AG173" s="318">
        <f t="shared" si="135"/>
        <v>0</v>
      </c>
      <c r="AH173" s="318">
        <f t="shared" si="110"/>
        <v>0</v>
      </c>
      <c r="AI173" s="318">
        <f t="shared" si="111"/>
        <v>0</v>
      </c>
      <c r="AJ173" s="318">
        <f t="shared" si="112"/>
        <v>0</v>
      </c>
      <c r="AK173" s="318">
        <f t="shared" si="113"/>
        <v>0</v>
      </c>
      <c r="AL173" s="318">
        <f t="shared" si="114"/>
        <v>0</v>
      </c>
      <c r="AM173" s="318">
        <f t="shared" si="115"/>
        <v>0</v>
      </c>
      <c r="AN173" s="318">
        <f t="shared" si="116"/>
        <v>0</v>
      </c>
      <c r="AO173" s="318">
        <f t="shared" si="117"/>
        <v>0</v>
      </c>
      <c r="AP173" s="318">
        <f t="shared" si="118"/>
        <v>0</v>
      </c>
      <c r="AQ173" s="318">
        <f t="shared" si="119"/>
        <v>0</v>
      </c>
      <c r="AR173" s="318">
        <f t="shared" si="120"/>
        <v>0</v>
      </c>
      <c r="AS173" s="318">
        <f t="shared" si="121"/>
        <v>0</v>
      </c>
      <c r="AT173" s="318">
        <f t="shared" si="122"/>
        <v>0</v>
      </c>
      <c r="AU173" s="318">
        <f t="shared" si="123"/>
        <v>0</v>
      </c>
      <c r="AV173" s="318">
        <f t="shared" si="124"/>
        <v>0</v>
      </c>
      <c r="AW173" s="318">
        <f t="shared" si="125"/>
        <v>0</v>
      </c>
      <c r="AX173" s="318">
        <f t="shared" si="126"/>
        <v>0</v>
      </c>
      <c r="AY173" s="318">
        <f t="shared" si="127"/>
        <v>0</v>
      </c>
      <c r="AZ173" s="318">
        <f t="shared" si="128"/>
        <v>0</v>
      </c>
      <c r="BA173" s="318">
        <f t="shared" si="129"/>
        <v>0</v>
      </c>
    </row>
    <row r="174" spans="1:53" s="315" customFormat="1" ht="15.75" customHeight="1">
      <c r="A174" s="63" t="str">
        <f t="array" ref="A174">IF(C174&lt;&gt;0,SUM(($C$11:C174&lt;&gt;0)*1),"")</f>
        <v/>
      </c>
      <c r="B174" s="316"/>
      <c r="C174" s="316"/>
      <c r="D174" s="316"/>
      <c r="E174" s="436"/>
      <c r="F174" s="372"/>
      <c r="G174" s="374"/>
      <c r="H174" s="374"/>
      <c r="I174" s="63" t="str">
        <f t="shared" si="136"/>
        <v/>
      </c>
      <c r="J174" s="318">
        <f t="shared" si="92"/>
        <v>0</v>
      </c>
      <c r="K174" s="318">
        <f t="shared" si="93"/>
        <v>0</v>
      </c>
      <c r="L174" s="318">
        <f t="shared" si="94"/>
        <v>0</v>
      </c>
      <c r="M174" s="318">
        <f t="shared" si="95"/>
        <v>0</v>
      </c>
      <c r="N174" s="318">
        <f t="shared" si="130"/>
        <v>0</v>
      </c>
      <c r="O174" s="318">
        <f t="shared" si="131"/>
        <v>0</v>
      </c>
      <c r="P174" s="318">
        <f t="shared" si="96"/>
        <v>0</v>
      </c>
      <c r="Q174" s="318">
        <f t="shared" si="97"/>
        <v>0</v>
      </c>
      <c r="R174" s="318">
        <f t="shared" si="98"/>
        <v>0</v>
      </c>
      <c r="S174" s="318">
        <f t="shared" si="99"/>
        <v>0</v>
      </c>
      <c r="T174" s="318">
        <f t="shared" si="132"/>
        <v>0</v>
      </c>
      <c r="U174" s="318">
        <f t="shared" si="133"/>
        <v>0</v>
      </c>
      <c r="V174" s="318">
        <f t="shared" si="100"/>
        <v>0</v>
      </c>
      <c r="W174" s="318">
        <f t="shared" si="101"/>
        <v>0</v>
      </c>
      <c r="X174" s="318">
        <f t="shared" si="102"/>
        <v>0</v>
      </c>
      <c r="Y174" s="318">
        <f t="shared" si="103"/>
        <v>0</v>
      </c>
      <c r="Z174" s="318">
        <f t="shared" si="104"/>
        <v>0</v>
      </c>
      <c r="AA174" s="318">
        <f t="shared" si="105"/>
        <v>0</v>
      </c>
      <c r="AB174" s="318">
        <f t="shared" si="106"/>
        <v>0</v>
      </c>
      <c r="AC174" s="318">
        <f t="shared" si="107"/>
        <v>0</v>
      </c>
      <c r="AD174" s="318">
        <f t="shared" si="108"/>
        <v>0</v>
      </c>
      <c r="AE174" s="318">
        <f t="shared" si="109"/>
        <v>0</v>
      </c>
      <c r="AF174" s="318">
        <f t="shared" si="134"/>
        <v>0</v>
      </c>
      <c r="AG174" s="318">
        <f t="shared" si="135"/>
        <v>0</v>
      </c>
      <c r="AH174" s="318">
        <f t="shared" si="110"/>
        <v>0</v>
      </c>
      <c r="AI174" s="318">
        <f t="shared" si="111"/>
        <v>0</v>
      </c>
      <c r="AJ174" s="318">
        <f t="shared" si="112"/>
        <v>0</v>
      </c>
      <c r="AK174" s="318">
        <f t="shared" si="113"/>
        <v>0</v>
      </c>
      <c r="AL174" s="318">
        <f t="shared" si="114"/>
        <v>0</v>
      </c>
      <c r="AM174" s="318">
        <f t="shared" si="115"/>
        <v>0</v>
      </c>
      <c r="AN174" s="318">
        <f t="shared" si="116"/>
        <v>0</v>
      </c>
      <c r="AO174" s="318">
        <f t="shared" si="117"/>
        <v>0</v>
      </c>
      <c r="AP174" s="318">
        <f t="shared" si="118"/>
        <v>0</v>
      </c>
      <c r="AQ174" s="318">
        <f t="shared" si="119"/>
        <v>0</v>
      </c>
      <c r="AR174" s="318">
        <f t="shared" si="120"/>
        <v>0</v>
      </c>
      <c r="AS174" s="318">
        <f t="shared" si="121"/>
        <v>0</v>
      </c>
      <c r="AT174" s="318">
        <f t="shared" si="122"/>
        <v>0</v>
      </c>
      <c r="AU174" s="318">
        <f t="shared" si="123"/>
        <v>0</v>
      </c>
      <c r="AV174" s="318">
        <f t="shared" si="124"/>
        <v>0</v>
      </c>
      <c r="AW174" s="318">
        <f t="shared" si="125"/>
        <v>0</v>
      </c>
      <c r="AX174" s="318">
        <f t="shared" si="126"/>
        <v>0</v>
      </c>
      <c r="AY174" s="318">
        <f t="shared" si="127"/>
        <v>0</v>
      </c>
      <c r="AZ174" s="318">
        <f t="shared" si="128"/>
        <v>0</v>
      </c>
      <c r="BA174" s="318">
        <f t="shared" si="129"/>
        <v>0</v>
      </c>
    </row>
    <row r="175" spans="1:53" s="315" customFormat="1" ht="15.75" customHeight="1">
      <c r="A175" s="63" t="str">
        <f t="array" ref="A175">IF(C175&lt;&gt;0,SUM(($C$11:C175&lt;&gt;0)*1),"")</f>
        <v/>
      </c>
      <c r="B175" s="316"/>
      <c r="C175" s="316"/>
      <c r="D175" s="316"/>
      <c r="E175" s="436"/>
      <c r="F175" s="372"/>
      <c r="G175" s="374"/>
      <c r="H175" s="374"/>
      <c r="I175" s="63" t="str">
        <f t="shared" si="136"/>
        <v/>
      </c>
      <c r="J175" s="318">
        <f t="shared" si="92"/>
        <v>0</v>
      </c>
      <c r="K175" s="318">
        <f t="shared" si="93"/>
        <v>0</v>
      </c>
      <c r="L175" s="318">
        <f t="shared" si="94"/>
        <v>0</v>
      </c>
      <c r="M175" s="318">
        <f t="shared" si="95"/>
        <v>0</v>
      </c>
      <c r="N175" s="318">
        <f t="shared" si="130"/>
        <v>0</v>
      </c>
      <c r="O175" s="318">
        <f t="shared" si="131"/>
        <v>0</v>
      </c>
      <c r="P175" s="318">
        <f t="shared" si="96"/>
        <v>0</v>
      </c>
      <c r="Q175" s="318">
        <f t="shared" si="97"/>
        <v>0</v>
      </c>
      <c r="R175" s="318">
        <f t="shared" si="98"/>
        <v>0</v>
      </c>
      <c r="S175" s="318">
        <f t="shared" si="99"/>
        <v>0</v>
      </c>
      <c r="T175" s="318">
        <f t="shared" si="132"/>
        <v>0</v>
      </c>
      <c r="U175" s="318">
        <f t="shared" si="133"/>
        <v>0</v>
      </c>
      <c r="V175" s="318">
        <f t="shared" si="100"/>
        <v>0</v>
      </c>
      <c r="W175" s="318">
        <f t="shared" si="101"/>
        <v>0</v>
      </c>
      <c r="X175" s="318">
        <f t="shared" si="102"/>
        <v>0</v>
      </c>
      <c r="Y175" s="318">
        <f t="shared" si="103"/>
        <v>0</v>
      </c>
      <c r="Z175" s="318">
        <f t="shared" si="104"/>
        <v>0</v>
      </c>
      <c r="AA175" s="318">
        <f t="shared" si="105"/>
        <v>0</v>
      </c>
      <c r="AB175" s="318">
        <f t="shared" si="106"/>
        <v>0</v>
      </c>
      <c r="AC175" s="318">
        <f t="shared" si="107"/>
        <v>0</v>
      </c>
      <c r="AD175" s="318">
        <f t="shared" si="108"/>
        <v>0</v>
      </c>
      <c r="AE175" s="318">
        <f t="shared" si="109"/>
        <v>0</v>
      </c>
      <c r="AF175" s="318">
        <f t="shared" si="134"/>
        <v>0</v>
      </c>
      <c r="AG175" s="318">
        <f t="shared" si="135"/>
        <v>0</v>
      </c>
      <c r="AH175" s="318">
        <f t="shared" si="110"/>
        <v>0</v>
      </c>
      <c r="AI175" s="318">
        <f t="shared" si="111"/>
        <v>0</v>
      </c>
      <c r="AJ175" s="318">
        <f t="shared" si="112"/>
        <v>0</v>
      </c>
      <c r="AK175" s="318">
        <f t="shared" si="113"/>
        <v>0</v>
      </c>
      <c r="AL175" s="318">
        <f t="shared" si="114"/>
        <v>0</v>
      </c>
      <c r="AM175" s="318">
        <f t="shared" si="115"/>
        <v>0</v>
      </c>
      <c r="AN175" s="318">
        <f t="shared" si="116"/>
        <v>0</v>
      </c>
      <c r="AO175" s="318">
        <f t="shared" si="117"/>
        <v>0</v>
      </c>
      <c r="AP175" s="318">
        <f t="shared" si="118"/>
        <v>0</v>
      </c>
      <c r="AQ175" s="318">
        <f t="shared" si="119"/>
        <v>0</v>
      </c>
      <c r="AR175" s="318">
        <f t="shared" si="120"/>
        <v>0</v>
      </c>
      <c r="AS175" s="318">
        <f t="shared" si="121"/>
        <v>0</v>
      </c>
      <c r="AT175" s="318">
        <f t="shared" si="122"/>
        <v>0</v>
      </c>
      <c r="AU175" s="318">
        <f t="shared" si="123"/>
        <v>0</v>
      </c>
      <c r="AV175" s="318">
        <f t="shared" si="124"/>
        <v>0</v>
      </c>
      <c r="AW175" s="318">
        <f t="shared" si="125"/>
        <v>0</v>
      </c>
      <c r="AX175" s="318">
        <f t="shared" si="126"/>
        <v>0</v>
      </c>
      <c r="AY175" s="318">
        <f t="shared" si="127"/>
        <v>0</v>
      </c>
      <c r="AZ175" s="318">
        <f t="shared" si="128"/>
        <v>0</v>
      </c>
      <c r="BA175" s="318">
        <f t="shared" si="129"/>
        <v>0</v>
      </c>
    </row>
    <row r="176" spans="1:53" s="315" customFormat="1" ht="15.75" customHeight="1">
      <c r="A176" s="63" t="str">
        <f t="array" ref="A176">IF(C176&lt;&gt;0,SUM(($C$11:C176&lt;&gt;0)*1),"")</f>
        <v/>
      </c>
      <c r="B176" s="316"/>
      <c r="C176" s="316"/>
      <c r="D176" s="316"/>
      <c r="E176" s="436"/>
      <c r="F176" s="372"/>
      <c r="G176" s="374"/>
      <c r="H176" s="374"/>
      <c r="I176" s="63" t="str">
        <f>A176</f>
        <v/>
      </c>
      <c r="J176" s="318">
        <f t="shared" si="92"/>
        <v>0</v>
      </c>
      <c r="K176" s="318">
        <f t="shared" si="93"/>
        <v>0</v>
      </c>
      <c r="L176" s="318">
        <f t="shared" si="94"/>
        <v>0</v>
      </c>
      <c r="M176" s="318">
        <f t="shared" si="95"/>
        <v>0</v>
      </c>
      <c r="N176" s="318">
        <f t="shared" si="130"/>
        <v>0</v>
      </c>
      <c r="O176" s="318">
        <f t="shared" si="131"/>
        <v>0</v>
      </c>
      <c r="P176" s="318">
        <f t="shared" si="96"/>
        <v>0</v>
      </c>
      <c r="Q176" s="318">
        <f t="shared" si="97"/>
        <v>0</v>
      </c>
      <c r="R176" s="318">
        <f t="shared" si="98"/>
        <v>0</v>
      </c>
      <c r="S176" s="318">
        <f t="shared" si="99"/>
        <v>0</v>
      </c>
      <c r="T176" s="318">
        <f t="shared" si="132"/>
        <v>0</v>
      </c>
      <c r="U176" s="318">
        <f t="shared" si="133"/>
        <v>0</v>
      </c>
      <c r="V176" s="318">
        <f t="shared" si="100"/>
        <v>0</v>
      </c>
      <c r="W176" s="318">
        <f t="shared" si="101"/>
        <v>0</v>
      </c>
      <c r="X176" s="318">
        <f t="shared" si="102"/>
        <v>0</v>
      </c>
      <c r="Y176" s="318">
        <f t="shared" si="103"/>
        <v>0</v>
      </c>
      <c r="Z176" s="318">
        <f t="shared" si="104"/>
        <v>0</v>
      </c>
      <c r="AA176" s="318">
        <f t="shared" si="105"/>
        <v>0</v>
      </c>
      <c r="AB176" s="318">
        <f t="shared" si="106"/>
        <v>0</v>
      </c>
      <c r="AC176" s="318">
        <f t="shared" si="107"/>
        <v>0</v>
      </c>
      <c r="AD176" s="318">
        <f t="shared" si="108"/>
        <v>0</v>
      </c>
      <c r="AE176" s="318">
        <f t="shared" si="109"/>
        <v>0</v>
      </c>
      <c r="AF176" s="318">
        <f t="shared" si="134"/>
        <v>0</v>
      </c>
      <c r="AG176" s="318">
        <f t="shared" si="135"/>
        <v>0</v>
      </c>
      <c r="AH176" s="318">
        <f t="shared" si="110"/>
        <v>0</v>
      </c>
      <c r="AI176" s="318">
        <f t="shared" si="111"/>
        <v>0</v>
      </c>
      <c r="AJ176" s="318">
        <f t="shared" si="112"/>
        <v>0</v>
      </c>
      <c r="AK176" s="318">
        <f t="shared" si="113"/>
        <v>0</v>
      </c>
      <c r="AL176" s="318">
        <f t="shared" si="114"/>
        <v>0</v>
      </c>
      <c r="AM176" s="318">
        <f t="shared" si="115"/>
        <v>0</v>
      </c>
      <c r="AN176" s="318">
        <f t="shared" si="116"/>
        <v>0</v>
      </c>
      <c r="AO176" s="318">
        <f t="shared" si="117"/>
        <v>0</v>
      </c>
      <c r="AP176" s="318">
        <f t="shared" si="118"/>
        <v>0</v>
      </c>
      <c r="AQ176" s="318">
        <f t="shared" si="119"/>
        <v>0</v>
      </c>
      <c r="AR176" s="318">
        <f t="shared" si="120"/>
        <v>0</v>
      </c>
      <c r="AS176" s="318">
        <f t="shared" si="121"/>
        <v>0</v>
      </c>
      <c r="AT176" s="318">
        <f t="shared" si="122"/>
        <v>0</v>
      </c>
      <c r="AU176" s="318">
        <f t="shared" si="123"/>
        <v>0</v>
      </c>
      <c r="AV176" s="318">
        <f t="shared" si="124"/>
        <v>0</v>
      </c>
      <c r="AW176" s="318">
        <f t="shared" si="125"/>
        <v>0</v>
      </c>
      <c r="AX176" s="318">
        <f t="shared" si="126"/>
        <v>0</v>
      </c>
      <c r="AY176" s="318">
        <f t="shared" si="127"/>
        <v>0</v>
      </c>
      <c r="AZ176" s="318">
        <f t="shared" si="128"/>
        <v>0</v>
      </c>
      <c r="BA176" s="318">
        <f t="shared" si="129"/>
        <v>0</v>
      </c>
    </row>
    <row r="177" spans="1:53" s="315" customFormat="1" ht="15.75" customHeight="1">
      <c r="A177" s="63" t="str">
        <f t="array" ref="A177">IF(C177&lt;&gt;0,SUM(($C$11:C177&lt;&gt;0)*1),"")</f>
        <v/>
      </c>
      <c r="B177" s="316"/>
      <c r="C177" s="316"/>
      <c r="D177" s="316"/>
      <c r="E177" s="436"/>
      <c r="F177" s="372"/>
      <c r="G177" s="374"/>
      <c r="H177" s="374"/>
      <c r="I177" s="63" t="str">
        <f t="shared" ref="I177:I230" si="137">A177</f>
        <v/>
      </c>
      <c r="J177" s="318">
        <f t="shared" si="92"/>
        <v>0</v>
      </c>
      <c r="K177" s="318">
        <f t="shared" si="93"/>
        <v>0</v>
      </c>
      <c r="L177" s="318">
        <f t="shared" si="94"/>
        <v>0</v>
      </c>
      <c r="M177" s="318">
        <f t="shared" si="95"/>
        <v>0</v>
      </c>
      <c r="N177" s="318">
        <f t="shared" si="130"/>
        <v>0</v>
      </c>
      <c r="O177" s="318">
        <f t="shared" si="131"/>
        <v>0</v>
      </c>
      <c r="P177" s="318">
        <f t="shared" si="96"/>
        <v>0</v>
      </c>
      <c r="Q177" s="318">
        <f t="shared" si="97"/>
        <v>0</v>
      </c>
      <c r="R177" s="318">
        <f t="shared" si="98"/>
        <v>0</v>
      </c>
      <c r="S177" s="318">
        <f t="shared" si="99"/>
        <v>0</v>
      </c>
      <c r="T177" s="318">
        <f t="shared" si="132"/>
        <v>0</v>
      </c>
      <c r="U177" s="318">
        <f t="shared" si="133"/>
        <v>0</v>
      </c>
      <c r="V177" s="318">
        <f t="shared" si="100"/>
        <v>0</v>
      </c>
      <c r="W177" s="318">
        <f t="shared" si="101"/>
        <v>0</v>
      </c>
      <c r="X177" s="318">
        <f t="shared" si="102"/>
        <v>0</v>
      </c>
      <c r="Y177" s="318">
        <f t="shared" si="103"/>
        <v>0</v>
      </c>
      <c r="Z177" s="318">
        <f t="shared" si="104"/>
        <v>0</v>
      </c>
      <c r="AA177" s="318">
        <f t="shared" si="105"/>
        <v>0</v>
      </c>
      <c r="AB177" s="318">
        <f t="shared" si="106"/>
        <v>0</v>
      </c>
      <c r="AC177" s="318">
        <f t="shared" si="107"/>
        <v>0</v>
      </c>
      <c r="AD177" s="318">
        <f t="shared" si="108"/>
        <v>0</v>
      </c>
      <c r="AE177" s="318">
        <f t="shared" si="109"/>
        <v>0</v>
      </c>
      <c r="AF177" s="318">
        <f t="shared" si="134"/>
        <v>0</v>
      </c>
      <c r="AG177" s="318">
        <f t="shared" si="135"/>
        <v>0</v>
      </c>
      <c r="AH177" s="318">
        <f t="shared" si="110"/>
        <v>0</v>
      </c>
      <c r="AI177" s="318">
        <f t="shared" si="111"/>
        <v>0</v>
      </c>
      <c r="AJ177" s="318">
        <f t="shared" si="112"/>
        <v>0</v>
      </c>
      <c r="AK177" s="318">
        <f t="shared" si="113"/>
        <v>0</v>
      </c>
      <c r="AL177" s="318">
        <f t="shared" si="114"/>
        <v>0</v>
      </c>
      <c r="AM177" s="318">
        <f t="shared" si="115"/>
        <v>0</v>
      </c>
      <c r="AN177" s="318">
        <f t="shared" si="116"/>
        <v>0</v>
      </c>
      <c r="AO177" s="318">
        <f t="shared" si="117"/>
        <v>0</v>
      </c>
      <c r="AP177" s="318">
        <f t="shared" si="118"/>
        <v>0</v>
      </c>
      <c r="AQ177" s="318">
        <f t="shared" si="119"/>
        <v>0</v>
      </c>
      <c r="AR177" s="318">
        <f t="shared" si="120"/>
        <v>0</v>
      </c>
      <c r="AS177" s="318">
        <f t="shared" si="121"/>
        <v>0</v>
      </c>
      <c r="AT177" s="318">
        <f t="shared" si="122"/>
        <v>0</v>
      </c>
      <c r="AU177" s="318">
        <f t="shared" si="123"/>
        <v>0</v>
      </c>
      <c r="AV177" s="318">
        <f t="shared" si="124"/>
        <v>0</v>
      </c>
      <c r="AW177" s="318">
        <f t="shared" si="125"/>
        <v>0</v>
      </c>
      <c r="AX177" s="318">
        <f t="shared" si="126"/>
        <v>0</v>
      </c>
      <c r="AY177" s="318">
        <f t="shared" si="127"/>
        <v>0</v>
      </c>
      <c r="AZ177" s="318">
        <f t="shared" si="128"/>
        <v>0</v>
      </c>
      <c r="BA177" s="318">
        <f t="shared" si="129"/>
        <v>0</v>
      </c>
    </row>
    <row r="178" spans="1:53" s="315" customFormat="1" ht="15.75" customHeight="1">
      <c r="A178" s="63" t="str">
        <f t="array" ref="A178">IF(C178&lt;&gt;0,SUM(($C$11:C178&lt;&gt;0)*1),"")</f>
        <v/>
      </c>
      <c r="B178" s="316"/>
      <c r="C178" s="316"/>
      <c r="D178" s="316"/>
      <c r="E178" s="436"/>
      <c r="F178" s="372"/>
      <c r="G178" s="374"/>
      <c r="H178" s="374"/>
      <c r="I178" s="63" t="str">
        <f t="shared" si="137"/>
        <v/>
      </c>
      <c r="J178" s="318">
        <f t="shared" si="92"/>
        <v>0</v>
      </c>
      <c r="K178" s="318">
        <f t="shared" si="93"/>
        <v>0</v>
      </c>
      <c r="L178" s="318">
        <f t="shared" si="94"/>
        <v>0</v>
      </c>
      <c r="M178" s="318">
        <f t="shared" si="95"/>
        <v>0</v>
      </c>
      <c r="N178" s="318">
        <f t="shared" si="130"/>
        <v>0</v>
      </c>
      <c r="O178" s="318">
        <f t="shared" si="131"/>
        <v>0</v>
      </c>
      <c r="P178" s="318">
        <f t="shared" si="96"/>
        <v>0</v>
      </c>
      <c r="Q178" s="318">
        <f t="shared" si="97"/>
        <v>0</v>
      </c>
      <c r="R178" s="318">
        <f t="shared" si="98"/>
        <v>0</v>
      </c>
      <c r="S178" s="318">
        <f t="shared" si="99"/>
        <v>0</v>
      </c>
      <c r="T178" s="318">
        <f t="shared" si="132"/>
        <v>0</v>
      </c>
      <c r="U178" s="318">
        <f t="shared" si="133"/>
        <v>0</v>
      </c>
      <c r="V178" s="318">
        <f t="shared" si="100"/>
        <v>0</v>
      </c>
      <c r="W178" s="318">
        <f t="shared" si="101"/>
        <v>0</v>
      </c>
      <c r="X178" s="318">
        <f t="shared" si="102"/>
        <v>0</v>
      </c>
      <c r="Y178" s="318">
        <f t="shared" si="103"/>
        <v>0</v>
      </c>
      <c r="Z178" s="318">
        <f t="shared" si="104"/>
        <v>0</v>
      </c>
      <c r="AA178" s="318">
        <f t="shared" si="105"/>
        <v>0</v>
      </c>
      <c r="AB178" s="318">
        <f t="shared" si="106"/>
        <v>0</v>
      </c>
      <c r="AC178" s="318">
        <f t="shared" si="107"/>
        <v>0</v>
      </c>
      <c r="AD178" s="318">
        <f t="shared" si="108"/>
        <v>0</v>
      </c>
      <c r="AE178" s="318">
        <f t="shared" si="109"/>
        <v>0</v>
      </c>
      <c r="AF178" s="318">
        <f t="shared" si="134"/>
        <v>0</v>
      </c>
      <c r="AG178" s="318">
        <f t="shared" si="135"/>
        <v>0</v>
      </c>
      <c r="AH178" s="318">
        <f t="shared" si="110"/>
        <v>0</v>
      </c>
      <c r="AI178" s="318">
        <f t="shared" si="111"/>
        <v>0</v>
      </c>
      <c r="AJ178" s="318">
        <f t="shared" si="112"/>
        <v>0</v>
      </c>
      <c r="AK178" s="318">
        <f t="shared" si="113"/>
        <v>0</v>
      </c>
      <c r="AL178" s="318">
        <f t="shared" si="114"/>
        <v>0</v>
      </c>
      <c r="AM178" s="318">
        <f t="shared" si="115"/>
        <v>0</v>
      </c>
      <c r="AN178" s="318">
        <f t="shared" si="116"/>
        <v>0</v>
      </c>
      <c r="AO178" s="318">
        <f t="shared" si="117"/>
        <v>0</v>
      </c>
      <c r="AP178" s="318">
        <f t="shared" si="118"/>
        <v>0</v>
      </c>
      <c r="AQ178" s="318">
        <f t="shared" si="119"/>
        <v>0</v>
      </c>
      <c r="AR178" s="318">
        <f t="shared" si="120"/>
        <v>0</v>
      </c>
      <c r="AS178" s="318">
        <f t="shared" si="121"/>
        <v>0</v>
      </c>
      <c r="AT178" s="318">
        <f t="shared" si="122"/>
        <v>0</v>
      </c>
      <c r="AU178" s="318">
        <f t="shared" si="123"/>
        <v>0</v>
      </c>
      <c r="AV178" s="318">
        <f t="shared" si="124"/>
        <v>0</v>
      </c>
      <c r="AW178" s="318">
        <f t="shared" si="125"/>
        <v>0</v>
      </c>
      <c r="AX178" s="318">
        <f t="shared" si="126"/>
        <v>0</v>
      </c>
      <c r="AY178" s="318">
        <f t="shared" si="127"/>
        <v>0</v>
      </c>
      <c r="AZ178" s="318">
        <f t="shared" si="128"/>
        <v>0</v>
      </c>
      <c r="BA178" s="318">
        <f t="shared" si="129"/>
        <v>0</v>
      </c>
    </row>
    <row r="179" spans="1:53" s="315" customFormat="1" ht="15.75" customHeight="1">
      <c r="A179" s="63" t="str">
        <f t="array" ref="A179">IF(C179&lt;&gt;0,SUM(($C$11:C179&lt;&gt;0)*1),"")</f>
        <v/>
      </c>
      <c r="B179" s="316"/>
      <c r="C179" s="316"/>
      <c r="D179" s="316"/>
      <c r="E179" s="436"/>
      <c r="F179" s="372"/>
      <c r="G179" s="374"/>
      <c r="H179" s="374"/>
      <c r="I179" s="63" t="str">
        <f t="shared" si="137"/>
        <v/>
      </c>
      <c r="J179" s="318">
        <f t="shared" si="92"/>
        <v>0</v>
      </c>
      <c r="K179" s="318">
        <f t="shared" si="93"/>
        <v>0</v>
      </c>
      <c r="L179" s="318">
        <f t="shared" si="94"/>
        <v>0</v>
      </c>
      <c r="M179" s="318">
        <f t="shared" si="95"/>
        <v>0</v>
      </c>
      <c r="N179" s="318">
        <f t="shared" si="130"/>
        <v>0</v>
      </c>
      <c r="O179" s="318">
        <f t="shared" si="131"/>
        <v>0</v>
      </c>
      <c r="P179" s="318">
        <f t="shared" si="96"/>
        <v>0</v>
      </c>
      <c r="Q179" s="318">
        <f t="shared" si="97"/>
        <v>0</v>
      </c>
      <c r="R179" s="318">
        <f t="shared" si="98"/>
        <v>0</v>
      </c>
      <c r="S179" s="318">
        <f t="shared" si="99"/>
        <v>0</v>
      </c>
      <c r="T179" s="318">
        <f t="shared" si="132"/>
        <v>0</v>
      </c>
      <c r="U179" s="318">
        <f t="shared" si="133"/>
        <v>0</v>
      </c>
      <c r="V179" s="318">
        <f t="shared" si="100"/>
        <v>0</v>
      </c>
      <c r="W179" s="318">
        <f t="shared" si="101"/>
        <v>0</v>
      </c>
      <c r="X179" s="318">
        <f t="shared" si="102"/>
        <v>0</v>
      </c>
      <c r="Y179" s="318">
        <f t="shared" si="103"/>
        <v>0</v>
      </c>
      <c r="Z179" s="318">
        <f t="shared" si="104"/>
        <v>0</v>
      </c>
      <c r="AA179" s="318">
        <f t="shared" si="105"/>
        <v>0</v>
      </c>
      <c r="AB179" s="318">
        <f t="shared" si="106"/>
        <v>0</v>
      </c>
      <c r="AC179" s="318">
        <f t="shared" si="107"/>
        <v>0</v>
      </c>
      <c r="AD179" s="318">
        <f t="shared" si="108"/>
        <v>0</v>
      </c>
      <c r="AE179" s="318">
        <f t="shared" si="109"/>
        <v>0</v>
      </c>
      <c r="AF179" s="318">
        <f t="shared" si="134"/>
        <v>0</v>
      </c>
      <c r="AG179" s="318">
        <f t="shared" si="135"/>
        <v>0</v>
      </c>
      <c r="AH179" s="318">
        <f t="shared" si="110"/>
        <v>0</v>
      </c>
      <c r="AI179" s="318">
        <f t="shared" si="111"/>
        <v>0</v>
      </c>
      <c r="AJ179" s="318">
        <f t="shared" si="112"/>
        <v>0</v>
      </c>
      <c r="AK179" s="318">
        <f t="shared" si="113"/>
        <v>0</v>
      </c>
      <c r="AL179" s="318">
        <f t="shared" si="114"/>
        <v>0</v>
      </c>
      <c r="AM179" s="318">
        <f t="shared" si="115"/>
        <v>0</v>
      </c>
      <c r="AN179" s="318">
        <f t="shared" si="116"/>
        <v>0</v>
      </c>
      <c r="AO179" s="318">
        <f t="shared" si="117"/>
        <v>0</v>
      </c>
      <c r="AP179" s="318">
        <f t="shared" si="118"/>
        <v>0</v>
      </c>
      <c r="AQ179" s="318">
        <f t="shared" si="119"/>
        <v>0</v>
      </c>
      <c r="AR179" s="318">
        <f t="shared" si="120"/>
        <v>0</v>
      </c>
      <c r="AS179" s="318">
        <f t="shared" si="121"/>
        <v>0</v>
      </c>
      <c r="AT179" s="318">
        <f t="shared" si="122"/>
        <v>0</v>
      </c>
      <c r="AU179" s="318">
        <f t="shared" si="123"/>
        <v>0</v>
      </c>
      <c r="AV179" s="318">
        <f t="shared" si="124"/>
        <v>0</v>
      </c>
      <c r="AW179" s="318">
        <f t="shared" si="125"/>
        <v>0</v>
      </c>
      <c r="AX179" s="318">
        <f t="shared" si="126"/>
        <v>0</v>
      </c>
      <c r="AY179" s="318">
        <f t="shared" si="127"/>
        <v>0</v>
      </c>
      <c r="AZ179" s="318">
        <f t="shared" si="128"/>
        <v>0</v>
      </c>
      <c r="BA179" s="318">
        <f t="shared" si="129"/>
        <v>0</v>
      </c>
    </row>
    <row r="180" spans="1:53" s="315" customFormat="1" ht="15.75" customHeight="1">
      <c r="A180" s="63" t="str">
        <f t="array" ref="A180">IF(C180&lt;&gt;0,SUM(($C$11:C180&lt;&gt;0)*1),"")</f>
        <v/>
      </c>
      <c r="B180" s="316"/>
      <c r="C180" s="316"/>
      <c r="D180" s="316"/>
      <c r="E180" s="436"/>
      <c r="F180" s="372"/>
      <c r="G180" s="374"/>
      <c r="H180" s="374"/>
      <c r="I180" s="63" t="str">
        <f t="shared" si="137"/>
        <v/>
      </c>
      <c r="J180" s="318">
        <f t="shared" si="92"/>
        <v>0</v>
      </c>
      <c r="K180" s="318">
        <f t="shared" si="93"/>
        <v>0</v>
      </c>
      <c r="L180" s="318">
        <f t="shared" si="94"/>
        <v>0</v>
      </c>
      <c r="M180" s="318">
        <f t="shared" si="95"/>
        <v>0</v>
      </c>
      <c r="N180" s="318">
        <f t="shared" si="130"/>
        <v>0</v>
      </c>
      <c r="O180" s="318">
        <f t="shared" si="131"/>
        <v>0</v>
      </c>
      <c r="P180" s="318">
        <f t="shared" si="96"/>
        <v>0</v>
      </c>
      <c r="Q180" s="318">
        <f t="shared" si="97"/>
        <v>0</v>
      </c>
      <c r="R180" s="318">
        <f t="shared" si="98"/>
        <v>0</v>
      </c>
      <c r="S180" s="318">
        <f t="shared" si="99"/>
        <v>0</v>
      </c>
      <c r="T180" s="318">
        <f t="shared" si="132"/>
        <v>0</v>
      </c>
      <c r="U180" s="318">
        <f t="shared" si="133"/>
        <v>0</v>
      </c>
      <c r="V180" s="318">
        <f t="shared" si="100"/>
        <v>0</v>
      </c>
      <c r="W180" s="318">
        <f t="shared" si="101"/>
        <v>0</v>
      </c>
      <c r="X180" s="318">
        <f t="shared" si="102"/>
        <v>0</v>
      </c>
      <c r="Y180" s="318">
        <f t="shared" si="103"/>
        <v>0</v>
      </c>
      <c r="Z180" s="318">
        <f t="shared" si="104"/>
        <v>0</v>
      </c>
      <c r="AA180" s="318">
        <f t="shared" si="105"/>
        <v>0</v>
      </c>
      <c r="AB180" s="318">
        <f t="shared" si="106"/>
        <v>0</v>
      </c>
      <c r="AC180" s="318">
        <f t="shared" si="107"/>
        <v>0</v>
      </c>
      <c r="AD180" s="318">
        <f t="shared" si="108"/>
        <v>0</v>
      </c>
      <c r="AE180" s="318">
        <f t="shared" si="109"/>
        <v>0</v>
      </c>
      <c r="AF180" s="318">
        <f t="shared" si="134"/>
        <v>0</v>
      </c>
      <c r="AG180" s="318">
        <f t="shared" si="135"/>
        <v>0</v>
      </c>
      <c r="AH180" s="318">
        <f t="shared" si="110"/>
        <v>0</v>
      </c>
      <c r="AI180" s="318">
        <f t="shared" si="111"/>
        <v>0</v>
      </c>
      <c r="AJ180" s="318">
        <f t="shared" si="112"/>
        <v>0</v>
      </c>
      <c r="AK180" s="318">
        <f t="shared" si="113"/>
        <v>0</v>
      </c>
      <c r="AL180" s="318">
        <f t="shared" si="114"/>
        <v>0</v>
      </c>
      <c r="AM180" s="318">
        <f t="shared" si="115"/>
        <v>0</v>
      </c>
      <c r="AN180" s="318">
        <f t="shared" si="116"/>
        <v>0</v>
      </c>
      <c r="AO180" s="318">
        <f t="shared" si="117"/>
        <v>0</v>
      </c>
      <c r="AP180" s="318">
        <f t="shared" si="118"/>
        <v>0</v>
      </c>
      <c r="AQ180" s="318">
        <f t="shared" si="119"/>
        <v>0</v>
      </c>
      <c r="AR180" s="318">
        <f t="shared" si="120"/>
        <v>0</v>
      </c>
      <c r="AS180" s="318">
        <f t="shared" si="121"/>
        <v>0</v>
      </c>
      <c r="AT180" s="318">
        <f t="shared" si="122"/>
        <v>0</v>
      </c>
      <c r="AU180" s="318">
        <f t="shared" si="123"/>
        <v>0</v>
      </c>
      <c r="AV180" s="318">
        <f t="shared" si="124"/>
        <v>0</v>
      </c>
      <c r="AW180" s="318">
        <f t="shared" si="125"/>
        <v>0</v>
      </c>
      <c r="AX180" s="318">
        <f t="shared" si="126"/>
        <v>0</v>
      </c>
      <c r="AY180" s="318">
        <f t="shared" si="127"/>
        <v>0</v>
      </c>
      <c r="AZ180" s="318">
        <f t="shared" si="128"/>
        <v>0</v>
      </c>
      <c r="BA180" s="318">
        <f t="shared" si="129"/>
        <v>0</v>
      </c>
    </row>
    <row r="181" spans="1:53" s="315" customFormat="1" ht="15.75" customHeight="1">
      <c r="A181" s="63" t="str">
        <f t="array" ref="A181">IF(C181&lt;&gt;0,SUM(($C$11:C181&lt;&gt;0)*1),"")</f>
        <v/>
      </c>
      <c r="B181" s="316"/>
      <c r="C181" s="316"/>
      <c r="D181" s="316"/>
      <c r="E181" s="436"/>
      <c r="F181" s="372"/>
      <c r="G181" s="374"/>
      <c r="H181" s="374"/>
      <c r="I181" s="63" t="str">
        <f t="shared" si="137"/>
        <v/>
      </c>
      <c r="J181" s="318">
        <f t="shared" si="92"/>
        <v>0</v>
      </c>
      <c r="K181" s="318">
        <f t="shared" si="93"/>
        <v>0</v>
      </c>
      <c r="L181" s="318">
        <f t="shared" si="94"/>
        <v>0</v>
      </c>
      <c r="M181" s="318">
        <f t="shared" si="95"/>
        <v>0</v>
      </c>
      <c r="N181" s="318">
        <f t="shared" si="130"/>
        <v>0</v>
      </c>
      <c r="O181" s="318">
        <f t="shared" si="131"/>
        <v>0</v>
      </c>
      <c r="P181" s="318">
        <f t="shared" si="96"/>
        <v>0</v>
      </c>
      <c r="Q181" s="318">
        <f t="shared" si="97"/>
        <v>0</v>
      </c>
      <c r="R181" s="318">
        <f t="shared" si="98"/>
        <v>0</v>
      </c>
      <c r="S181" s="318">
        <f t="shared" si="99"/>
        <v>0</v>
      </c>
      <c r="T181" s="318">
        <f t="shared" si="132"/>
        <v>0</v>
      </c>
      <c r="U181" s="318">
        <f t="shared" si="133"/>
        <v>0</v>
      </c>
      <c r="V181" s="318">
        <f t="shared" si="100"/>
        <v>0</v>
      </c>
      <c r="W181" s="318">
        <f t="shared" si="101"/>
        <v>0</v>
      </c>
      <c r="X181" s="318">
        <f t="shared" si="102"/>
        <v>0</v>
      </c>
      <c r="Y181" s="318">
        <f t="shared" si="103"/>
        <v>0</v>
      </c>
      <c r="Z181" s="318">
        <f t="shared" si="104"/>
        <v>0</v>
      </c>
      <c r="AA181" s="318">
        <f t="shared" si="105"/>
        <v>0</v>
      </c>
      <c r="AB181" s="318">
        <f t="shared" si="106"/>
        <v>0</v>
      </c>
      <c r="AC181" s="318">
        <f t="shared" si="107"/>
        <v>0</v>
      </c>
      <c r="AD181" s="318">
        <f t="shared" si="108"/>
        <v>0</v>
      </c>
      <c r="AE181" s="318">
        <f t="shared" si="109"/>
        <v>0</v>
      </c>
      <c r="AF181" s="318">
        <f t="shared" si="134"/>
        <v>0</v>
      </c>
      <c r="AG181" s="318">
        <f t="shared" si="135"/>
        <v>0</v>
      </c>
      <c r="AH181" s="318">
        <f t="shared" si="110"/>
        <v>0</v>
      </c>
      <c r="AI181" s="318">
        <f t="shared" si="111"/>
        <v>0</v>
      </c>
      <c r="AJ181" s="318">
        <f t="shared" si="112"/>
        <v>0</v>
      </c>
      <c r="AK181" s="318">
        <f t="shared" si="113"/>
        <v>0</v>
      </c>
      <c r="AL181" s="318">
        <f t="shared" si="114"/>
        <v>0</v>
      </c>
      <c r="AM181" s="318">
        <f t="shared" si="115"/>
        <v>0</v>
      </c>
      <c r="AN181" s="318">
        <f t="shared" si="116"/>
        <v>0</v>
      </c>
      <c r="AO181" s="318">
        <f t="shared" si="117"/>
        <v>0</v>
      </c>
      <c r="AP181" s="318">
        <f t="shared" si="118"/>
        <v>0</v>
      </c>
      <c r="AQ181" s="318">
        <f t="shared" si="119"/>
        <v>0</v>
      </c>
      <c r="AR181" s="318">
        <f t="shared" si="120"/>
        <v>0</v>
      </c>
      <c r="AS181" s="318">
        <f t="shared" si="121"/>
        <v>0</v>
      </c>
      <c r="AT181" s="318">
        <f t="shared" si="122"/>
        <v>0</v>
      </c>
      <c r="AU181" s="318">
        <f t="shared" si="123"/>
        <v>0</v>
      </c>
      <c r="AV181" s="318">
        <f t="shared" si="124"/>
        <v>0</v>
      </c>
      <c r="AW181" s="318">
        <f t="shared" si="125"/>
        <v>0</v>
      </c>
      <c r="AX181" s="318">
        <f t="shared" si="126"/>
        <v>0</v>
      </c>
      <c r="AY181" s="318">
        <f t="shared" si="127"/>
        <v>0</v>
      </c>
      <c r="AZ181" s="318">
        <f t="shared" si="128"/>
        <v>0</v>
      </c>
      <c r="BA181" s="318">
        <f t="shared" si="129"/>
        <v>0</v>
      </c>
    </row>
    <row r="182" spans="1:53" s="315" customFormat="1" ht="15.75" customHeight="1">
      <c r="A182" s="63" t="str">
        <f t="array" ref="A182">IF(C182&lt;&gt;0,SUM(($C$11:C182&lt;&gt;0)*1),"")</f>
        <v/>
      </c>
      <c r="B182" s="316"/>
      <c r="C182" s="316"/>
      <c r="D182" s="316"/>
      <c r="E182" s="436"/>
      <c r="F182" s="372"/>
      <c r="G182" s="374"/>
      <c r="H182" s="374"/>
      <c r="I182" s="63" t="str">
        <f t="shared" si="137"/>
        <v/>
      </c>
      <c r="J182" s="318">
        <f t="shared" si="92"/>
        <v>0</v>
      </c>
      <c r="K182" s="318">
        <f t="shared" si="93"/>
        <v>0</v>
      </c>
      <c r="L182" s="318">
        <f t="shared" si="94"/>
        <v>0</v>
      </c>
      <c r="M182" s="318">
        <f t="shared" si="95"/>
        <v>0</v>
      </c>
      <c r="N182" s="318">
        <f t="shared" si="130"/>
        <v>0</v>
      </c>
      <c r="O182" s="318">
        <f t="shared" si="131"/>
        <v>0</v>
      </c>
      <c r="P182" s="318">
        <f t="shared" si="96"/>
        <v>0</v>
      </c>
      <c r="Q182" s="318">
        <f t="shared" si="97"/>
        <v>0</v>
      </c>
      <c r="R182" s="318">
        <f t="shared" si="98"/>
        <v>0</v>
      </c>
      <c r="S182" s="318">
        <f t="shared" si="99"/>
        <v>0</v>
      </c>
      <c r="T182" s="318">
        <f t="shared" si="132"/>
        <v>0</v>
      </c>
      <c r="U182" s="318">
        <f t="shared" si="133"/>
        <v>0</v>
      </c>
      <c r="V182" s="318">
        <f t="shared" si="100"/>
        <v>0</v>
      </c>
      <c r="W182" s="318">
        <f t="shared" si="101"/>
        <v>0</v>
      </c>
      <c r="X182" s="318">
        <f t="shared" si="102"/>
        <v>0</v>
      </c>
      <c r="Y182" s="318">
        <f t="shared" si="103"/>
        <v>0</v>
      </c>
      <c r="Z182" s="318">
        <f t="shared" si="104"/>
        <v>0</v>
      </c>
      <c r="AA182" s="318">
        <f t="shared" si="105"/>
        <v>0</v>
      </c>
      <c r="AB182" s="318">
        <f t="shared" si="106"/>
        <v>0</v>
      </c>
      <c r="AC182" s="318">
        <f t="shared" si="107"/>
        <v>0</v>
      </c>
      <c r="AD182" s="318">
        <f t="shared" si="108"/>
        <v>0</v>
      </c>
      <c r="AE182" s="318">
        <f t="shared" si="109"/>
        <v>0</v>
      </c>
      <c r="AF182" s="318">
        <f t="shared" si="134"/>
        <v>0</v>
      </c>
      <c r="AG182" s="318">
        <f t="shared" si="135"/>
        <v>0</v>
      </c>
      <c r="AH182" s="318">
        <f t="shared" si="110"/>
        <v>0</v>
      </c>
      <c r="AI182" s="318">
        <f t="shared" si="111"/>
        <v>0</v>
      </c>
      <c r="AJ182" s="318">
        <f t="shared" si="112"/>
        <v>0</v>
      </c>
      <c r="AK182" s="318">
        <f t="shared" si="113"/>
        <v>0</v>
      </c>
      <c r="AL182" s="318">
        <f t="shared" si="114"/>
        <v>0</v>
      </c>
      <c r="AM182" s="318">
        <f t="shared" si="115"/>
        <v>0</v>
      </c>
      <c r="AN182" s="318">
        <f t="shared" si="116"/>
        <v>0</v>
      </c>
      <c r="AO182" s="318">
        <f t="shared" si="117"/>
        <v>0</v>
      </c>
      <c r="AP182" s="318">
        <f t="shared" si="118"/>
        <v>0</v>
      </c>
      <c r="AQ182" s="318">
        <f t="shared" si="119"/>
        <v>0</v>
      </c>
      <c r="AR182" s="318">
        <f t="shared" si="120"/>
        <v>0</v>
      </c>
      <c r="AS182" s="318">
        <f t="shared" si="121"/>
        <v>0</v>
      </c>
      <c r="AT182" s="318">
        <f t="shared" si="122"/>
        <v>0</v>
      </c>
      <c r="AU182" s="318">
        <f t="shared" si="123"/>
        <v>0</v>
      </c>
      <c r="AV182" s="318">
        <f t="shared" si="124"/>
        <v>0</v>
      </c>
      <c r="AW182" s="318">
        <f t="shared" si="125"/>
        <v>0</v>
      </c>
      <c r="AX182" s="318">
        <f t="shared" si="126"/>
        <v>0</v>
      </c>
      <c r="AY182" s="318">
        <f t="shared" si="127"/>
        <v>0</v>
      </c>
      <c r="AZ182" s="318">
        <f t="shared" si="128"/>
        <v>0</v>
      </c>
      <c r="BA182" s="318">
        <f t="shared" si="129"/>
        <v>0</v>
      </c>
    </row>
    <row r="183" spans="1:53" s="315" customFormat="1" ht="15.75" customHeight="1">
      <c r="A183" s="63" t="str">
        <f t="array" ref="A183">IF(C183&lt;&gt;0,SUM(($C$11:C183&lt;&gt;0)*1),"")</f>
        <v/>
      </c>
      <c r="B183" s="316"/>
      <c r="C183" s="316"/>
      <c r="D183" s="316"/>
      <c r="E183" s="436"/>
      <c r="F183" s="372"/>
      <c r="G183" s="374"/>
      <c r="H183" s="374"/>
      <c r="I183" s="63" t="str">
        <f t="shared" si="137"/>
        <v/>
      </c>
      <c r="J183" s="318">
        <f t="shared" si="92"/>
        <v>0</v>
      </c>
      <c r="K183" s="318">
        <f t="shared" si="93"/>
        <v>0</v>
      </c>
      <c r="L183" s="318">
        <f t="shared" si="94"/>
        <v>0</v>
      </c>
      <c r="M183" s="318">
        <f t="shared" si="95"/>
        <v>0</v>
      </c>
      <c r="N183" s="318">
        <f t="shared" si="130"/>
        <v>0</v>
      </c>
      <c r="O183" s="318">
        <f t="shared" si="131"/>
        <v>0</v>
      </c>
      <c r="P183" s="318">
        <f t="shared" si="96"/>
        <v>0</v>
      </c>
      <c r="Q183" s="318">
        <f t="shared" si="97"/>
        <v>0</v>
      </c>
      <c r="R183" s="318">
        <f t="shared" si="98"/>
        <v>0</v>
      </c>
      <c r="S183" s="318">
        <f t="shared" si="99"/>
        <v>0</v>
      </c>
      <c r="T183" s="318">
        <f t="shared" si="132"/>
        <v>0</v>
      </c>
      <c r="U183" s="318">
        <f t="shared" si="133"/>
        <v>0</v>
      </c>
      <c r="V183" s="318">
        <f t="shared" si="100"/>
        <v>0</v>
      </c>
      <c r="W183" s="318">
        <f t="shared" si="101"/>
        <v>0</v>
      </c>
      <c r="X183" s="318">
        <f t="shared" si="102"/>
        <v>0</v>
      </c>
      <c r="Y183" s="318">
        <f t="shared" si="103"/>
        <v>0</v>
      </c>
      <c r="Z183" s="318">
        <f t="shared" si="104"/>
        <v>0</v>
      </c>
      <c r="AA183" s="318">
        <f t="shared" si="105"/>
        <v>0</v>
      </c>
      <c r="AB183" s="318">
        <f t="shared" si="106"/>
        <v>0</v>
      </c>
      <c r="AC183" s="318">
        <f t="shared" si="107"/>
        <v>0</v>
      </c>
      <c r="AD183" s="318">
        <f t="shared" si="108"/>
        <v>0</v>
      </c>
      <c r="AE183" s="318">
        <f t="shared" si="109"/>
        <v>0</v>
      </c>
      <c r="AF183" s="318">
        <f t="shared" si="134"/>
        <v>0</v>
      </c>
      <c r="AG183" s="318">
        <f t="shared" si="135"/>
        <v>0</v>
      </c>
      <c r="AH183" s="318">
        <f t="shared" si="110"/>
        <v>0</v>
      </c>
      <c r="AI183" s="318">
        <f t="shared" si="111"/>
        <v>0</v>
      </c>
      <c r="AJ183" s="318">
        <f t="shared" si="112"/>
        <v>0</v>
      </c>
      <c r="AK183" s="318">
        <f t="shared" si="113"/>
        <v>0</v>
      </c>
      <c r="AL183" s="318">
        <f t="shared" si="114"/>
        <v>0</v>
      </c>
      <c r="AM183" s="318">
        <f t="shared" si="115"/>
        <v>0</v>
      </c>
      <c r="AN183" s="318">
        <f t="shared" si="116"/>
        <v>0</v>
      </c>
      <c r="AO183" s="318">
        <f t="shared" si="117"/>
        <v>0</v>
      </c>
      <c r="AP183" s="318">
        <f t="shared" si="118"/>
        <v>0</v>
      </c>
      <c r="AQ183" s="318">
        <f t="shared" si="119"/>
        <v>0</v>
      </c>
      <c r="AR183" s="318">
        <f t="shared" si="120"/>
        <v>0</v>
      </c>
      <c r="AS183" s="318">
        <f t="shared" si="121"/>
        <v>0</v>
      </c>
      <c r="AT183" s="318">
        <f t="shared" si="122"/>
        <v>0</v>
      </c>
      <c r="AU183" s="318">
        <f t="shared" si="123"/>
        <v>0</v>
      </c>
      <c r="AV183" s="318">
        <f t="shared" si="124"/>
        <v>0</v>
      </c>
      <c r="AW183" s="318">
        <f t="shared" si="125"/>
        <v>0</v>
      </c>
      <c r="AX183" s="318">
        <f t="shared" si="126"/>
        <v>0</v>
      </c>
      <c r="AY183" s="318">
        <f t="shared" si="127"/>
        <v>0</v>
      </c>
      <c r="AZ183" s="318">
        <f t="shared" si="128"/>
        <v>0</v>
      </c>
      <c r="BA183" s="318">
        <f t="shared" si="129"/>
        <v>0</v>
      </c>
    </row>
    <row r="184" spans="1:53" s="315" customFormat="1" ht="15.75" customHeight="1">
      <c r="A184" s="63" t="str">
        <f t="array" ref="A184">IF(C184&lt;&gt;0,SUM(($C$11:C184&lt;&gt;0)*1),"")</f>
        <v/>
      </c>
      <c r="B184" s="316"/>
      <c r="C184" s="316"/>
      <c r="D184" s="316"/>
      <c r="E184" s="436"/>
      <c r="F184" s="372"/>
      <c r="G184" s="374"/>
      <c r="H184" s="374"/>
      <c r="I184" s="63" t="str">
        <f t="shared" si="137"/>
        <v/>
      </c>
      <c r="J184" s="318">
        <f t="shared" si="92"/>
        <v>0</v>
      </c>
      <c r="K184" s="318">
        <f t="shared" si="93"/>
        <v>0</v>
      </c>
      <c r="L184" s="318">
        <f t="shared" si="94"/>
        <v>0</v>
      </c>
      <c r="M184" s="318">
        <f t="shared" si="95"/>
        <v>0</v>
      </c>
      <c r="N184" s="318">
        <f t="shared" si="130"/>
        <v>0</v>
      </c>
      <c r="O184" s="318">
        <f t="shared" si="131"/>
        <v>0</v>
      </c>
      <c r="P184" s="318">
        <f t="shared" si="96"/>
        <v>0</v>
      </c>
      <c r="Q184" s="318">
        <f t="shared" si="97"/>
        <v>0</v>
      </c>
      <c r="R184" s="318">
        <f t="shared" si="98"/>
        <v>0</v>
      </c>
      <c r="S184" s="318">
        <f t="shared" si="99"/>
        <v>0</v>
      </c>
      <c r="T184" s="318">
        <f t="shared" si="132"/>
        <v>0</v>
      </c>
      <c r="U184" s="318">
        <f t="shared" si="133"/>
        <v>0</v>
      </c>
      <c r="V184" s="318">
        <f t="shared" si="100"/>
        <v>0</v>
      </c>
      <c r="W184" s="318">
        <f t="shared" si="101"/>
        <v>0</v>
      </c>
      <c r="X184" s="318">
        <f t="shared" si="102"/>
        <v>0</v>
      </c>
      <c r="Y184" s="318">
        <f t="shared" si="103"/>
        <v>0</v>
      </c>
      <c r="Z184" s="318">
        <f t="shared" si="104"/>
        <v>0</v>
      </c>
      <c r="AA184" s="318">
        <f t="shared" si="105"/>
        <v>0</v>
      </c>
      <c r="AB184" s="318">
        <f t="shared" si="106"/>
        <v>0</v>
      </c>
      <c r="AC184" s="318">
        <f t="shared" si="107"/>
        <v>0</v>
      </c>
      <c r="AD184" s="318">
        <f t="shared" si="108"/>
        <v>0</v>
      </c>
      <c r="AE184" s="318">
        <f t="shared" si="109"/>
        <v>0</v>
      </c>
      <c r="AF184" s="318">
        <f t="shared" si="134"/>
        <v>0</v>
      </c>
      <c r="AG184" s="318">
        <f t="shared" si="135"/>
        <v>0</v>
      </c>
      <c r="AH184" s="318">
        <f t="shared" si="110"/>
        <v>0</v>
      </c>
      <c r="AI184" s="318">
        <f t="shared" si="111"/>
        <v>0</v>
      </c>
      <c r="AJ184" s="318">
        <f t="shared" si="112"/>
        <v>0</v>
      </c>
      <c r="AK184" s="318">
        <f t="shared" si="113"/>
        <v>0</v>
      </c>
      <c r="AL184" s="318">
        <f t="shared" si="114"/>
        <v>0</v>
      </c>
      <c r="AM184" s="318">
        <f t="shared" si="115"/>
        <v>0</v>
      </c>
      <c r="AN184" s="318">
        <f t="shared" si="116"/>
        <v>0</v>
      </c>
      <c r="AO184" s="318">
        <f t="shared" si="117"/>
        <v>0</v>
      </c>
      <c r="AP184" s="318">
        <f t="shared" si="118"/>
        <v>0</v>
      </c>
      <c r="AQ184" s="318">
        <f t="shared" si="119"/>
        <v>0</v>
      </c>
      <c r="AR184" s="318">
        <f t="shared" si="120"/>
        <v>0</v>
      </c>
      <c r="AS184" s="318">
        <f t="shared" si="121"/>
        <v>0</v>
      </c>
      <c r="AT184" s="318">
        <f t="shared" si="122"/>
        <v>0</v>
      </c>
      <c r="AU184" s="318">
        <f t="shared" si="123"/>
        <v>0</v>
      </c>
      <c r="AV184" s="318">
        <f t="shared" si="124"/>
        <v>0</v>
      </c>
      <c r="AW184" s="318">
        <f t="shared" si="125"/>
        <v>0</v>
      </c>
      <c r="AX184" s="318">
        <f t="shared" si="126"/>
        <v>0</v>
      </c>
      <c r="AY184" s="318">
        <f t="shared" si="127"/>
        <v>0</v>
      </c>
      <c r="AZ184" s="318">
        <f t="shared" si="128"/>
        <v>0</v>
      </c>
      <c r="BA184" s="318">
        <f t="shared" si="129"/>
        <v>0</v>
      </c>
    </row>
    <row r="185" spans="1:53" s="315" customFormat="1" ht="15.75" customHeight="1">
      <c r="A185" s="63" t="str">
        <f t="array" ref="A185">IF(C185&lt;&gt;0,SUM(($C$11:C185&lt;&gt;0)*1),"")</f>
        <v/>
      </c>
      <c r="B185" s="316"/>
      <c r="C185" s="316"/>
      <c r="D185" s="316"/>
      <c r="E185" s="436"/>
      <c r="F185" s="372"/>
      <c r="G185" s="374"/>
      <c r="H185" s="374"/>
      <c r="I185" s="63" t="str">
        <f t="shared" si="137"/>
        <v/>
      </c>
      <c r="J185" s="318">
        <f t="shared" si="92"/>
        <v>0</v>
      </c>
      <c r="K185" s="318">
        <f t="shared" si="93"/>
        <v>0</v>
      </c>
      <c r="L185" s="318">
        <f t="shared" si="94"/>
        <v>0</v>
      </c>
      <c r="M185" s="318">
        <f t="shared" si="95"/>
        <v>0</v>
      </c>
      <c r="N185" s="318">
        <f t="shared" si="130"/>
        <v>0</v>
      </c>
      <c r="O185" s="318">
        <f t="shared" si="131"/>
        <v>0</v>
      </c>
      <c r="P185" s="318">
        <f t="shared" si="96"/>
        <v>0</v>
      </c>
      <c r="Q185" s="318">
        <f t="shared" si="97"/>
        <v>0</v>
      </c>
      <c r="R185" s="318">
        <f t="shared" si="98"/>
        <v>0</v>
      </c>
      <c r="S185" s="318">
        <f t="shared" si="99"/>
        <v>0</v>
      </c>
      <c r="T185" s="318">
        <f t="shared" si="132"/>
        <v>0</v>
      </c>
      <c r="U185" s="318">
        <f t="shared" si="133"/>
        <v>0</v>
      </c>
      <c r="V185" s="318">
        <f t="shared" si="100"/>
        <v>0</v>
      </c>
      <c r="W185" s="318">
        <f t="shared" si="101"/>
        <v>0</v>
      </c>
      <c r="X185" s="318">
        <f t="shared" si="102"/>
        <v>0</v>
      </c>
      <c r="Y185" s="318">
        <f t="shared" si="103"/>
        <v>0</v>
      </c>
      <c r="Z185" s="318">
        <f t="shared" si="104"/>
        <v>0</v>
      </c>
      <c r="AA185" s="318">
        <f t="shared" si="105"/>
        <v>0</v>
      </c>
      <c r="AB185" s="318">
        <f t="shared" si="106"/>
        <v>0</v>
      </c>
      <c r="AC185" s="318">
        <f t="shared" si="107"/>
        <v>0</v>
      </c>
      <c r="AD185" s="318">
        <f t="shared" si="108"/>
        <v>0</v>
      </c>
      <c r="AE185" s="318">
        <f t="shared" si="109"/>
        <v>0</v>
      </c>
      <c r="AF185" s="318">
        <f t="shared" si="134"/>
        <v>0</v>
      </c>
      <c r="AG185" s="318">
        <f t="shared" si="135"/>
        <v>0</v>
      </c>
      <c r="AH185" s="318">
        <f t="shared" si="110"/>
        <v>0</v>
      </c>
      <c r="AI185" s="318">
        <f t="shared" si="111"/>
        <v>0</v>
      </c>
      <c r="AJ185" s="318">
        <f t="shared" si="112"/>
        <v>0</v>
      </c>
      <c r="AK185" s="318">
        <f t="shared" si="113"/>
        <v>0</v>
      </c>
      <c r="AL185" s="318">
        <f t="shared" si="114"/>
        <v>0</v>
      </c>
      <c r="AM185" s="318">
        <f t="shared" si="115"/>
        <v>0</v>
      </c>
      <c r="AN185" s="318">
        <f t="shared" si="116"/>
        <v>0</v>
      </c>
      <c r="AO185" s="318">
        <f t="shared" si="117"/>
        <v>0</v>
      </c>
      <c r="AP185" s="318">
        <f t="shared" si="118"/>
        <v>0</v>
      </c>
      <c r="AQ185" s="318">
        <f t="shared" si="119"/>
        <v>0</v>
      </c>
      <c r="AR185" s="318">
        <f t="shared" si="120"/>
        <v>0</v>
      </c>
      <c r="AS185" s="318">
        <f t="shared" si="121"/>
        <v>0</v>
      </c>
      <c r="AT185" s="318">
        <f t="shared" si="122"/>
        <v>0</v>
      </c>
      <c r="AU185" s="318">
        <f t="shared" si="123"/>
        <v>0</v>
      </c>
      <c r="AV185" s="318">
        <f t="shared" si="124"/>
        <v>0</v>
      </c>
      <c r="AW185" s="318">
        <f t="shared" si="125"/>
        <v>0</v>
      </c>
      <c r="AX185" s="318">
        <f t="shared" si="126"/>
        <v>0</v>
      </c>
      <c r="AY185" s="318">
        <f t="shared" si="127"/>
        <v>0</v>
      </c>
      <c r="AZ185" s="318">
        <f t="shared" si="128"/>
        <v>0</v>
      </c>
      <c r="BA185" s="318">
        <f t="shared" si="129"/>
        <v>0</v>
      </c>
    </row>
    <row r="186" spans="1:53" s="315" customFormat="1" ht="15.75" customHeight="1">
      <c r="A186" s="63" t="str">
        <f t="array" ref="A186">IF(C186&lt;&gt;0,SUM(($C$11:C186&lt;&gt;0)*1),"")</f>
        <v/>
      </c>
      <c r="B186" s="316"/>
      <c r="C186" s="316"/>
      <c r="D186" s="316"/>
      <c r="E186" s="436"/>
      <c r="F186" s="372"/>
      <c r="G186" s="374"/>
      <c r="H186" s="374"/>
      <c r="I186" s="63" t="str">
        <f t="shared" si="137"/>
        <v/>
      </c>
      <c r="J186" s="318">
        <f t="shared" si="92"/>
        <v>0</v>
      </c>
      <c r="K186" s="318">
        <f t="shared" si="93"/>
        <v>0</v>
      </c>
      <c r="L186" s="318">
        <f t="shared" si="94"/>
        <v>0</v>
      </c>
      <c r="M186" s="318">
        <f t="shared" si="95"/>
        <v>0</v>
      </c>
      <c r="N186" s="318">
        <f t="shared" si="130"/>
        <v>0</v>
      </c>
      <c r="O186" s="318">
        <f t="shared" si="131"/>
        <v>0</v>
      </c>
      <c r="P186" s="318">
        <f t="shared" si="96"/>
        <v>0</v>
      </c>
      <c r="Q186" s="318">
        <f t="shared" si="97"/>
        <v>0</v>
      </c>
      <c r="R186" s="318">
        <f t="shared" si="98"/>
        <v>0</v>
      </c>
      <c r="S186" s="318">
        <f t="shared" si="99"/>
        <v>0</v>
      </c>
      <c r="T186" s="318">
        <f t="shared" si="132"/>
        <v>0</v>
      </c>
      <c r="U186" s="318">
        <f t="shared" si="133"/>
        <v>0</v>
      </c>
      <c r="V186" s="318">
        <f t="shared" si="100"/>
        <v>0</v>
      </c>
      <c r="W186" s="318">
        <f t="shared" si="101"/>
        <v>0</v>
      </c>
      <c r="X186" s="318">
        <f t="shared" si="102"/>
        <v>0</v>
      </c>
      <c r="Y186" s="318">
        <f t="shared" si="103"/>
        <v>0</v>
      </c>
      <c r="Z186" s="318">
        <f t="shared" si="104"/>
        <v>0</v>
      </c>
      <c r="AA186" s="318">
        <f t="shared" si="105"/>
        <v>0</v>
      </c>
      <c r="AB186" s="318">
        <f t="shared" si="106"/>
        <v>0</v>
      </c>
      <c r="AC186" s="318">
        <f t="shared" si="107"/>
        <v>0</v>
      </c>
      <c r="AD186" s="318">
        <f t="shared" si="108"/>
        <v>0</v>
      </c>
      <c r="AE186" s="318">
        <f t="shared" si="109"/>
        <v>0</v>
      </c>
      <c r="AF186" s="318">
        <f t="shared" si="134"/>
        <v>0</v>
      </c>
      <c r="AG186" s="318">
        <f t="shared" si="135"/>
        <v>0</v>
      </c>
      <c r="AH186" s="318">
        <f t="shared" si="110"/>
        <v>0</v>
      </c>
      <c r="AI186" s="318">
        <f t="shared" si="111"/>
        <v>0</v>
      </c>
      <c r="AJ186" s="318">
        <f t="shared" si="112"/>
        <v>0</v>
      </c>
      <c r="AK186" s="318">
        <f t="shared" si="113"/>
        <v>0</v>
      </c>
      <c r="AL186" s="318">
        <f t="shared" si="114"/>
        <v>0</v>
      </c>
      <c r="AM186" s="318">
        <f t="shared" si="115"/>
        <v>0</v>
      </c>
      <c r="AN186" s="318">
        <f t="shared" si="116"/>
        <v>0</v>
      </c>
      <c r="AO186" s="318">
        <f t="shared" si="117"/>
        <v>0</v>
      </c>
      <c r="AP186" s="318">
        <f t="shared" si="118"/>
        <v>0</v>
      </c>
      <c r="AQ186" s="318">
        <f t="shared" si="119"/>
        <v>0</v>
      </c>
      <c r="AR186" s="318">
        <f t="shared" si="120"/>
        <v>0</v>
      </c>
      <c r="AS186" s="318">
        <f t="shared" si="121"/>
        <v>0</v>
      </c>
      <c r="AT186" s="318">
        <f t="shared" si="122"/>
        <v>0</v>
      </c>
      <c r="AU186" s="318">
        <f t="shared" si="123"/>
        <v>0</v>
      </c>
      <c r="AV186" s="318">
        <f t="shared" si="124"/>
        <v>0</v>
      </c>
      <c r="AW186" s="318">
        <f t="shared" si="125"/>
        <v>0</v>
      </c>
      <c r="AX186" s="318">
        <f t="shared" si="126"/>
        <v>0</v>
      </c>
      <c r="AY186" s="318">
        <f t="shared" si="127"/>
        <v>0</v>
      </c>
      <c r="AZ186" s="318">
        <f t="shared" si="128"/>
        <v>0</v>
      </c>
      <c r="BA186" s="318">
        <f t="shared" si="129"/>
        <v>0</v>
      </c>
    </row>
    <row r="187" spans="1:53" s="315" customFormat="1" ht="15.75" customHeight="1">
      <c r="A187" s="63" t="str">
        <f t="array" ref="A187">IF(C187&lt;&gt;0,SUM(($C$11:C187&lt;&gt;0)*1),"")</f>
        <v/>
      </c>
      <c r="B187" s="316"/>
      <c r="C187" s="316"/>
      <c r="D187" s="316"/>
      <c r="E187" s="436"/>
      <c r="F187" s="372"/>
      <c r="G187" s="374"/>
      <c r="H187" s="374"/>
      <c r="I187" s="63" t="str">
        <f t="shared" si="137"/>
        <v/>
      </c>
      <c r="J187" s="318">
        <f t="shared" si="92"/>
        <v>0</v>
      </c>
      <c r="K187" s="318">
        <f t="shared" si="93"/>
        <v>0</v>
      </c>
      <c r="L187" s="318">
        <f t="shared" si="94"/>
        <v>0</v>
      </c>
      <c r="M187" s="318">
        <f t="shared" si="95"/>
        <v>0</v>
      </c>
      <c r="N187" s="318">
        <f t="shared" si="130"/>
        <v>0</v>
      </c>
      <c r="O187" s="318">
        <f t="shared" si="131"/>
        <v>0</v>
      </c>
      <c r="P187" s="318">
        <f t="shared" si="96"/>
        <v>0</v>
      </c>
      <c r="Q187" s="318">
        <f t="shared" si="97"/>
        <v>0</v>
      </c>
      <c r="R187" s="318">
        <f t="shared" si="98"/>
        <v>0</v>
      </c>
      <c r="S187" s="318">
        <f t="shared" si="99"/>
        <v>0</v>
      </c>
      <c r="T187" s="318">
        <f t="shared" si="132"/>
        <v>0</v>
      </c>
      <c r="U187" s="318">
        <f t="shared" si="133"/>
        <v>0</v>
      </c>
      <c r="V187" s="318">
        <f t="shared" si="100"/>
        <v>0</v>
      </c>
      <c r="W187" s="318">
        <f t="shared" si="101"/>
        <v>0</v>
      </c>
      <c r="X187" s="318">
        <f t="shared" si="102"/>
        <v>0</v>
      </c>
      <c r="Y187" s="318">
        <f t="shared" si="103"/>
        <v>0</v>
      </c>
      <c r="Z187" s="318">
        <f t="shared" si="104"/>
        <v>0</v>
      </c>
      <c r="AA187" s="318">
        <f t="shared" si="105"/>
        <v>0</v>
      </c>
      <c r="AB187" s="318">
        <f t="shared" si="106"/>
        <v>0</v>
      </c>
      <c r="AC187" s="318">
        <f t="shared" si="107"/>
        <v>0</v>
      </c>
      <c r="AD187" s="318">
        <f t="shared" si="108"/>
        <v>0</v>
      </c>
      <c r="AE187" s="318">
        <f t="shared" si="109"/>
        <v>0</v>
      </c>
      <c r="AF187" s="318">
        <f t="shared" si="134"/>
        <v>0</v>
      </c>
      <c r="AG187" s="318">
        <f t="shared" si="135"/>
        <v>0</v>
      </c>
      <c r="AH187" s="318">
        <f t="shared" si="110"/>
        <v>0</v>
      </c>
      <c r="AI187" s="318">
        <f t="shared" si="111"/>
        <v>0</v>
      </c>
      <c r="AJ187" s="318">
        <f t="shared" si="112"/>
        <v>0</v>
      </c>
      <c r="AK187" s="318">
        <f t="shared" si="113"/>
        <v>0</v>
      </c>
      <c r="AL187" s="318">
        <f t="shared" si="114"/>
        <v>0</v>
      </c>
      <c r="AM187" s="318">
        <f t="shared" si="115"/>
        <v>0</v>
      </c>
      <c r="AN187" s="318">
        <f t="shared" si="116"/>
        <v>0</v>
      </c>
      <c r="AO187" s="318">
        <f t="shared" si="117"/>
        <v>0</v>
      </c>
      <c r="AP187" s="318">
        <f t="shared" si="118"/>
        <v>0</v>
      </c>
      <c r="AQ187" s="318">
        <f t="shared" si="119"/>
        <v>0</v>
      </c>
      <c r="AR187" s="318">
        <f t="shared" si="120"/>
        <v>0</v>
      </c>
      <c r="AS187" s="318">
        <f t="shared" si="121"/>
        <v>0</v>
      </c>
      <c r="AT187" s="318">
        <f t="shared" si="122"/>
        <v>0</v>
      </c>
      <c r="AU187" s="318">
        <f t="shared" si="123"/>
        <v>0</v>
      </c>
      <c r="AV187" s="318">
        <f t="shared" si="124"/>
        <v>0</v>
      </c>
      <c r="AW187" s="318">
        <f t="shared" si="125"/>
        <v>0</v>
      </c>
      <c r="AX187" s="318">
        <f t="shared" si="126"/>
        <v>0</v>
      </c>
      <c r="AY187" s="318">
        <f t="shared" si="127"/>
        <v>0</v>
      </c>
      <c r="AZ187" s="318">
        <f t="shared" si="128"/>
        <v>0</v>
      </c>
      <c r="BA187" s="318">
        <f t="shared" si="129"/>
        <v>0</v>
      </c>
    </row>
    <row r="188" spans="1:53" s="315" customFormat="1" ht="15.75" customHeight="1">
      <c r="A188" s="63" t="str">
        <f t="array" ref="A188">IF(C188&lt;&gt;0,SUM(($C$11:C188&lt;&gt;0)*1),"")</f>
        <v/>
      </c>
      <c r="B188" s="316"/>
      <c r="C188" s="316"/>
      <c r="D188" s="316"/>
      <c r="E188" s="436"/>
      <c r="F188" s="372"/>
      <c r="G188" s="374"/>
      <c r="H188" s="374"/>
      <c r="I188" s="63" t="str">
        <f t="shared" si="137"/>
        <v/>
      </c>
      <c r="J188" s="318">
        <f t="shared" si="92"/>
        <v>0</v>
      </c>
      <c r="K188" s="318">
        <f t="shared" si="93"/>
        <v>0</v>
      </c>
      <c r="L188" s="318">
        <f t="shared" si="94"/>
        <v>0</v>
      </c>
      <c r="M188" s="318">
        <f t="shared" si="95"/>
        <v>0</v>
      </c>
      <c r="N188" s="318">
        <f t="shared" si="130"/>
        <v>0</v>
      </c>
      <c r="O188" s="318">
        <f t="shared" si="131"/>
        <v>0</v>
      </c>
      <c r="P188" s="318">
        <f t="shared" si="96"/>
        <v>0</v>
      </c>
      <c r="Q188" s="318">
        <f t="shared" si="97"/>
        <v>0</v>
      </c>
      <c r="R188" s="318">
        <f t="shared" si="98"/>
        <v>0</v>
      </c>
      <c r="S188" s="318">
        <f t="shared" si="99"/>
        <v>0</v>
      </c>
      <c r="T188" s="318">
        <f t="shared" si="132"/>
        <v>0</v>
      </c>
      <c r="U188" s="318">
        <f t="shared" si="133"/>
        <v>0</v>
      </c>
      <c r="V188" s="318">
        <f t="shared" si="100"/>
        <v>0</v>
      </c>
      <c r="W188" s="318">
        <f t="shared" si="101"/>
        <v>0</v>
      </c>
      <c r="X188" s="318">
        <f t="shared" si="102"/>
        <v>0</v>
      </c>
      <c r="Y188" s="318">
        <f t="shared" si="103"/>
        <v>0</v>
      </c>
      <c r="Z188" s="318">
        <f t="shared" si="104"/>
        <v>0</v>
      </c>
      <c r="AA188" s="318">
        <f t="shared" si="105"/>
        <v>0</v>
      </c>
      <c r="AB188" s="318">
        <f t="shared" si="106"/>
        <v>0</v>
      </c>
      <c r="AC188" s="318">
        <f t="shared" si="107"/>
        <v>0</v>
      </c>
      <c r="AD188" s="318">
        <f t="shared" si="108"/>
        <v>0</v>
      </c>
      <c r="AE188" s="318">
        <f t="shared" si="109"/>
        <v>0</v>
      </c>
      <c r="AF188" s="318">
        <f t="shared" si="134"/>
        <v>0</v>
      </c>
      <c r="AG188" s="318">
        <f t="shared" si="135"/>
        <v>0</v>
      </c>
      <c r="AH188" s="318">
        <f t="shared" si="110"/>
        <v>0</v>
      </c>
      <c r="AI188" s="318">
        <f t="shared" si="111"/>
        <v>0</v>
      </c>
      <c r="AJ188" s="318">
        <f t="shared" si="112"/>
        <v>0</v>
      </c>
      <c r="AK188" s="318">
        <f t="shared" si="113"/>
        <v>0</v>
      </c>
      <c r="AL188" s="318">
        <f t="shared" si="114"/>
        <v>0</v>
      </c>
      <c r="AM188" s="318">
        <f t="shared" si="115"/>
        <v>0</v>
      </c>
      <c r="AN188" s="318">
        <f t="shared" si="116"/>
        <v>0</v>
      </c>
      <c r="AO188" s="318">
        <f t="shared" si="117"/>
        <v>0</v>
      </c>
      <c r="AP188" s="318">
        <f t="shared" si="118"/>
        <v>0</v>
      </c>
      <c r="AQ188" s="318">
        <f t="shared" si="119"/>
        <v>0</v>
      </c>
      <c r="AR188" s="318">
        <f t="shared" si="120"/>
        <v>0</v>
      </c>
      <c r="AS188" s="318">
        <f t="shared" si="121"/>
        <v>0</v>
      </c>
      <c r="AT188" s="318">
        <f t="shared" si="122"/>
        <v>0</v>
      </c>
      <c r="AU188" s="318">
        <f t="shared" si="123"/>
        <v>0</v>
      </c>
      <c r="AV188" s="318">
        <f t="shared" si="124"/>
        <v>0</v>
      </c>
      <c r="AW188" s="318">
        <f t="shared" si="125"/>
        <v>0</v>
      </c>
      <c r="AX188" s="318">
        <f t="shared" si="126"/>
        <v>0</v>
      </c>
      <c r="AY188" s="318">
        <f t="shared" si="127"/>
        <v>0</v>
      </c>
      <c r="AZ188" s="318">
        <f t="shared" si="128"/>
        <v>0</v>
      </c>
      <c r="BA188" s="318">
        <f t="shared" si="129"/>
        <v>0</v>
      </c>
    </row>
    <row r="189" spans="1:53" s="315" customFormat="1" ht="15.75" customHeight="1">
      <c r="A189" s="63" t="str">
        <f t="array" ref="A189">IF(C189&lt;&gt;0,SUM(($C$11:C189&lt;&gt;0)*1),"")</f>
        <v/>
      </c>
      <c r="B189" s="316"/>
      <c r="C189" s="316"/>
      <c r="D189" s="316"/>
      <c r="E189" s="436"/>
      <c r="F189" s="372"/>
      <c r="G189" s="374"/>
      <c r="H189" s="374"/>
      <c r="I189" s="63" t="str">
        <f t="shared" si="137"/>
        <v/>
      </c>
      <c r="J189" s="318">
        <f t="shared" si="92"/>
        <v>0</v>
      </c>
      <c r="K189" s="318">
        <f t="shared" si="93"/>
        <v>0</v>
      </c>
      <c r="L189" s="318">
        <f t="shared" si="94"/>
        <v>0</v>
      </c>
      <c r="M189" s="318">
        <f t="shared" si="95"/>
        <v>0</v>
      </c>
      <c r="N189" s="318">
        <f t="shared" si="130"/>
        <v>0</v>
      </c>
      <c r="O189" s="318">
        <f t="shared" si="131"/>
        <v>0</v>
      </c>
      <c r="P189" s="318">
        <f t="shared" si="96"/>
        <v>0</v>
      </c>
      <c r="Q189" s="318">
        <f t="shared" si="97"/>
        <v>0</v>
      </c>
      <c r="R189" s="318">
        <f t="shared" si="98"/>
        <v>0</v>
      </c>
      <c r="S189" s="318">
        <f t="shared" si="99"/>
        <v>0</v>
      </c>
      <c r="T189" s="318">
        <f t="shared" si="132"/>
        <v>0</v>
      </c>
      <c r="U189" s="318">
        <f t="shared" si="133"/>
        <v>0</v>
      </c>
      <c r="V189" s="318">
        <f t="shared" si="100"/>
        <v>0</v>
      </c>
      <c r="W189" s="318">
        <f t="shared" si="101"/>
        <v>0</v>
      </c>
      <c r="X189" s="318">
        <f t="shared" si="102"/>
        <v>0</v>
      </c>
      <c r="Y189" s="318">
        <f t="shared" si="103"/>
        <v>0</v>
      </c>
      <c r="Z189" s="318">
        <f t="shared" si="104"/>
        <v>0</v>
      </c>
      <c r="AA189" s="318">
        <f t="shared" si="105"/>
        <v>0</v>
      </c>
      <c r="AB189" s="318">
        <f t="shared" si="106"/>
        <v>0</v>
      </c>
      <c r="AC189" s="318">
        <f t="shared" si="107"/>
        <v>0</v>
      </c>
      <c r="AD189" s="318">
        <f t="shared" si="108"/>
        <v>0</v>
      </c>
      <c r="AE189" s="318">
        <f t="shared" si="109"/>
        <v>0</v>
      </c>
      <c r="AF189" s="318">
        <f t="shared" si="134"/>
        <v>0</v>
      </c>
      <c r="AG189" s="318">
        <f t="shared" si="135"/>
        <v>0</v>
      </c>
      <c r="AH189" s="318">
        <f t="shared" si="110"/>
        <v>0</v>
      </c>
      <c r="AI189" s="318">
        <f t="shared" si="111"/>
        <v>0</v>
      </c>
      <c r="AJ189" s="318">
        <f t="shared" si="112"/>
        <v>0</v>
      </c>
      <c r="AK189" s="318">
        <f t="shared" si="113"/>
        <v>0</v>
      </c>
      <c r="AL189" s="318">
        <f t="shared" si="114"/>
        <v>0</v>
      </c>
      <c r="AM189" s="318">
        <f t="shared" si="115"/>
        <v>0</v>
      </c>
      <c r="AN189" s="318">
        <f t="shared" si="116"/>
        <v>0</v>
      </c>
      <c r="AO189" s="318">
        <f t="shared" si="117"/>
        <v>0</v>
      </c>
      <c r="AP189" s="318">
        <f t="shared" si="118"/>
        <v>0</v>
      </c>
      <c r="AQ189" s="318">
        <f t="shared" si="119"/>
        <v>0</v>
      </c>
      <c r="AR189" s="318">
        <f t="shared" si="120"/>
        <v>0</v>
      </c>
      <c r="AS189" s="318">
        <f t="shared" si="121"/>
        <v>0</v>
      </c>
      <c r="AT189" s="318">
        <f t="shared" si="122"/>
        <v>0</v>
      </c>
      <c r="AU189" s="318">
        <f t="shared" si="123"/>
        <v>0</v>
      </c>
      <c r="AV189" s="318">
        <f t="shared" si="124"/>
        <v>0</v>
      </c>
      <c r="AW189" s="318">
        <f t="shared" si="125"/>
        <v>0</v>
      </c>
      <c r="AX189" s="318">
        <f t="shared" si="126"/>
        <v>0</v>
      </c>
      <c r="AY189" s="318">
        <f t="shared" si="127"/>
        <v>0</v>
      </c>
      <c r="AZ189" s="318">
        <f t="shared" si="128"/>
        <v>0</v>
      </c>
      <c r="BA189" s="318">
        <f t="shared" si="129"/>
        <v>0</v>
      </c>
    </row>
    <row r="190" spans="1:53" s="315" customFormat="1" ht="15.75" customHeight="1">
      <c r="A190" s="63" t="str">
        <f t="array" ref="A190">IF(C190&lt;&gt;0,SUM(($C$11:C190&lt;&gt;0)*1),"")</f>
        <v/>
      </c>
      <c r="B190" s="316"/>
      <c r="C190" s="316"/>
      <c r="D190" s="316"/>
      <c r="E190" s="436"/>
      <c r="F190" s="372"/>
      <c r="G190" s="374"/>
      <c r="H190" s="374"/>
      <c r="I190" s="63" t="str">
        <f t="shared" si="137"/>
        <v/>
      </c>
      <c r="J190" s="318">
        <f t="shared" si="92"/>
        <v>0</v>
      </c>
      <c r="K190" s="318">
        <f t="shared" si="93"/>
        <v>0</v>
      </c>
      <c r="L190" s="318">
        <f t="shared" si="94"/>
        <v>0</v>
      </c>
      <c r="M190" s="318">
        <f t="shared" si="95"/>
        <v>0</v>
      </c>
      <c r="N190" s="318">
        <f t="shared" si="130"/>
        <v>0</v>
      </c>
      <c r="O190" s="318">
        <f t="shared" si="131"/>
        <v>0</v>
      </c>
      <c r="P190" s="318">
        <f t="shared" si="96"/>
        <v>0</v>
      </c>
      <c r="Q190" s="318">
        <f t="shared" si="97"/>
        <v>0</v>
      </c>
      <c r="R190" s="318">
        <f t="shared" si="98"/>
        <v>0</v>
      </c>
      <c r="S190" s="318">
        <f t="shared" si="99"/>
        <v>0</v>
      </c>
      <c r="T190" s="318">
        <f t="shared" si="132"/>
        <v>0</v>
      </c>
      <c r="U190" s="318">
        <f t="shared" si="133"/>
        <v>0</v>
      </c>
      <c r="V190" s="318">
        <f t="shared" si="100"/>
        <v>0</v>
      </c>
      <c r="W190" s="318">
        <f t="shared" si="101"/>
        <v>0</v>
      </c>
      <c r="X190" s="318">
        <f t="shared" si="102"/>
        <v>0</v>
      </c>
      <c r="Y190" s="318">
        <f t="shared" si="103"/>
        <v>0</v>
      </c>
      <c r="Z190" s="318">
        <f t="shared" si="104"/>
        <v>0</v>
      </c>
      <c r="AA190" s="318">
        <f t="shared" si="105"/>
        <v>0</v>
      </c>
      <c r="AB190" s="318">
        <f t="shared" si="106"/>
        <v>0</v>
      </c>
      <c r="AC190" s="318">
        <f t="shared" si="107"/>
        <v>0</v>
      </c>
      <c r="AD190" s="318">
        <f t="shared" si="108"/>
        <v>0</v>
      </c>
      <c r="AE190" s="318">
        <f t="shared" si="109"/>
        <v>0</v>
      </c>
      <c r="AF190" s="318">
        <f t="shared" si="134"/>
        <v>0</v>
      </c>
      <c r="AG190" s="318">
        <f t="shared" si="135"/>
        <v>0</v>
      </c>
      <c r="AH190" s="318">
        <f t="shared" si="110"/>
        <v>0</v>
      </c>
      <c r="AI190" s="318">
        <f t="shared" si="111"/>
        <v>0</v>
      </c>
      <c r="AJ190" s="318">
        <f t="shared" si="112"/>
        <v>0</v>
      </c>
      <c r="AK190" s="318">
        <f t="shared" si="113"/>
        <v>0</v>
      </c>
      <c r="AL190" s="318">
        <f t="shared" si="114"/>
        <v>0</v>
      </c>
      <c r="AM190" s="318">
        <f t="shared" si="115"/>
        <v>0</v>
      </c>
      <c r="AN190" s="318">
        <f t="shared" si="116"/>
        <v>0</v>
      </c>
      <c r="AO190" s="318">
        <f t="shared" si="117"/>
        <v>0</v>
      </c>
      <c r="AP190" s="318">
        <f t="shared" si="118"/>
        <v>0</v>
      </c>
      <c r="AQ190" s="318">
        <f t="shared" si="119"/>
        <v>0</v>
      </c>
      <c r="AR190" s="318">
        <f t="shared" si="120"/>
        <v>0</v>
      </c>
      <c r="AS190" s="318">
        <f t="shared" si="121"/>
        <v>0</v>
      </c>
      <c r="AT190" s="318">
        <f t="shared" si="122"/>
        <v>0</v>
      </c>
      <c r="AU190" s="318">
        <f t="shared" si="123"/>
        <v>0</v>
      </c>
      <c r="AV190" s="318">
        <f t="shared" si="124"/>
        <v>0</v>
      </c>
      <c r="AW190" s="318">
        <f t="shared" si="125"/>
        <v>0</v>
      </c>
      <c r="AX190" s="318">
        <f t="shared" si="126"/>
        <v>0</v>
      </c>
      <c r="AY190" s="318">
        <f t="shared" si="127"/>
        <v>0</v>
      </c>
      <c r="AZ190" s="318">
        <f t="shared" si="128"/>
        <v>0</v>
      </c>
      <c r="BA190" s="318">
        <f t="shared" si="129"/>
        <v>0</v>
      </c>
    </row>
    <row r="191" spans="1:53" s="315" customFormat="1" ht="15.75" customHeight="1">
      <c r="A191" s="63" t="str">
        <f t="array" ref="A191">IF(C191&lt;&gt;0,SUM(($C$11:C191&lt;&gt;0)*1),"")</f>
        <v/>
      </c>
      <c r="B191" s="316"/>
      <c r="C191" s="316"/>
      <c r="D191" s="316"/>
      <c r="E191" s="436"/>
      <c r="F191" s="372"/>
      <c r="G191" s="374"/>
      <c r="H191" s="374"/>
      <c r="I191" s="63" t="str">
        <f t="shared" si="137"/>
        <v/>
      </c>
      <c r="J191" s="318">
        <f t="shared" si="92"/>
        <v>0</v>
      </c>
      <c r="K191" s="318">
        <f t="shared" si="93"/>
        <v>0</v>
      </c>
      <c r="L191" s="318">
        <f t="shared" si="94"/>
        <v>0</v>
      </c>
      <c r="M191" s="318">
        <f t="shared" si="95"/>
        <v>0</v>
      </c>
      <c r="N191" s="318">
        <f t="shared" si="130"/>
        <v>0</v>
      </c>
      <c r="O191" s="318">
        <f t="shared" si="131"/>
        <v>0</v>
      </c>
      <c r="P191" s="318">
        <f t="shared" si="96"/>
        <v>0</v>
      </c>
      <c r="Q191" s="318">
        <f t="shared" si="97"/>
        <v>0</v>
      </c>
      <c r="R191" s="318">
        <f t="shared" si="98"/>
        <v>0</v>
      </c>
      <c r="S191" s="318">
        <f t="shared" si="99"/>
        <v>0</v>
      </c>
      <c r="T191" s="318">
        <f t="shared" si="132"/>
        <v>0</v>
      </c>
      <c r="U191" s="318">
        <f t="shared" si="133"/>
        <v>0</v>
      </c>
      <c r="V191" s="318">
        <f t="shared" si="100"/>
        <v>0</v>
      </c>
      <c r="W191" s="318">
        <f t="shared" si="101"/>
        <v>0</v>
      </c>
      <c r="X191" s="318">
        <f t="shared" si="102"/>
        <v>0</v>
      </c>
      <c r="Y191" s="318">
        <f t="shared" si="103"/>
        <v>0</v>
      </c>
      <c r="Z191" s="318">
        <f t="shared" si="104"/>
        <v>0</v>
      </c>
      <c r="AA191" s="318">
        <f t="shared" si="105"/>
        <v>0</v>
      </c>
      <c r="AB191" s="318">
        <f t="shared" si="106"/>
        <v>0</v>
      </c>
      <c r="AC191" s="318">
        <f t="shared" si="107"/>
        <v>0</v>
      </c>
      <c r="AD191" s="318">
        <f t="shared" si="108"/>
        <v>0</v>
      </c>
      <c r="AE191" s="318">
        <f t="shared" si="109"/>
        <v>0</v>
      </c>
      <c r="AF191" s="318">
        <f t="shared" si="134"/>
        <v>0</v>
      </c>
      <c r="AG191" s="318">
        <f t="shared" si="135"/>
        <v>0</v>
      </c>
      <c r="AH191" s="318">
        <f t="shared" si="110"/>
        <v>0</v>
      </c>
      <c r="AI191" s="318">
        <f t="shared" si="111"/>
        <v>0</v>
      </c>
      <c r="AJ191" s="318">
        <f t="shared" si="112"/>
        <v>0</v>
      </c>
      <c r="AK191" s="318">
        <f t="shared" si="113"/>
        <v>0</v>
      </c>
      <c r="AL191" s="318">
        <f t="shared" si="114"/>
        <v>0</v>
      </c>
      <c r="AM191" s="318">
        <f t="shared" si="115"/>
        <v>0</v>
      </c>
      <c r="AN191" s="318">
        <f t="shared" si="116"/>
        <v>0</v>
      </c>
      <c r="AO191" s="318">
        <f t="shared" si="117"/>
        <v>0</v>
      </c>
      <c r="AP191" s="318">
        <f t="shared" si="118"/>
        <v>0</v>
      </c>
      <c r="AQ191" s="318">
        <f t="shared" si="119"/>
        <v>0</v>
      </c>
      <c r="AR191" s="318">
        <f t="shared" si="120"/>
        <v>0</v>
      </c>
      <c r="AS191" s="318">
        <f t="shared" si="121"/>
        <v>0</v>
      </c>
      <c r="AT191" s="318">
        <f t="shared" si="122"/>
        <v>0</v>
      </c>
      <c r="AU191" s="318">
        <f t="shared" si="123"/>
        <v>0</v>
      </c>
      <c r="AV191" s="318">
        <f t="shared" si="124"/>
        <v>0</v>
      </c>
      <c r="AW191" s="318">
        <f t="shared" si="125"/>
        <v>0</v>
      </c>
      <c r="AX191" s="318">
        <f t="shared" si="126"/>
        <v>0</v>
      </c>
      <c r="AY191" s="318">
        <f t="shared" si="127"/>
        <v>0</v>
      </c>
      <c r="AZ191" s="318">
        <f t="shared" si="128"/>
        <v>0</v>
      </c>
      <c r="BA191" s="318">
        <f t="shared" si="129"/>
        <v>0</v>
      </c>
    </row>
    <row r="192" spans="1:53" s="315" customFormat="1" ht="15.75" customHeight="1">
      <c r="A192" s="63" t="str">
        <f t="array" ref="A192">IF(C192&lt;&gt;0,SUM(($C$11:C192&lt;&gt;0)*1),"")</f>
        <v/>
      </c>
      <c r="B192" s="316"/>
      <c r="C192" s="316"/>
      <c r="D192" s="316"/>
      <c r="E192" s="436"/>
      <c r="F192" s="372"/>
      <c r="G192" s="374"/>
      <c r="H192" s="374"/>
      <c r="I192" s="63" t="str">
        <f t="shared" si="137"/>
        <v/>
      </c>
      <c r="J192" s="318">
        <f t="shared" si="92"/>
        <v>0</v>
      </c>
      <c r="K192" s="318">
        <f t="shared" si="93"/>
        <v>0</v>
      </c>
      <c r="L192" s="318">
        <f t="shared" si="94"/>
        <v>0</v>
      </c>
      <c r="M192" s="318">
        <f t="shared" si="95"/>
        <v>0</v>
      </c>
      <c r="N192" s="318">
        <f t="shared" si="130"/>
        <v>0</v>
      </c>
      <c r="O192" s="318">
        <f t="shared" si="131"/>
        <v>0</v>
      </c>
      <c r="P192" s="318">
        <f t="shared" si="96"/>
        <v>0</v>
      </c>
      <c r="Q192" s="318">
        <f t="shared" si="97"/>
        <v>0</v>
      </c>
      <c r="R192" s="318">
        <f t="shared" si="98"/>
        <v>0</v>
      </c>
      <c r="S192" s="318">
        <f t="shared" si="99"/>
        <v>0</v>
      </c>
      <c r="T192" s="318">
        <f t="shared" si="132"/>
        <v>0</v>
      </c>
      <c r="U192" s="318">
        <f t="shared" si="133"/>
        <v>0</v>
      </c>
      <c r="V192" s="318">
        <f t="shared" si="100"/>
        <v>0</v>
      </c>
      <c r="W192" s="318">
        <f t="shared" si="101"/>
        <v>0</v>
      </c>
      <c r="X192" s="318">
        <f t="shared" si="102"/>
        <v>0</v>
      </c>
      <c r="Y192" s="318">
        <f t="shared" si="103"/>
        <v>0</v>
      </c>
      <c r="Z192" s="318">
        <f t="shared" si="104"/>
        <v>0</v>
      </c>
      <c r="AA192" s="318">
        <f t="shared" si="105"/>
        <v>0</v>
      </c>
      <c r="AB192" s="318">
        <f t="shared" si="106"/>
        <v>0</v>
      </c>
      <c r="AC192" s="318">
        <f t="shared" si="107"/>
        <v>0</v>
      </c>
      <c r="AD192" s="318">
        <f t="shared" si="108"/>
        <v>0</v>
      </c>
      <c r="AE192" s="318">
        <f t="shared" si="109"/>
        <v>0</v>
      </c>
      <c r="AF192" s="318">
        <f t="shared" si="134"/>
        <v>0</v>
      </c>
      <c r="AG192" s="318">
        <f t="shared" si="135"/>
        <v>0</v>
      </c>
      <c r="AH192" s="318">
        <f t="shared" si="110"/>
        <v>0</v>
      </c>
      <c r="AI192" s="318">
        <f t="shared" si="111"/>
        <v>0</v>
      </c>
      <c r="AJ192" s="318">
        <f t="shared" si="112"/>
        <v>0</v>
      </c>
      <c r="AK192" s="318">
        <f t="shared" si="113"/>
        <v>0</v>
      </c>
      <c r="AL192" s="318">
        <f t="shared" si="114"/>
        <v>0</v>
      </c>
      <c r="AM192" s="318">
        <f t="shared" si="115"/>
        <v>0</v>
      </c>
      <c r="AN192" s="318">
        <f t="shared" si="116"/>
        <v>0</v>
      </c>
      <c r="AO192" s="318">
        <f t="shared" si="117"/>
        <v>0</v>
      </c>
      <c r="AP192" s="318">
        <f t="shared" si="118"/>
        <v>0</v>
      </c>
      <c r="AQ192" s="318">
        <f t="shared" si="119"/>
        <v>0</v>
      </c>
      <c r="AR192" s="318">
        <f t="shared" si="120"/>
        <v>0</v>
      </c>
      <c r="AS192" s="318">
        <f t="shared" si="121"/>
        <v>0</v>
      </c>
      <c r="AT192" s="318">
        <f t="shared" si="122"/>
        <v>0</v>
      </c>
      <c r="AU192" s="318">
        <f t="shared" si="123"/>
        <v>0</v>
      </c>
      <c r="AV192" s="318">
        <f t="shared" si="124"/>
        <v>0</v>
      </c>
      <c r="AW192" s="318">
        <f t="shared" si="125"/>
        <v>0</v>
      </c>
      <c r="AX192" s="318">
        <f t="shared" si="126"/>
        <v>0</v>
      </c>
      <c r="AY192" s="318">
        <f t="shared" si="127"/>
        <v>0</v>
      </c>
      <c r="AZ192" s="318">
        <f t="shared" si="128"/>
        <v>0</v>
      </c>
      <c r="BA192" s="318">
        <f t="shared" si="129"/>
        <v>0</v>
      </c>
    </row>
    <row r="193" spans="1:53" s="315" customFormat="1" ht="15.75" customHeight="1">
      <c r="A193" s="63" t="str">
        <f t="array" ref="A193">IF(C193&lt;&gt;0,SUM(($C$11:C193&lt;&gt;0)*1),"")</f>
        <v/>
      </c>
      <c r="B193" s="316"/>
      <c r="C193" s="316"/>
      <c r="D193" s="316"/>
      <c r="E193" s="436"/>
      <c r="F193" s="372"/>
      <c r="G193" s="374"/>
      <c r="H193" s="374"/>
      <c r="I193" s="63" t="str">
        <f t="shared" si="137"/>
        <v/>
      </c>
      <c r="J193" s="318">
        <f t="shared" si="92"/>
        <v>0</v>
      </c>
      <c r="K193" s="318">
        <f t="shared" si="93"/>
        <v>0</v>
      </c>
      <c r="L193" s="318">
        <f t="shared" si="94"/>
        <v>0</v>
      </c>
      <c r="M193" s="318">
        <f t="shared" si="95"/>
        <v>0</v>
      </c>
      <c r="N193" s="318">
        <f t="shared" si="130"/>
        <v>0</v>
      </c>
      <c r="O193" s="318">
        <f t="shared" si="131"/>
        <v>0</v>
      </c>
      <c r="P193" s="318">
        <f t="shared" si="96"/>
        <v>0</v>
      </c>
      <c r="Q193" s="318">
        <f t="shared" si="97"/>
        <v>0</v>
      </c>
      <c r="R193" s="318">
        <f t="shared" si="98"/>
        <v>0</v>
      </c>
      <c r="S193" s="318">
        <f t="shared" si="99"/>
        <v>0</v>
      </c>
      <c r="T193" s="318">
        <f t="shared" si="132"/>
        <v>0</v>
      </c>
      <c r="U193" s="318">
        <f t="shared" si="133"/>
        <v>0</v>
      </c>
      <c r="V193" s="318">
        <f t="shared" si="100"/>
        <v>0</v>
      </c>
      <c r="W193" s="318">
        <f t="shared" si="101"/>
        <v>0</v>
      </c>
      <c r="X193" s="318">
        <f t="shared" si="102"/>
        <v>0</v>
      </c>
      <c r="Y193" s="318">
        <f t="shared" si="103"/>
        <v>0</v>
      </c>
      <c r="Z193" s="318">
        <f t="shared" si="104"/>
        <v>0</v>
      </c>
      <c r="AA193" s="318">
        <f t="shared" si="105"/>
        <v>0</v>
      </c>
      <c r="AB193" s="318">
        <f t="shared" si="106"/>
        <v>0</v>
      </c>
      <c r="AC193" s="318">
        <f t="shared" si="107"/>
        <v>0</v>
      </c>
      <c r="AD193" s="318">
        <f t="shared" si="108"/>
        <v>0</v>
      </c>
      <c r="AE193" s="318">
        <f t="shared" si="109"/>
        <v>0</v>
      </c>
      <c r="AF193" s="318">
        <f t="shared" si="134"/>
        <v>0</v>
      </c>
      <c r="AG193" s="318">
        <f t="shared" si="135"/>
        <v>0</v>
      </c>
      <c r="AH193" s="318">
        <f t="shared" si="110"/>
        <v>0</v>
      </c>
      <c r="AI193" s="318">
        <f t="shared" si="111"/>
        <v>0</v>
      </c>
      <c r="AJ193" s="318">
        <f t="shared" si="112"/>
        <v>0</v>
      </c>
      <c r="AK193" s="318">
        <f t="shared" si="113"/>
        <v>0</v>
      </c>
      <c r="AL193" s="318">
        <f t="shared" si="114"/>
        <v>0</v>
      </c>
      <c r="AM193" s="318">
        <f t="shared" si="115"/>
        <v>0</v>
      </c>
      <c r="AN193" s="318">
        <f t="shared" si="116"/>
        <v>0</v>
      </c>
      <c r="AO193" s="318">
        <f t="shared" si="117"/>
        <v>0</v>
      </c>
      <c r="AP193" s="318">
        <f t="shared" si="118"/>
        <v>0</v>
      </c>
      <c r="AQ193" s="318">
        <f t="shared" si="119"/>
        <v>0</v>
      </c>
      <c r="AR193" s="318">
        <f t="shared" si="120"/>
        <v>0</v>
      </c>
      <c r="AS193" s="318">
        <f t="shared" si="121"/>
        <v>0</v>
      </c>
      <c r="AT193" s="318">
        <f t="shared" si="122"/>
        <v>0</v>
      </c>
      <c r="AU193" s="318">
        <f t="shared" si="123"/>
        <v>0</v>
      </c>
      <c r="AV193" s="318">
        <f t="shared" si="124"/>
        <v>0</v>
      </c>
      <c r="AW193" s="318">
        <f t="shared" si="125"/>
        <v>0</v>
      </c>
      <c r="AX193" s="318">
        <f t="shared" si="126"/>
        <v>0</v>
      </c>
      <c r="AY193" s="318">
        <f t="shared" si="127"/>
        <v>0</v>
      </c>
      <c r="AZ193" s="318">
        <f t="shared" si="128"/>
        <v>0</v>
      </c>
      <c r="BA193" s="318">
        <f t="shared" si="129"/>
        <v>0</v>
      </c>
    </row>
    <row r="194" spans="1:53" s="315" customFormat="1" ht="15.75" customHeight="1">
      <c r="A194" s="63" t="str">
        <f t="array" ref="A194">IF(C194&lt;&gt;0,SUM(($C$11:C194&lt;&gt;0)*1),"")</f>
        <v/>
      </c>
      <c r="B194" s="316"/>
      <c r="C194" s="316"/>
      <c r="D194" s="316"/>
      <c r="E194" s="436"/>
      <c r="F194" s="372"/>
      <c r="G194" s="374"/>
      <c r="H194" s="374"/>
      <c r="I194" s="63" t="str">
        <f t="shared" si="137"/>
        <v/>
      </c>
      <c r="J194" s="318">
        <f t="shared" si="92"/>
        <v>0</v>
      </c>
      <c r="K194" s="318">
        <f t="shared" si="93"/>
        <v>0</v>
      </c>
      <c r="L194" s="318">
        <f t="shared" si="94"/>
        <v>0</v>
      </c>
      <c r="M194" s="318">
        <f t="shared" si="95"/>
        <v>0</v>
      </c>
      <c r="N194" s="318">
        <f t="shared" si="130"/>
        <v>0</v>
      </c>
      <c r="O194" s="318">
        <f t="shared" si="131"/>
        <v>0</v>
      </c>
      <c r="P194" s="318">
        <f t="shared" si="96"/>
        <v>0</v>
      </c>
      <c r="Q194" s="318">
        <f t="shared" si="97"/>
        <v>0</v>
      </c>
      <c r="R194" s="318">
        <f t="shared" si="98"/>
        <v>0</v>
      </c>
      <c r="S194" s="318">
        <f t="shared" si="99"/>
        <v>0</v>
      </c>
      <c r="T194" s="318">
        <f t="shared" si="132"/>
        <v>0</v>
      </c>
      <c r="U194" s="318">
        <f t="shared" si="133"/>
        <v>0</v>
      </c>
      <c r="V194" s="318">
        <f t="shared" si="100"/>
        <v>0</v>
      </c>
      <c r="W194" s="318">
        <f t="shared" si="101"/>
        <v>0</v>
      </c>
      <c r="X194" s="318">
        <f t="shared" si="102"/>
        <v>0</v>
      </c>
      <c r="Y194" s="318">
        <f t="shared" si="103"/>
        <v>0</v>
      </c>
      <c r="Z194" s="318">
        <f t="shared" si="104"/>
        <v>0</v>
      </c>
      <c r="AA194" s="318">
        <f t="shared" si="105"/>
        <v>0</v>
      </c>
      <c r="AB194" s="318">
        <f t="shared" si="106"/>
        <v>0</v>
      </c>
      <c r="AC194" s="318">
        <f t="shared" si="107"/>
        <v>0</v>
      </c>
      <c r="AD194" s="318">
        <f t="shared" si="108"/>
        <v>0</v>
      </c>
      <c r="AE194" s="318">
        <f t="shared" si="109"/>
        <v>0</v>
      </c>
      <c r="AF194" s="318">
        <f t="shared" si="134"/>
        <v>0</v>
      </c>
      <c r="AG194" s="318">
        <f t="shared" si="135"/>
        <v>0</v>
      </c>
      <c r="AH194" s="318">
        <f t="shared" si="110"/>
        <v>0</v>
      </c>
      <c r="AI194" s="318">
        <f t="shared" si="111"/>
        <v>0</v>
      </c>
      <c r="AJ194" s="318">
        <f t="shared" si="112"/>
        <v>0</v>
      </c>
      <c r="AK194" s="318">
        <f t="shared" si="113"/>
        <v>0</v>
      </c>
      <c r="AL194" s="318">
        <f t="shared" si="114"/>
        <v>0</v>
      </c>
      <c r="AM194" s="318">
        <f t="shared" si="115"/>
        <v>0</v>
      </c>
      <c r="AN194" s="318">
        <f t="shared" si="116"/>
        <v>0</v>
      </c>
      <c r="AO194" s="318">
        <f t="shared" si="117"/>
        <v>0</v>
      </c>
      <c r="AP194" s="318">
        <f t="shared" si="118"/>
        <v>0</v>
      </c>
      <c r="AQ194" s="318">
        <f t="shared" si="119"/>
        <v>0</v>
      </c>
      <c r="AR194" s="318">
        <f t="shared" si="120"/>
        <v>0</v>
      </c>
      <c r="AS194" s="318">
        <f t="shared" si="121"/>
        <v>0</v>
      </c>
      <c r="AT194" s="318">
        <f t="shared" si="122"/>
        <v>0</v>
      </c>
      <c r="AU194" s="318">
        <f t="shared" si="123"/>
        <v>0</v>
      </c>
      <c r="AV194" s="318">
        <f t="shared" si="124"/>
        <v>0</v>
      </c>
      <c r="AW194" s="318">
        <f t="shared" si="125"/>
        <v>0</v>
      </c>
      <c r="AX194" s="318">
        <f t="shared" si="126"/>
        <v>0</v>
      </c>
      <c r="AY194" s="318">
        <f t="shared" si="127"/>
        <v>0</v>
      </c>
      <c r="AZ194" s="318">
        <f t="shared" si="128"/>
        <v>0</v>
      </c>
      <c r="BA194" s="318">
        <f t="shared" si="129"/>
        <v>0</v>
      </c>
    </row>
    <row r="195" spans="1:53" s="315" customFormat="1" ht="15.75" customHeight="1">
      <c r="A195" s="63" t="str">
        <f t="array" ref="A195">IF(C195&lt;&gt;0,SUM(($C$11:C195&lt;&gt;0)*1),"")</f>
        <v/>
      </c>
      <c r="B195" s="316"/>
      <c r="C195" s="316"/>
      <c r="D195" s="316"/>
      <c r="E195" s="436"/>
      <c r="F195" s="372"/>
      <c r="G195" s="374"/>
      <c r="H195" s="374"/>
      <c r="I195" s="63" t="str">
        <f t="shared" si="137"/>
        <v/>
      </c>
      <c r="J195" s="318">
        <f t="shared" si="92"/>
        <v>0</v>
      </c>
      <c r="K195" s="318">
        <f t="shared" si="93"/>
        <v>0</v>
      </c>
      <c r="L195" s="318">
        <f t="shared" si="94"/>
        <v>0</v>
      </c>
      <c r="M195" s="318">
        <f t="shared" si="95"/>
        <v>0</v>
      </c>
      <c r="N195" s="318">
        <f t="shared" si="130"/>
        <v>0</v>
      </c>
      <c r="O195" s="318">
        <f t="shared" si="131"/>
        <v>0</v>
      </c>
      <c r="P195" s="318">
        <f t="shared" si="96"/>
        <v>0</v>
      </c>
      <c r="Q195" s="318">
        <f t="shared" si="97"/>
        <v>0</v>
      </c>
      <c r="R195" s="318">
        <f t="shared" si="98"/>
        <v>0</v>
      </c>
      <c r="S195" s="318">
        <f t="shared" si="99"/>
        <v>0</v>
      </c>
      <c r="T195" s="318">
        <f t="shared" si="132"/>
        <v>0</v>
      </c>
      <c r="U195" s="318">
        <f t="shared" si="133"/>
        <v>0</v>
      </c>
      <c r="V195" s="318">
        <f t="shared" si="100"/>
        <v>0</v>
      </c>
      <c r="W195" s="318">
        <f t="shared" si="101"/>
        <v>0</v>
      </c>
      <c r="X195" s="318">
        <f t="shared" si="102"/>
        <v>0</v>
      </c>
      <c r="Y195" s="318">
        <f t="shared" si="103"/>
        <v>0</v>
      </c>
      <c r="Z195" s="318">
        <f t="shared" si="104"/>
        <v>0</v>
      </c>
      <c r="AA195" s="318">
        <f t="shared" si="105"/>
        <v>0</v>
      </c>
      <c r="AB195" s="318">
        <f t="shared" si="106"/>
        <v>0</v>
      </c>
      <c r="AC195" s="318">
        <f t="shared" si="107"/>
        <v>0</v>
      </c>
      <c r="AD195" s="318">
        <f t="shared" si="108"/>
        <v>0</v>
      </c>
      <c r="AE195" s="318">
        <f t="shared" si="109"/>
        <v>0</v>
      </c>
      <c r="AF195" s="318">
        <f t="shared" si="134"/>
        <v>0</v>
      </c>
      <c r="AG195" s="318">
        <f t="shared" si="135"/>
        <v>0</v>
      </c>
      <c r="AH195" s="318">
        <f t="shared" si="110"/>
        <v>0</v>
      </c>
      <c r="AI195" s="318">
        <f t="shared" si="111"/>
        <v>0</v>
      </c>
      <c r="AJ195" s="318">
        <f t="shared" si="112"/>
        <v>0</v>
      </c>
      <c r="AK195" s="318">
        <f t="shared" si="113"/>
        <v>0</v>
      </c>
      <c r="AL195" s="318">
        <f t="shared" si="114"/>
        <v>0</v>
      </c>
      <c r="AM195" s="318">
        <f t="shared" si="115"/>
        <v>0</v>
      </c>
      <c r="AN195" s="318">
        <f t="shared" si="116"/>
        <v>0</v>
      </c>
      <c r="AO195" s="318">
        <f t="shared" si="117"/>
        <v>0</v>
      </c>
      <c r="AP195" s="318">
        <f t="shared" si="118"/>
        <v>0</v>
      </c>
      <c r="AQ195" s="318">
        <f t="shared" si="119"/>
        <v>0</v>
      </c>
      <c r="AR195" s="318">
        <f t="shared" si="120"/>
        <v>0</v>
      </c>
      <c r="AS195" s="318">
        <f t="shared" si="121"/>
        <v>0</v>
      </c>
      <c r="AT195" s="318">
        <f t="shared" si="122"/>
        <v>0</v>
      </c>
      <c r="AU195" s="318">
        <f t="shared" si="123"/>
        <v>0</v>
      </c>
      <c r="AV195" s="318">
        <f t="shared" si="124"/>
        <v>0</v>
      </c>
      <c r="AW195" s="318">
        <f t="shared" si="125"/>
        <v>0</v>
      </c>
      <c r="AX195" s="318">
        <f t="shared" si="126"/>
        <v>0</v>
      </c>
      <c r="AY195" s="318">
        <f t="shared" si="127"/>
        <v>0</v>
      </c>
      <c r="AZ195" s="318">
        <f t="shared" si="128"/>
        <v>0</v>
      </c>
      <c r="BA195" s="318">
        <f t="shared" si="129"/>
        <v>0</v>
      </c>
    </row>
    <row r="196" spans="1:53" s="315" customFormat="1" ht="15.75" customHeight="1">
      <c r="A196" s="63" t="str">
        <f t="array" ref="A196">IF(C196&lt;&gt;0,SUM(($C$11:C196&lt;&gt;0)*1),"")</f>
        <v/>
      </c>
      <c r="B196" s="316"/>
      <c r="C196" s="316"/>
      <c r="D196" s="316"/>
      <c r="E196" s="436"/>
      <c r="F196" s="372"/>
      <c r="G196" s="374"/>
      <c r="H196" s="374"/>
      <c r="I196" s="63" t="str">
        <f t="shared" si="137"/>
        <v/>
      </c>
      <c r="J196" s="318">
        <f t="shared" si="92"/>
        <v>0</v>
      </c>
      <c r="K196" s="318">
        <f t="shared" si="93"/>
        <v>0</v>
      </c>
      <c r="L196" s="318">
        <f t="shared" si="94"/>
        <v>0</v>
      </c>
      <c r="M196" s="318">
        <f t="shared" si="95"/>
        <v>0</v>
      </c>
      <c r="N196" s="318">
        <f t="shared" si="130"/>
        <v>0</v>
      </c>
      <c r="O196" s="318">
        <f t="shared" si="131"/>
        <v>0</v>
      </c>
      <c r="P196" s="318">
        <f t="shared" si="96"/>
        <v>0</v>
      </c>
      <c r="Q196" s="318">
        <f t="shared" si="97"/>
        <v>0</v>
      </c>
      <c r="R196" s="318">
        <f t="shared" si="98"/>
        <v>0</v>
      </c>
      <c r="S196" s="318">
        <f t="shared" si="99"/>
        <v>0</v>
      </c>
      <c r="T196" s="318">
        <f t="shared" si="132"/>
        <v>0</v>
      </c>
      <c r="U196" s="318">
        <f t="shared" si="133"/>
        <v>0</v>
      </c>
      <c r="V196" s="318">
        <f t="shared" si="100"/>
        <v>0</v>
      </c>
      <c r="W196" s="318">
        <f t="shared" si="101"/>
        <v>0</v>
      </c>
      <c r="X196" s="318">
        <f t="shared" si="102"/>
        <v>0</v>
      </c>
      <c r="Y196" s="318">
        <f t="shared" si="103"/>
        <v>0</v>
      </c>
      <c r="Z196" s="318">
        <f t="shared" si="104"/>
        <v>0</v>
      </c>
      <c r="AA196" s="318">
        <f t="shared" si="105"/>
        <v>0</v>
      </c>
      <c r="AB196" s="318">
        <f t="shared" si="106"/>
        <v>0</v>
      </c>
      <c r="AC196" s="318">
        <f t="shared" si="107"/>
        <v>0</v>
      </c>
      <c r="AD196" s="318">
        <f t="shared" si="108"/>
        <v>0</v>
      </c>
      <c r="AE196" s="318">
        <f t="shared" si="109"/>
        <v>0</v>
      </c>
      <c r="AF196" s="318">
        <f t="shared" si="134"/>
        <v>0</v>
      </c>
      <c r="AG196" s="318">
        <f t="shared" si="135"/>
        <v>0</v>
      </c>
      <c r="AH196" s="318">
        <f t="shared" si="110"/>
        <v>0</v>
      </c>
      <c r="AI196" s="318">
        <f t="shared" si="111"/>
        <v>0</v>
      </c>
      <c r="AJ196" s="318">
        <f t="shared" si="112"/>
        <v>0</v>
      </c>
      <c r="AK196" s="318">
        <f t="shared" si="113"/>
        <v>0</v>
      </c>
      <c r="AL196" s="318">
        <f t="shared" si="114"/>
        <v>0</v>
      </c>
      <c r="AM196" s="318">
        <f t="shared" si="115"/>
        <v>0</v>
      </c>
      <c r="AN196" s="318">
        <f t="shared" si="116"/>
        <v>0</v>
      </c>
      <c r="AO196" s="318">
        <f t="shared" si="117"/>
        <v>0</v>
      </c>
      <c r="AP196" s="318">
        <f t="shared" si="118"/>
        <v>0</v>
      </c>
      <c r="AQ196" s="318">
        <f t="shared" si="119"/>
        <v>0</v>
      </c>
      <c r="AR196" s="318">
        <f t="shared" si="120"/>
        <v>0</v>
      </c>
      <c r="AS196" s="318">
        <f t="shared" si="121"/>
        <v>0</v>
      </c>
      <c r="AT196" s="318">
        <f t="shared" si="122"/>
        <v>0</v>
      </c>
      <c r="AU196" s="318">
        <f t="shared" si="123"/>
        <v>0</v>
      </c>
      <c r="AV196" s="318">
        <f t="shared" si="124"/>
        <v>0</v>
      </c>
      <c r="AW196" s="318">
        <f t="shared" si="125"/>
        <v>0</v>
      </c>
      <c r="AX196" s="318">
        <f t="shared" si="126"/>
        <v>0</v>
      </c>
      <c r="AY196" s="318">
        <f t="shared" si="127"/>
        <v>0</v>
      </c>
      <c r="AZ196" s="318">
        <f t="shared" si="128"/>
        <v>0</v>
      </c>
      <c r="BA196" s="318">
        <f t="shared" si="129"/>
        <v>0</v>
      </c>
    </row>
    <row r="197" spans="1:53" s="315" customFormat="1" ht="15.75" customHeight="1">
      <c r="A197" s="63" t="str">
        <f t="array" ref="A197">IF(C197&lt;&gt;0,SUM(($C$11:C197&lt;&gt;0)*1),"")</f>
        <v/>
      </c>
      <c r="B197" s="316"/>
      <c r="C197" s="316"/>
      <c r="D197" s="316"/>
      <c r="E197" s="436"/>
      <c r="F197" s="372"/>
      <c r="G197" s="374"/>
      <c r="H197" s="374"/>
      <c r="I197" s="63" t="str">
        <f t="shared" si="137"/>
        <v/>
      </c>
      <c r="J197" s="318">
        <f t="shared" si="92"/>
        <v>0</v>
      </c>
      <c r="K197" s="318">
        <f t="shared" si="93"/>
        <v>0</v>
      </c>
      <c r="L197" s="318">
        <f t="shared" si="94"/>
        <v>0</v>
      </c>
      <c r="M197" s="318">
        <f t="shared" si="95"/>
        <v>0</v>
      </c>
      <c r="N197" s="318">
        <f t="shared" si="130"/>
        <v>0</v>
      </c>
      <c r="O197" s="318">
        <f t="shared" si="131"/>
        <v>0</v>
      </c>
      <c r="P197" s="318">
        <f t="shared" si="96"/>
        <v>0</v>
      </c>
      <c r="Q197" s="318">
        <f t="shared" si="97"/>
        <v>0</v>
      </c>
      <c r="R197" s="318">
        <f t="shared" si="98"/>
        <v>0</v>
      </c>
      <c r="S197" s="318">
        <f t="shared" si="99"/>
        <v>0</v>
      </c>
      <c r="T197" s="318">
        <f t="shared" si="132"/>
        <v>0</v>
      </c>
      <c r="U197" s="318">
        <f t="shared" si="133"/>
        <v>0</v>
      </c>
      <c r="V197" s="318">
        <f t="shared" si="100"/>
        <v>0</v>
      </c>
      <c r="W197" s="318">
        <f t="shared" si="101"/>
        <v>0</v>
      </c>
      <c r="X197" s="318">
        <f t="shared" si="102"/>
        <v>0</v>
      </c>
      <c r="Y197" s="318">
        <f t="shared" si="103"/>
        <v>0</v>
      </c>
      <c r="Z197" s="318">
        <f t="shared" si="104"/>
        <v>0</v>
      </c>
      <c r="AA197" s="318">
        <f t="shared" si="105"/>
        <v>0</v>
      </c>
      <c r="AB197" s="318">
        <f t="shared" si="106"/>
        <v>0</v>
      </c>
      <c r="AC197" s="318">
        <f t="shared" si="107"/>
        <v>0</v>
      </c>
      <c r="AD197" s="318">
        <f t="shared" si="108"/>
        <v>0</v>
      </c>
      <c r="AE197" s="318">
        <f t="shared" si="109"/>
        <v>0</v>
      </c>
      <c r="AF197" s="318">
        <f t="shared" si="134"/>
        <v>0</v>
      </c>
      <c r="AG197" s="318">
        <f t="shared" si="135"/>
        <v>0</v>
      </c>
      <c r="AH197" s="318">
        <f t="shared" si="110"/>
        <v>0</v>
      </c>
      <c r="AI197" s="318">
        <f t="shared" si="111"/>
        <v>0</v>
      </c>
      <c r="AJ197" s="318">
        <f t="shared" si="112"/>
        <v>0</v>
      </c>
      <c r="AK197" s="318">
        <f t="shared" si="113"/>
        <v>0</v>
      </c>
      <c r="AL197" s="318">
        <f t="shared" si="114"/>
        <v>0</v>
      </c>
      <c r="AM197" s="318">
        <f t="shared" si="115"/>
        <v>0</v>
      </c>
      <c r="AN197" s="318">
        <f t="shared" si="116"/>
        <v>0</v>
      </c>
      <c r="AO197" s="318">
        <f t="shared" si="117"/>
        <v>0</v>
      </c>
      <c r="AP197" s="318">
        <f t="shared" si="118"/>
        <v>0</v>
      </c>
      <c r="AQ197" s="318">
        <f t="shared" si="119"/>
        <v>0</v>
      </c>
      <c r="AR197" s="318">
        <f t="shared" si="120"/>
        <v>0</v>
      </c>
      <c r="AS197" s="318">
        <f t="shared" si="121"/>
        <v>0</v>
      </c>
      <c r="AT197" s="318">
        <f t="shared" si="122"/>
        <v>0</v>
      </c>
      <c r="AU197" s="318">
        <f t="shared" si="123"/>
        <v>0</v>
      </c>
      <c r="AV197" s="318">
        <f t="shared" si="124"/>
        <v>0</v>
      </c>
      <c r="AW197" s="318">
        <f t="shared" si="125"/>
        <v>0</v>
      </c>
      <c r="AX197" s="318">
        <f t="shared" si="126"/>
        <v>0</v>
      </c>
      <c r="AY197" s="318">
        <f t="shared" si="127"/>
        <v>0</v>
      </c>
      <c r="AZ197" s="318">
        <f t="shared" si="128"/>
        <v>0</v>
      </c>
      <c r="BA197" s="318">
        <f t="shared" si="129"/>
        <v>0</v>
      </c>
    </row>
    <row r="198" spans="1:53" s="315" customFormat="1" ht="15.75" customHeight="1">
      <c r="A198" s="63" t="str">
        <f t="array" ref="A198">IF(C198&lt;&gt;0,SUM(($C$11:C198&lt;&gt;0)*1),"")</f>
        <v/>
      </c>
      <c r="B198" s="316"/>
      <c r="C198" s="316"/>
      <c r="D198" s="316"/>
      <c r="E198" s="436"/>
      <c r="F198" s="372"/>
      <c r="G198" s="374"/>
      <c r="H198" s="374"/>
      <c r="I198" s="63" t="str">
        <f t="shared" si="137"/>
        <v/>
      </c>
      <c r="J198" s="318">
        <f t="shared" si="92"/>
        <v>0</v>
      </c>
      <c r="K198" s="318">
        <f t="shared" si="93"/>
        <v>0</v>
      </c>
      <c r="L198" s="318">
        <f t="shared" si="94"/>
        <v>0</v>
      </c>
      <c r="M198" s="318">
        <f t="shared" si="95"/>
        <v>0</v>
      </c>
      <c r="N198" s="318">
        <f t="shared" si="130"/>
        <v>0</v>
      </c>
      <c r="O198" s="318">
        <f t="shared" si="131"/>
        <v>0</v>
      </c>
      <c r="P198" s="318">
        <f t="shared" si="96"/>
        <v>0</v>
      </c>
      <c r="Q198" s="318">
        <f t="shared" si="97"/>
        <v>0</v>
      </c>
      <c r="R198" s="318">
        <f t="shared" si="98"/>
        <v>0</v>
      </c>
      <c r="S198" s="318">
        <f t="shared" si="99"/>
        <v>0</v>
      </c>
      <c r="T198" s="318">
        <f t="shared" si="132"/>
        <v>0</v>
      </c>
      <c r="U198" s="318">
        <f t="shared" si="133"/>
        <v>0</v>
      </c>
      <c r="V198" s="318">
        <f t="shared" si="100"/>
        <v>0</v>
      </c>
      <c r="W198" s="318">
        <f t="shared" si="101"/>
        <v>0</v>
      </c>
      <c r="X198" s="318">
        <f t="shared" si="102"/>
        <v>0</v>
      </c>
      <c r="Y198" s="318">
        <f t="shared" si="103"/>
        <v>0</v>
      </c>
      <c r="Z198" s="318">
        <f t="shared" si="104"/>
        <v>0</v>
      </c>
      <c r="AA198" s="318">
        <f t="shared" si="105"/>
        <v>0</v>
      </c>
      <c r="AB198" s="318">
        <f t="shared" si="106"/>
        <v>0</v>
      </c>
      <c r="AC198" s="318">
        <f t="shared" si="107"/>
        <v>0</v>
      </c>
      <c r="AD198" s="318">
        <f t="shared" si="108"/>
        <v>0</v>
      </c>
      <c r="AE198" s="318">
        <f t="shared" si="109"/>
        <v>0</v>
      </c>
      <c r="AF198" s="318">
        <f t="shared" si="134"/>
        <v>0</v>
      </c>
      <c r="AG198" s="318">
        <f t="shared" si="135"/>
        <v>0</v>
      </c>
      <c r="AH198" s="318">
        <f t="shared" si="110"/>
        <v>0</v>
      </c>
      <c r="AI198" s="318">
        <f t="shared" si="111"/>
        <v>0</v>
      </c>
      <c r="AJ198" s="318">
        <f t="shared" si="112"/>
        <v>0</v>
      </c>
      <c r="AK198" s="318">
        <f t="shared" si="113"/>
        <v>0</v>
      </c>
      <c r="AL198" s="318">
        <f t="shared" si="114"/>
        <v>0</v>
      </c>
      <c r="AM198" s="318">
        <f t="shared" si="115"/>
        <v>0</v>
      </c>
      <c r="AN198" s="318">
        <f t="shared" si="116"/>
        <v>0</v>
      </c>
      <c r="AO198" s="318">
        <f t="shared" si="117"/>
        <v>0</v>
      </c>
      <c r="AP198" s="318">
        <f t="shared" si="118"/>
        <v>0</v>
      </c>
      <c r="AQ198" s="318">
        <f t="shared" si="119"/>
        <v>0</v>
      </c>
      <c r="AR198" s="318">
        <f t="shared" si="120"/>
        <v>0</v>
      </c>
      <c r="AS198" s="318">
        <f t="shared" si="121"/>
        <v>0</v>
      </c>
      <c r="AT198" s="318">
        <f t="shared" si="122"/>
        <v>0</v>
      </c>
      <c r="AU198" s="318">
        <f t="shared" si="123"/>
        <v>0</v>
      </c>
      <c r="AV198" s="318">
        <f t="shared" si="124"/>
        <v>0</v>
      </c>
      <c r="AW198" s="318">
        <f t="shared" si="125"/>
        <v>0</v>
      </c>
      <c r="AX198" s="318">
        <f t="shared" si="126"/>
        <v>0</v>
      </c>
      <c r="AY198" s="318">
        <f t="shared" si="127"/>
        <v>0</v>
      </c>
      <c r="AZ198" s="318">
        <f t="shared" si="128"/>
        <v>0</v>
      </c>
      <c r="BA198" s="318">
        <f t="shared" si="129"/>
        <v>0</v>
      </c>
    </row>
    <row r="199" spans="1:53" s="315" customFormat="1" ht="15.75" customHeight="1">
      <c r="A199" s="63" t="str">
        <f t="array" ref="A199">IF(C199&lt;&gt;0,SUM(($C$11:C199&lt;&gt;0)*1),"")</f>
        <v/>
      </c>
      <c r="B199" s="316"/>
      <c r="C199" s="316"/>
      <c r="D199" s="316"/>
      <c r="E199" s="436"/>
      <c r="F199" s="372"/>
      <c r="G199" s="374"/>
      <c r="H199" s="374"/>
      <c r="I199" s="63" t="str">
        <f t="shared" si="137"/>
        <v/>
      </c>
      <c r="J199" s="318">
        <f t="shared" si="92"/>
        <v>0</v>
      </c>
      <c r="K199" s="318">
        <f t="shared" si="93"/>
        <v>0</v>
      </c>
      <c r="L199" s="318">
        <f t="shared" si="94"/>
        <v>0</v>
      </c>
      <c r="M199" s="318">
        <f t="shared" si="95"/>
        <v>0</v>
      </c>
      <c r="N199" s="318">
        <f t="shared" si="130"/>
        <v>0</v>
      </c>
      <c r="O199" s="318">
        <f t="shared" si="131"/>
        <v>0</v>
      </c>
      <c r="P199" s="318">
        <f t="shared" si="96"/>
        <v>0</v>
      </c>
      <c r="Q199" s="318">
        <f t="shared" si="97"/>
        <v>0</v>
      </c>
      <c r="R199" s="318">
        <f t="shared" si="98"/>
        <v>0</v>
      </c>
      <c r="S199" s="318">
        <f t="shared" si="99"/>
        <v>0</v>
      </c>
      <c r="T199" s="318">
        <f t="shared" si="132"/>
        <v>0</v>
      </c>
      <c r="U199" s="318">
        <f t="shared" si="133"/>
        <v>0</v>
      </c>
      <c r="V199" s="318">
        <f t="shared" si="100"/>
        <v>0</v>
      </c>
      <c r="W199" s="318">
        <f t="shared" si="101"/>
        <v>0</v>
      </c>
      <c r="X199" s="318">
        <f t="shared" si="102"/>
        <v>0</v>
      </c>
      <c r="Y199" s="318">
        <f t="shared" si="103"/>
        <v>0</v>
      </c>
      <c r="Z199" s="318">
        <f t="shared" si="104"/>
        <v>0</v>
      </c>
      <c r="AA199" s="318">
        <f t="shared" si="105"/>
        <v>0</v>
      </c>
      <c r="AB199" s="318">
        <f t="shared" si="106"/>
        <v>0</v>
      </c>
      <c r="AC199" s="318">
        <f t="shared" si="107"/>
        <v>0</v>
      </c>
      <c r="AD199" s="318">
        <f t="shared" si="108"/>
        <v>0</v>
      </c>
      <c r="AE199" s="318">
        <f t="shared" si="109"/>
        <v>0</v>
      </c>
      <c r="AF199" s="318">
        <f t="shared" si="134"/>
        <v>0</v>
      </c>
      <c r="AG199" s="318">
        <f t="shared" si="135"/>
        <v>0</v>
      </c>
      <c r="AH199" s="318">
        <f t="shared" si="110"/>
        <v>0</v>
      </c>
      <c r="AI199" s="318">
        <f t="shared" si="111"/>
        <v>0</v>
      </c>
      <c r="AJ199" s="318">
        <f t="shared" si="112"/>
        <v>0</v>
      </c>
      <c r="AK199" s="318">
        <f t="shared" si="113"/>
        <v>0</v>
      </c>
      <c r="AL199" s="318">
        <f t="shared" si="114"/>
        <v>0</v>
      </c>
      <c r="AM199" s="318">
        <f t="shared" si="115"/>
        <v>0</v>
      </c>
      <c r="AN199" s="318">
        <f t="shared" si="116"/>
        <v>0</v>
      </c>
      <c r="AO199" s="318">
        <f t="shared" si="117"/>
        <v>0</v>
      </c>
      <c r="AP199" s="318">
        <f t="shared" si="118"/>
        <v>0</v>
      </c>
      <c r="AQ199" s="318">
        <f t="shared" si="119"/>
        <v>0</v>
      </c>
      <c r="AR199" s="318">
        <f t="shared" si="120"/>
        <v>0</v>
      </c>
      <c r="AS199" s="318">
        <f t="shared" si="121"/>
        <v>0</v>
      </c>
      <c r="AT199" s="318">
        <f t="shared" si="122"/>
        <v>0</v>
      </c>
      <c r="AU199" s="318">
        <f t="shared" si="123"/>
        <v>0</v>
      </c>
      <c r="AV199" s="318">
        <f t="shared" si="124"/>
        <v>0</v>
      </c>
      <c r="AW199" s="318">
        <f t="shared" si="125"/>
        <v>0</v>
      </c>
      <c r="AX199" s="318">
        <f t="shared" si="126"/>
        <v>0</v>
      </c>
      <c r="AY199" s="318">
        <f t="shared" si="127"/>
        <v>0</v>
      </c>
      <c r="AZ199" s="318">
        <f t="shared" si="128"/>
        <v>0</v>
      </c>
      <c r="BA199" s="318">
        <f t="shared" si="129"/>
        <v>0</v>
      </c>
    </row>
    <row r="200" spans="1:53" s="315" customFormat="1" ht="15.75" customHeight="1">
      <c r="A200" s="63" t="str">
        <f t="array" ref="A200">IF(C200&lt;&gt;0,SUM(($C$11:C200&lt;&gt;0)*1),"")</f>
        <v/>
      </c>
      <c r="B200" s="316"/>
      <c r="C200" s="316"/>
      <c r="D200" s="316"/>
      <c r="E200" s="436"/>
      <c r="F200" s="372"/>
      <c r="G200" s="374"/>
      <c r="H200" s="374"/>
      <c r="I200" s="63" t="str">
        <f t="shared" si="137"/>
        <v/>
      </c>
      <c r="J200" s="318">
        <f t="shared" si="92"/>
        <v>0</v>
      </c>
      <c r="K200" s="318">
        <f t="shared" si="93"/>
        <v>0</v>
      </c>
      <c r="L200" s="318">
        <f t="shared" si="94"/>
        <v>0</v>
      </c>
      <c r="M200" s="318">
        <f t="shared" si="95"/>
        <v>0</v>
      </c>
      <c r="N200" s="318">
        <f t="shared" si="130"/>
        <v>0</v>
      </c>
      <c r="O200" s="318">
        <f t="shared" si="131"/>
        <v>0</v>
      </c>
      <c r="P200" s="318">
        <f t="shared" si="96"/>
        <v>0</v>
      </c>
      <c r="Q200" s="318">
        <f t="shared" si="97"/>
        <v>0</v>
      </c>
      <c r="R200" s="318">
        <f t="shared" si="98"/>
        <v>0</v>
      </c>
      <c r="S200" s="318">
        <f t="shared" si="99"/>
        <v>0</v>
      </c>
      <c r="T200" s="318">
        <f t="shared" si="132"/>
        <v>0</v>
      </c>
      <c r="U200" s="318">
        <f t="shared" si="133"/>
        <v>0</v>
      </c>
      <c r="V200" s="318">
        <f t="shared" si="100"/>
        <v>0</v>
      </c>
      <c r="W200" s="318">
        <f t="shared" si="101"/>
        <v>0</v>
      </c>
      <c r="X200" s="318">
        <f t="shared" si="102"/>
        <v>0</v>
      </c>
      <c r="Y200" s="318">
        <f t="shared" si="103"/>
        <v>0</v>
      </c>
      <c r="Z200" s="318">
        <f t="shared" si="104"/>
        <v>0</v>
      </c>
      <c r="AA200" s="318">
        <f t="shared" si="105"/>
        <v>0</v>
      </c>
      <c r="AB200" s="318">
        <f t="shared" si="106"/>
        <v>0</v>
      </c>
      <c r="AC200" s="318">
        <f t="shared" si="107"/>
        <v>0</v>
      </c>
      <c r="AD200" s="318">
        <f t="shared" si="108"/>
        <v>0</v>
      </c>
      <c r="AE200" s="318">
        <f t="shared" si="109"/>
        <v>0</v>
      </c>
      <c r="AF200" s="318">
        <f t="shared" si="134"/>
        <v>0</v>
      </c>
      <c r="AG200" s="318">
        <f t="shared" si="135"/>
        <v>0</v>
      </c>
      <c r="AH200" s="318">
        <f t="shared" si="110"/>
        <v>0</v>
      </c>
      <c r="AI200" s="318">
        <f t="shared" si="111"/>
        <v>0</v>
      </c>
      <c r="AJ200" s="318">
        <f t="shared" si="112"/>
        <v>0</v>
      </c>
      <c r="AK200" s="318">
        <f t="shared" si="113"/>
        <v>0</v>
      </c>
      <c r="AL200" s="318">
        <f t="shared" si="114"/>
        <v>0</v>
      </c>
      <c r="AM200" s="318">
        <f t="shared" si="115"/>
        <v>0</v>
      </c>
      <c r="AN200" s="318">
        <f t="shared" si="116"/>
        <v>0</v>
      </c>
      <c r="AO200" s="318">
        <f t="shared" si="117"/>
        <v>0</v>
      </c>
      <c r="AP200" s="318">
        <f t="shared" si="118"/>
        <v>0</v>
      </c>
      <c r="AQ200" s="318">
        <f t="shared" si="119"/>
        <v>0</v>
      </c>
      <c r="AR200" s="318">
        <f t="shared" si="120"/>
        <v>0</v>
      </c>
      <c r="AS200" s="318">
        <f t="shared" si="121"/>
        <v>0</v>
      </c>
      <c r="AT200" s="318">
        <f t="shared" si="122"/>
        <v>0</v>
      </c>
      <c r="AU200" s="318">
        <f t="shared" si="123"/>
        <v>0</v>
      </c>
      <c r="AV200" s="318">
        <f t="shared" si="124"/>
        <v>0</v>
      </c>
      <c r="AW200" s="318">
        <f t="shared" si="125"/>
        <v>0</v>
      </c>
      <c r="AX200" s="318">
        <f t="shared" si="126"/>
        <v>0</v>
      </c>
      <c r="AY200" s="318">
        <f t="shared" si="127"/>
        <v>0</v>
      </c>
      <c r="AZ200" s="318">
        <f t="shared" si="128"/>
        <v>0</v>
      </c>
      <c r="BA200" s="318">
        <f t="shared" si="129"/>
        <v>0</v>
      </c>
    </row>
    <row r="201" spans="1:53" s="315" customFormat="1" ht="15.75" customHeight="1">
      <c r="A201" s="63" t="str">
        <f t="array" ref="A201">IF(C201&lt;&gt;0,SUM(($C$11:C201&lt;&gt;0)*1),"")</f>
        <v/>
      </c>
      <c r="B201" s="316"/>
      <c r="C201" s="316"/>
      <c r="D201" s="316"/>
      <c r="E201" s="436"/>
      <c r="F201" s="372"/>
      <c r="G201" s="374"/>
      <c r="H201" s="374"/>
      <c r="I201" s="63" t="str">
        <f t="shared" si="137"/>
        <v/>
      </c>
      <c r="J201" s="318">
        <f t="shared" si="92"/>
        <v>0</v>
      </c>
      <c r="K201" s="318">
        <f t="shared" si="93"/>
        <v>0</v>
      </c>
      <c r="L201" s="318">
        <f t="shared" si="94"/>
        <v>0</v>
      </c>
      <c r="M201" s="318">
        <f t="shared" si="95"/>
        <v>0</v>
      </c>
      <c r="N201" s="318">
        <f t="shared" si="130"/>
        <v>0</v>
      </c>
      <c r="O201" s="318">
        <f t="shared" si="131"/>
        <v>0</v>
      </c>
      <c r="P201" s="318">
        <f t="shared" si="96"/>
        <v>0</v>
      </c>
      <c r="Q201" s="318">
        <f t="shared" si="97"/>
        <v>0</v>
      </c>
      <c r="R201" s="318">
        <f t="shared" si="98"/>
        <v>0</v>
      </c>
      <c r="S201" s="318">
        <f t="shared" si="99"/>
        <v>0</v>
      </c>
      <c r="T201" s="318">
        <f t="shared" si="132"/>
        <v>0</v>
      </c>
      <c r="U201" s="318">
        <f t="shared" si="133"/>
        <v>0</v>
      </c>
      <c r="V201" s="318">
        <f t="shared" si="100"/>
        <v>0</v>
      </c>
      <c r="W201" s="318">
        <f t="shared" si="101"/>
        <v>0</v>
      </c>
      <c r="X201" s="318">
        <f t="shared" si="102"/>
        <v>0</v>
      </c>
      <c r="Y201" s="318">
        <f t="shared" si="103"/>
        <v>0</v>
      </c>
      <c r="Z201" s="318">
        <f t="shared" si="104"/>
        <v>0</v>
      </c>
      <c r="AA201" s="318">
        <f t="shared" si="105"/>
        <v>0</v>
      </c>
      <c r="AB201" s="318">
        <f t="shared" si="106"/>
        <v>0</v>
      </c>
      <c r="AC201" s="318">
        <f t="shared" si="107"/>
        <v>0</v>
      </c>
      <c r="AD201" s="318">
        <f t="shared" si="108"/>
        <v>0</v>
      </c>
      <c r="AE201" s="318">
        <f t="shared" si="109"/>
        <v>0</v>
      </c>
      <c r="AF201" s="318">
        <f t="shared" si="134"/>
        <v>0</v>
      </c>
      <c r="AG201" s="318">
        <f t="shared" si="135"/>
        <v>0</v>
      </c>
      <c r="AH201" s="318">
        <f t="shared" si="110"/>
        <v>0</v>
      </c>
      <c r="AI201" s="318">
        <f t="shared" si="111"/>
        <v>0</v>
      </c>
      <c r="AJ201" s="318">
        <f t="shared" si="112"/>
        <v>0</v>
      </c>
      <c r="AK201" s="318">
        <f t="shared" si="113"/>
        <v>0</v>
      </c>
      <c r="AL201" s="318">
        <f t="shared" si="114"/>
        <v>0</v>
      </c>
      <c r="AM201" s="318">
        <f t="shared" si="115"/>
        <v>0</v>
      </c>
      <c r="AN201" s="318">
        <f t="shared" si="116"/>
        <v>0</v>
      </c>
      <c r="AO201" s="318">
        <f t="shared" si="117"/>
        <v>0</v>
      </c>
      <c r="AP201" s="318">
        <f t="shared" si="118"/>
        <v>0</v>
      </c>
      <c r="AQ201" s="318">
        <f t="shared" si="119"/>
        <v>0</v>
      </c>
      <c r="AR201" s="318">
        <f t="shared" si="120"/>
        <v>0</v>
      </c>
      <c r="AS201" s="318">
        <f t="shared" si="121"/>
        <v>0</v>
      </c>
      <c r="AT201" s="318">
        <f t="shared" si="122"/>
        <v>0</v>
      </c>
      <c r="AU201" s="318">
        <f t="shared" si="123"/>
        <v>0</v>
      </c>
      <c r="AV201" s="318">
        <f t="shared" si="124"/>
        <v>0</v>
      </c>
      <c r="AW201" s="318">
        <f t="shared" si="125"/>
        <v>0</v>
      </c>
      <c r="AX201" s="318">
        <f t="shared" si="126"/>
        <v>0</v>
      </c>
      <c r="AY201" s="318">
        <f t="shared" si="127"/>
        <v>0</v>
      </c>
      <c r="AZ201" s="318">
        <f t="shared" si="128"/>
        <v>0</v>
      </c>
      <c r="BA201" s="318">
        <f t="shared" si="129"/>
        <v>0</v>
      </c>
    </row>
    <row r="202" spans="1:53" s="315" customFormat="1" ht="15.75" customHeight="1">
      <c r="A202" s="63" t="str">
        <f t="array" ref="A202">IF(C202&lt;&gt;0,SUM(($C$11:C202&lt;&gt;0)*1),"")</f>
        <v/>
      </c>
      <c r="B202" s="316"/>
      <c r="C202" s="316"/>
      <c r="D202" s="316"/>
      <c r="E202" s="436"/>
      <c r="F202" s="372"/>
      <c r="G202" s="374"/>
      <c r="H202" s="374"/>
      <c r="I202" s="63" t="str">
        <f t="shared" si="137"/>
        <v/>
      </c>
      <c r="J202" s="318">
        <f t="shared" si="92"/>
        <v>0</v>
      </c>
      <c r="K202" s="318">
        <f t="shared" si="93"/>
        <v>0</v>
      </c>
      <c r="L202" s="318">
        <f t="shared" si="94"/>
        <v>0</v>
      </c>
      <c r="M202" s="318">
        <f t="shared" si="95"/>
        <v>0</v>
      </c>
      <c r="N202" s="318">
        <f t="shared" si="130"/>
        <v>0</v>
      </c>
      <c r="O202" s="318">
        <f t="shared" si="131"/>
        <v>0</v>
      </c>
      <c r="P202" s="318">
        <f t="shared" si="96"/>
        <v>0</v>
      </c>
      <c r="Q202" s="318">
        <f t="shared" si="97"/>
        <v>0</v>
      </c>
      <c r="R202" s="318">
        <f t="shared" si="98"/>
        <v>0</v>
      </c>
      <c r="S202" s="318">
        <f t="shared" si="99"/>
        <v>0</v>
      </c>
      <c r="T202" s="318">
        <f t="shared" si="132"/>
        <v>0</v>
      </c>
      <c r="U202" s="318">
        <f t="shared" si="133"/>
        <v>0</v>
      </c>
      <c r="V202" s="318">
        <f t="shared" si="100"/>
        <v>0</v>
      </c>
      <c r="W202" s="318">
        <f t="shared" si="101"/>
        <v>0</v>
      </c>
      <c r="X202" s="318">
        <f t="shared" si="102"/>
        <v>0</v>
      </c>
      <c r="Y202" s="318">
        <f t="shared" si="103"/>
        <v>0</v>
      </c>
      <c r="Z202" s="318">
        <f t="shared" si="104"/>
        <v>0</v>
      </c>
      <c r="AA202" s="318">
        <f t="shared" si="105"/>
        <v>0</v>
      </c>
      <c r="AB202" s="318">
        <f t="shared" si="106"/>
        <v>0</v>
      </c>
      <c r="AC202" s="318">
        <f t="shared" si="107"/>
        <v>0</v>
      </c>
      <c r="AD202" s="318">
        <f t="shared" si="108"/>
        <v>0</v>
      </c>
      <c r="AE202" s="318">
        <f t="shared" si="109"/>
        <v>0</v>
      </c>
      <c r="AF202" s="318">
        <f t="shared" si="134"/>
        <v>0</v>
      </c>
      <c r="AG202" s="318">
        <f t="shared" si="135"/>
        <v>0</v>
      </c>
      <c r="AH202" s="318">
        <f t="shared" si="110"/>
        <v>0</v>
      </c>
      <c r="AI202" s="318">
        <f t="shared" si="111"/>
        <v>0</v>
      </c>
      <c r="AJ202" s="318">
        <f t="shared" si="112"/>
        <v>0</v>
      </c>
      <c r="AK202" s="318">
        <f t="shared" si="113"/>
        <v>0</v>
      </c>
      <c r="AL202" s="318">
        <f t="shared" si="114"/>
        <v>0</v>
      </c>
      <c r="AM202" s="318">
        <f t="shared" si="115"/>
        <v>0</v>
      </c>
      <c r="AN202" s="318">
        <f t="shared" si="116"/>
        <v>0</v>
      </c>
      <c r="AO202" s="318">
        <f t="shared" si="117"/>
        <v>0</v>
      </c>
      <c r="AP202" s="318">
        <f t="shared" si="118"/>
        <v>0</v>
      </c>
      <c r="AQ202" s="318">
        <f t="shared" si="119"/>
        <v>0</v>
      </c>
      <c r="AR202" s="318">
        <f t="shared" si="120"/>
        <v>0</v>
      </c>
      <c r="AS202" s="318">
        <f t="shared" si="121"/>
        <v>0</v>
      </c>
      <c r="AT202" s="318">
        <f t="shared" si="122"/>
        <v>0</v>
      </c>
      <c r="AU202" s="318">
        <f t="shared" si="123"/>
        <v>0</v>
      </c>
      <c r="AV202" s="318">
        <f t="shared" si="124"/>
        <v>0</v>
      </c>
      <c r="AW202" s="318">
        <f t="shared" si="125"/>
        <v>0</v>
      </c>
      <c r="AX202" s="318">
        <f t="shared" si="126"/>
        <v>0</v>
      </c>
      <c r="AY202" s="318">
        <f t="shared" si="127"/>
        <v>0</v>
      </c>
      <c r="AZ202" s="318">
        <f t="shared" si="128"/>
        <v>0</v>
      </c>
      <c r="BA202" s="318">
        <f t="shared" si="129"/>
        <v>0</v>
      </c>
    </row>
    <row r="203" spans="1:53" s="315" customFormat="1" ht="15.75" customHeight="1">
      <c r="A203" s="63" t="str">
        <f t="array" ref="A203">IF(C203&lt;&gt;0,SUM(($C$11:C203&lt;&gt;0)*1),"")</f>
        <v/>
      </c>
      <c r="B203" s="316"/>
      <c r="C203" s="316"/>
      <c r="D203" s="316"/>
      <c r="E203" s="436"/>
      <c r="F203" s="372"/>
      <c r="G203" s="374"/>
      <c r="H203" s="374"/>
      <c r="I203" s="63" t="str">
        <f t="shared" si="137"/>
        <v/>
      </c>
      <c r="J203" s="318">
        <f t="shared" ref="J203:J242" si="138">IF($G203="1111",$F203,0)</f>
        <v>0</v>
      </c>
      <c r="K203" s="318">
        <f t="shared" ref="K203:K242" si="139">IF($H203="1111",$F203,0)</f>
        <v>0</v>
      </c>
      <c r="L203" s="318">
        <f t="shared" ref="L203:L242" si="140">IF($G203="1121",$F203,0)</f>
        <v>0</v>
      </c>
      <c r="M203" s="318">
        <f t="shared" ref="M203:M242" si="141">IF($H203="1121",$F203,0)</f>
        <v>0</v>
      </c>
      <c r="N203" s="318">
        <f t="shared" si="130"/>
        <v>0</v>
      </c>
      <c r="O203" s="318">
        <f t="shared" si="131"/>
        <v>0</v>
      </c>
      <c r="P203" s="318">
        <f t="shared" ref="P203:P242" si="142">IF($G203="1331",$F203,0)</f>
        <v>0</v>
      </c>
      <c r="Q203" s="318">
        <f t="shared" ref="Q203:Q242" si="143">IF($H203="1331",$F203,0)</f>
        <v>0</v>
      </c>
      <c r="R203" s="318">
        <f t="shared" ref="R203:R242" si="144">IF($G203="1388",$F203,0)</f>
        <v>0</v>
      </c>
      <c r="S203" s="318">
        <f t="shared" ref="S203:S242" si="145">IF($H203="1388",$F203,0)</f>
        <v>0</v>
      </c>
      <c r="T203" s="318">
        <f t="shared" si="132"/>
        <v>0</v>
      </c>
      <c r="U203" s="318">
        <f t="shared" si="133"/>
        <v>0</v>
      </c>
      <c r="V203" s="318">
        <f t="shared" ref="V203:V242" si="146">IF($G203="331",$F203,0)</f>
        <v>0</v>
      </c>
      <c r="W203" s="318">
        <f t="shared" ref="W203:W242" si="147">IF($H203="331",$F203,0)</f>
        <v>0</v>
      </c>
      <c r="X203" s="318">
        <f t="shared" ref="X203:X242" si="148">IF($G203="3334",$F203,0)</f>
        <v>0</v>
      </c>
      <c r="Y203" s="318">
        <f t="shared" ref="Y203:Y242" si="149">IF($H203="3334",$F203,0)</f>
        <v>0</v>
      </c>
      <c r="Z203" s="318">
        <f t="shared" ref="Z203:Z242" si="150">IF($G203="33382",$F203,0)</f>
        <v>0</v>
      </c>
      <c r="AA203" s="318">
        <f t="shared" ref="AA203:AA242" si="151">IF($H203="33382",$F203,0)</f>
        <v>0</v>
      </c>
      <c r="AB203" s="318">
        <f t="shared" ref="AB203:AB242" si="152">IF($G203="3388",$F203,0)</f>
        <v>0</v>
      </c>
      <c r="AC203" s="318">
        <f t="shared" ref="AC203:AC242" si="153">IF($H203="3388",$F203,0)</f>
        <v>0</v>
      </c>
      <c r="AD203" s="318">
        <f t="shared" ref="AD203:AD242" si="154">IF($G203="3411",$F203,0)</f>
        <v>0</v>
      </c>
      <c r="AE203" s="318">
        <f t="shared" ref="AE203:AE242" si="155">IF($H203="3411",$F203,0)</f>
        <v>0</v>
      </c>
      <c r="AF203" s="318">
        <f t="shared" si="134"/>
        <v>0</v>
      </c>
      <c r="AG203" s="318">
        <f t="shared" si="135"/>
        <v>0</v>
      </c>
      <c r="AH203" s="318">
        <f t="shared" ref="AH203:AH242" si="156">IF($G203="4111",$F203,0)</f>
        <v>0</v>
      </c>
      <c r="AI203" s="318">
        <f t="shared" ref="AI203:AI242" si="157">IF($H203="4111",$F203,0)</f>
        <v>0</v>
      </c>
      <c r="AJ203" s="318">
        <f t="shared" ref="AJ203:AJ242" si="158">IF($G203="4211",$F203,0)</f>
        <v>0</v>
      </c>
      <c r="AK203" s="318">
        <f t="shared" ref="AK203:AK242" si="159">IF($H203="4211",$F203,0)</f>
        <v>0</v>
      </c>
      <c r="AL203" s="318">
        <f t="shared" ref="AL203:AL242" si="160">IF($G203="4212",$F203,0)</f>
        <v>0</v>
      </c>
      <c r="AM203" s="318">
        <f t="shared" ref="AM203:AM242" si="161">IF($H203="4212",$F203,0)</f>
        <v>0</v>
      </c>
      <c r="AN203" s="318">
        <f t="shared" ref="AN203:AN242" si="162">IF($G203="515",$F203,0)</f>
        <v>0</v>
      </c>
      <c r="AO203" s="318">
        <f t="shared" ref="AO203:AO242" si="163">IF($H203="515",$F203,0)</f>
        <v>0</v>
      </c>
      <c r="AP203" s="318">
        <f t="shared" ref="AP203:AP242" si="164">IF($G203="635",$F203,0)</f>
        <v>0</v>
      </c>
      <c r="AQ203" s="318">
        <f t="shared" ref="AQ203:AQ242" si="165">IF($H203="635",$F203,0)</f>
        <v>0</v>
      </c>
      <c r="AR203" s="318">
        <f t="shared" ref="AR203:AR242" si="166">IF($G203="642",$F203,0)</f>
        <v>0</v>
      </c>
      <c r="AS203" s="318">
        <f t="shared" ref="AS203:AS242" si="167">IF($H203="642",$F203,0)</f>
        <v>0</v>
      </c>
      <c r="AT203" s="318">
        <f t="shared" ref="AT203:AT242" si="168">IF($G203="711",$F203,0)</f>
        <v>0</v>
      </c>
      <c r="AU203" s="318">
        <f t="shared" ref="AU203:AU242" si="169">IF($H203="711",$F203,0)</f>
        <v>0</v>
      </c>
      <c r="AV203" s="318">
        <f t="shared" ref="AV203:AV242" si="170">IF($G203="811",$F203,0)</f>
        <v>0</v>
      </c>
      <c r="AW203" s="318">
        <f t="shared" ref="AW203:AW242" si="171">IF($H203="811",$F203,0)</f>
        <v>0</v>
      </c>
      <c r="AX203" s="318">
        <f t="shared" ref="AX203:AX242" si="172">IF($G203="821",$F203,0)</f>
        <v>0</v>
      </c>
      <c r="AY203" s="318">
        <f t="shared" ref="AY203:AY242" si="173">IF($H203="821",$F203,0)</f>
        <v>0</v>
      </c>
      <c r="AZ203" s="318">
        <f t="shared" ref="AZ203:AZ242" si="174">IF($G203="911",$F203,0)</f>
        <v>0</v>
      </c>
      <c r="BA203" s="318">
        <f t="shared" ref="BA203:BA242" si="175">IF($H203="911",$F203,0)</f>
        <v>0</v>
      </c>
    </row>
    <row r="204" spans="1:53" s="315" customFormat="1" ht="15.75" customHeight="1">
      <c r="A204" s="63" t="str">
        <f t="array" ref="A204">IF(C204&lt;&gt;0,SUM(($C$11:C204&lt;&gt;0)*1),"")</f>
        <v/>
      </c>
      <c r="B204" s="316"/>
      <c r="C204" s="316"/>
      <c r="D204" s="316"/>
      <c r="E204" s="436"/>
      <c r="F204" s="372"/>
      <c r="G204" s="374"/>
      <c r="H204" s="374"/>
      <c r="I204" s="63" t="str">
        <f t="shared" si="137"/>
        <v/>
      </c>
      <c r="J204" s="318">
        <f t="shared" si="138"/>
        <v>0</v>
      </c>
      <c r="K204" s="318">
        <f t="shared" si="139"/>
        <v>0</v>
      </c>
      <c r="L204" s="318">
        <f t="shared" si="140"/>
        <v>0</v>
      </c>
      <c r="M204" s="318">
        <f t="shared" si="141"/>
        <v>0</v>
      </c>
      <c r="N204" s="318">
        <f t="shared" ref="N204:N242" si="176">IF($G204="1122",$F204,0)</f>
        <v>0</v>
      </c>
      <c r="O204" s="318">
        <f t="shared" ref="O204:O242" si="177">IF($H204="1122",$F204,0)</f>
        <v>0</v>
      </c>
      <c r="P204" s="318">
        <f t="shared" si="142"/>
        <v>0</v>
      </c>
      <c r="Q204" s="318">
        <f t="shared" si="143"/>
        <v>0</v>
      </c>
      <c r="R204" s="318">
        <f t="shared" si="144"/>
        <v>0</v>
      </c>
      <c r="S204" s="318">
        <f t="shared" si="145"/>
        <v>0</v>
      </c>
      <c r="T204" s="318">
        <f t="shared" ref="T204:T242" si="178">IF($G204="2412",$F204,0)</f>
        <v>0</v>
      </c>
      <c r="U204" s="318">
        <f t="shared" ref="U204:U242" si="179">IF($H204="2412",$F204,0)</f>
        <v>0</v>
      </c>
      <c r="V204" s="318">
        <f t="shared" si="146"/>
        <v>0</v>
      </c>
      <c r="W204" s="318">
        <f t="shared" si="147"/>
        <v>0</v>
      </c>
      <c r="X204" s="318">
        <f t="shared" si="148"/>
        <v>0</v>
      </c>
      <c r="Y204" s="318">
        <f t="shared" si="149"/>
        <v>0</v>
      </c>
      <c r="Z204" s="318">
        <f t="shared" si="150"/>
        <v>0</v>
      </c>
      <c r="AA204" s="318">
        <f t="shared" si="151"/>
        <v>0</v>
      </c>
      <c r="AB204" s="318">
        <f t="shared" si="152"/>
        <v>0</v>
      </c>
      <c r="AC204" s="318">
        <f t="shared" si="153"/>
        <v>0</v>
      </c>
      <c r="AD204" s="318">
        <f t="shared" si="154"/>
        <v>0</v>
      </c>
      <c r="AE204" s="318">
        <f t="shared" si="155"/>
        <v>0</v>
      </c>
      <c r="AF204" s="318">
        <f t="shared" ref="AF204:AF242" si="180">IF($G204="3412",$F204,0)</f>
        <v>0</v>
      </c>
      <c r="AG204" s="318">
        <f t="shared" ref="AG204:AG242" si="181">IF($H204="3412",$F204,0)</f>
        <v>0</v>
      </c>
      <c r="AH204" s="318">
        <f t="shared" si="156"/>
        <v>0</v>
      </c>
      <c r="AI204" s="318">
        <f t="shared" si="157"/>
        <v>0</v>
      </c>
      <c r="AJ204" s="318">
        <f t="shared" si="158"/>
        <v>0</v>
      </c>
      <c r="AK204" s="318">
        <f t="shared" si="159"/>
        <v>0</v>
      </c>
      <c r="AL204" s="318">
        <f t="shared" si="160"/>
        <v>0</v>
      </c>
      <c r="AM204" s="318">
        <f t="shared" si="161"/>
        <v>0</v>
      </c>
      <c r="AN204" s="318">
        <f t="shared" si="162"/>
        <v>0</v>
      </c>
      <c r="AO204" s="318">
        <f t="shared" si="163"/>
        <v>0</v>
      </c>
      <c r="AP204" s="318">
        <f t="shared" si="164"/>
        <v>0</v>
      </c>
      <c r="AQ204" s="318">
        <f t="shared" si="165"/>
        <v>0</v>
      </c>
      <c r="AR204" s="318">
        <f t="shared" si="166"/>
        <v>0</v>
      </c>
      <c r="AS204" s="318">
        <f t="shared" si="167"/>
        <v>0</v>
      </c>
      <c r="AT204" s="318">
        <f t="shared" si="168"/>
        <v>0</v>
      </c>
      <c r="AU204" s="318">
        <f t="shared" si="169"/>
        <v>0</v>
      </c>
      <c r="AV204" s="318">
        <f t="shared" si="170"/>
        <v>0</v>
      </c>
      <c r="AW204" s="318">
        <f t="shared" si="171"/>
        <v>0</v>
      </c>
      <c r="AX204" s="318">
        <f t="shared" si="172"/>
        <v>0</v>
      </c>
      <c r="AY204" s="318">
        <f t="shared" si="173"/>
        <v>0</v>
      </c>
      <c r="AZ204" s="318">
        <f t="shared" si="174"/>
        <v>0</v>
      </c>
      <c r="BA204" s="318">
        <f t="shared" si="175"/>
        <v>0</v>
      </c>
    </row>
    <row r="205" spans="1:53" s="315" customFormat="1" ht="15.75" customHeight="1">
      <c r="A205" s="63" t="str">
        <f t="array" ref="A205">IF(C205&lt;&gt;0,SUM(($C$11:C205&lt;&gt;0)*1),"")</f>
        <v/>
      </c>
      <c r="B205" s="316"/>
      <c r="C205" s="316"/>
      <c r="D205" s="316"/>
      <c r="E205" s="436"/>
      <c r="F205" s="372"/>
      <c r="G205" s="374"/>
      <c r="H205" s="374"/>
      <c r="I205" s="63" t="str">
        <f t="shared" si="137"/>
        <v/>
      </c>
      <c r="J205" s="318">
        <f t="shared" si="138"/>
        <v>0</v>
      </c>
      <c r="K205" s="318">
        <f t="shared" si="139"/>
        <v>0</v>
      </c>
      <c r="L205" s="318">
        <f t="shared" si="140"/>
        <v>0</v>
      </c>
      <c r="M205" s="318">
        <f t="shared" si="141"/>
        <v>0</v>
      </c>
      <c r="N205" s="318">
        <f t="shared" si="176"/>
        <v>0</v>
      </c>
      <c r="O205" s="318">
        <f t="shared" si="177"/>
        <v>0</v>
      </c>
      <c r="P205" s="318">
        <f t="shared" si="142"/>
        <v>0</v>
      </c>
      <c r="Q205" s="318">
        <f t="shared" si="143"/>
        <v>0</v>
      </c>
      <c r="R205" s="318">
        <f t="shared" si="144"/>
        <v>0</v>
      </c>
      <c r="S205" s="318">
        <f t="shared" si="145"/>
        <v>0</v>
      </c>
      <c r="T205" s="318">
        <f t="shared" si="178"/>
        <v>0</v>
      </c>
      <c r="U205" s="318">
        <f t="shared" si="179"/>
        <v>0</v>
      </c>
      <c r="V205" s="318">
        <f t="shared" si="146"/>
        <v>0</v>
      </c>
      <c r="W205" s="318">
        <f t="shared" si="147"/>
        <v>0</v>
      </c>
      <c r="X205" s="318">
        <f t="shared" si="148"/>
        <v>0</v>
      </c>
      <c r="Y205" s="318">
        <f t="shared" si="149"/>
        <v>0</v>
      </c>
      <c r="Z205" s="318">
        <f t="shared" si="150"/>
        <v>0</v>
      </c>
      <c r="AA205" s="318">
        <f t="shared" si="151"/>
        <v>0</v>
      </c>
      <c r="AB205" s="318">
        <f t="shared" si="152"/>
        <v>0</v>
      </c>
      <c r="AC205" s="318">
        <f t="shared" si="153"/>
        <v>0</v>
      </c>
      <c r="AD205" s="318">
        <f t="shared" si="154"/>
        <v>0</v>
      </c>
      <c r="AE205" s="318">
        <f t="shared" si="155"/>
        <v>0</v>
      </c>
      <c r="AF205" s="318">
        <f t="shared" si="180"/>
        <v>0</v>
      </c>
      <c r="AG205" s="318">
        <f t="shared" si="181"/>
        <v>0</v>
      </c>
      <c r="AH205" s="318">
        <f t="shared" si="156"/>
        <v>0</v>
      </c>
      <c r="AI205" s="318">
        <f t="shared" si="157"/>
        <v>0</v>
      </c>
      <c r="AJ205" s="318">
        <f t="shared" si="158"/>
        <v>0</v>
      </c>
      <c r="AK205" s="318">
        <f t="shared" si="159"/>
        <v>0</v>
      </c>
      <c r="AL205" s="318">
        <f t="shared" si="160"/>
        <v>0</v>
      </c>
      <c r="AM205" s="318">
        <f t="shared" si="161"/>
        <v>0</v>
      </c>
      <c r="AN205" s="318">
        <f t="shared" si="162"/>
        <v>0</v>
      </c>
      <c r="AO205" s="318">
        <f t="shared" si="163"/>
        <v>0</v>
      </c>
      <c r="AP205" s="318">
        <f t="shared" si="164"/>
        <v>0</v>
      </c>
      <c r="AQ205" s="318">
        <f t="shared" si="165"/>
        <v>0</v>
      </c>
      <c r="AR205" s="318">
        <f t="shared" si="166"/>
        <v>0</v>
      </c>
      <c r="AS205" s="318">
        <f t="shared" si="167"/>
        <v>0</v>
      </c>
      <c r="AT205" s="318">
        <f t="shared" si="168"/>
        <v>0</v>
      </c>
      <c r="AU205" s="318">
        <f t="shared" si="169"/>
        <v>0</v>
      </c>
      <c r="AV205" s="318">
        <f t="shared" si="170"/>
        <v>0</v>
      </c>
      <c r="AW205" s="318">
        <f t="shared" si="171"/>
        <v>0</v>
      </c>
      <c r="AX205" s="318">
        <f t="shared" si="172"/>
        <v>0</v>
      </c>
      <c r="AY205" s="318">
        <f t="shared" si="173"/>
        <v>0</v>
      </c>
      <c r="AZ205" s="318">
        <f t="shared" si="174"/>
        <v>0</v>
      </c>
      <c r="BA205" s="318">
        <f t="shared" si="175"/>
        <v>0</v>
      </c>
    </row>
    <row r="206" spans="1:53" s="315" customFormat="1" ht="15.75" customHeight="1">
      <c r="A206" s="63" t="str">
        <f t="array" ref="A206">IF(C206&lt;&gt;0,SUM(($C$11:C206&lt;&gt;0)*1),"")</f>
        <v/>
      </c>
      <c r="B206" s="316"/>
      <c r="C206" s="316"/>
      <c r="D206" s="316"/>
      <c r="E206" s="436"/>
      <c r="F206" s="372"/>
      <c r="G206" s="374"/>
      <c r="H206" s="374"/>
      <c r="I206" s="63" t="str">
        <f t="shared" si="137"/>
        <v/>
      </c>
      <c r="J206" s="318">
        <f t="shared" si="138"/>
        <v>0</v>
      </c>
      <c r="K206" s="318">
        <f t="shared" si="139"/>
        <v>0</v>
      </c>
      <c r="L206" s="318">
        <f t="shared" si="140"/>
        <v>0</v>
      </c>
      <c r="M206" s="318">
        <f t="shared" si="141"/>
        <v>0</v>
      </c>
      <c r="N206" s="318">
        <f t="shared" si="176"/>
        <v>0</v>
      </c>
      <c r="O206" s="318">
        <f t="shared" si="177"/>
        <v>0</v>
      </c>
      <c r="P206" s="318">
        <f t="shared" si="142"/>
        <v>0</v>
      </c>
      <c r="Q206" s="318">
        <f t="shared" si="143"/>
        <v>0</v>
      </c>
      <c r="R206" s="318">
        <f t="shared" si="144"/>
        <v>0</v>
      </c>
      <c r="S206" s="318">
        <f t="shared" si="145"/>
        <v>0</v>
      </c>
      <c r="T206" s="318">
        <f t="shared" si="178"/>
        <v>0</v>
      </c>
      <c r="U206" s="318">
        <f t="shared" si="179"/>
        <v>0</v>
      </c>
      <c r="V206" s="318">
        <f t="shared" si="146"/>
        <v>0</v>
      </c>
      <c r="W206" s="318">
        <f t="shared" si="147"/>
        <v>0</v>
      </c>
      <c r="X206" s="318">
        <f t="shared" si="148"/>
        <v>0</v>
      </c>
      <c r="Y206" s="318">
        <f t="shared" si="149"/>
        <v>0</v>
      </c>
      <c r="Z206" s="318">
        <f t="shared" si="150"/>
        <v>0</v>
      </c>
      <c r="AA206" s="318">
        <f t="shared" si="151"/>
        <v>0</v>
      </c>
      <c r="AB206" s="318">
        <f t="shared" si="152"/>
        <v>0</v>
      </c>
      <c r="AC206" s="318">
        <f t="shared" si="153"/>
        <v>0</v>
      </c>
      <c r="AD206" s="318">
        <f t="shared" si="154"/>
        <v>0</v>
      </c>
      <c r="AE206" s="318">
        <f t="shared" si="155"/>
        <v>0</v>
      </c>
      <c r="AF206" s="318">
        <f t="shared" si="180"/>
        <v>0</v>
      </c>
      <c r="AG206" s="318">
        <f t="shared" si="181"/>
        <v>0</v>
      </c>
      <c r="AH206" s="318">
        <f t="shared" si="156"/>
        <v>0</v>
      </c>
      <c r="AI206" s="318">
        <f t="shared" si="157"/>
        <v>0</v>
      </c>
      <c r="AJ206" s="318">
        <f t="shared" si="158"/>
        <v>0</v>
      </c>
      <c r="AK206" s="318">
        <f t="shared" si="159"/>
        <v>0</v>
      </c>
      <c r="AL206" s="318">
        <f t="shared" si="160"/>
        <v>0</v>
      </c>
      <c r="AM206" s="318">
        <f t="shared" si="161"/>
        <v>0</v>
      </c>
      <c r="AN206" s="318">
        <f t="shared" si="162"/>
        <v>0</v>
      </c>
      <c r="AO206" s="318">
        <f t="shared" si="163"/>
        <v>0</v>
      </c>
      <c r="AP206" s="318">
        <f t="shared" si="164"/>
        <v>0</v>
      </c>
      <c r="AQ206" s="318">
        <f t="shared" si="165"/>
        <v>0</v>
      </c>
      <c r="AR206" s="318">
        <f t="shared" si="166"/>
        <v>0</v>
      </c>
      <c r="AS206" s="318">
        <f t="shared" si="167"/>
        <v>0</v>
      </c>
      <c r="AT206" s="318">
        <f t="shared" si="168"/>
        <v>0</v>
      </c>
      <c r="AU206" s="318">
        <f t="shared" si="169"/>
        <v>0</v>
      </c>
      <c r="AV206" s="318">
        <f t="shared" si="170"/>
        <v>0</v>
      </c>
      <c r="AW206" s="318">
        <f t="shared" si="171"/>
        <v>0</v>
      </c>
      <c r="AX206" s="318">
        <f t="shared" si="172"/>
        <v>0</v>
      </c>
      <c r="AY206" s="318">
        <f t="shared" si="173"/>
        <v>0</v>
      </c>
      <c r="AZ206" s="318">
        <f t="shared" si="174"/>
        <v>0</v>
      </c>
      <c r="BA206" s="318">
        <f t="shared" si="175"/>
        <v>0</v>
      </c>
    </row>
    <row r="207" spans="1:53" s="315" customFormat="1" ht="15.75" customHeight="1">
      <c r="A207" s="63" t="str">
        <f t="array" ref="A207">IF(C207&lt;&gt;0,SUM(($C$11:C207&lt;&gt;0)*1),"")</f>
        <v/>
      </c>
      <c r="B207" s="316"/>
      <c r="C207" s="316"/>
      <c r="D207" s="316"/>
      <c r="E207" s="436"/>
      <c r="F207" s="372"/>
      <c r="G207" s="374"/>
      <c r="H207" s="374"/>
      <c r="I207" s="63" t="str">
        <f t="shared" si="137"/>
        <v/>
      </c>
      <c r="J207" s="318">
        <f t="shared" si="138"/>
        <v>0</v>
      </c>
      <c r="K207" s="318">
        <f t="shared" si="139"/>
        <v>0</v>
      </c>
      <c r="L207" s="318">
        <f t="shared" si="140"/>
        <v>0</v>
      </c>
      <c r="M207" s="318">
        <f t="shared" si="141"/>
        <v>0</v>
      </c>
      <c r="N207" s="318">
        <f t="shared" si="176"/>
        <v>0</v>
      </c>
      <c r="O207" s="318">
        <f t="shared" si="177"/>
        <v>0</v>
      </c>
      <c r="P207" s="318">
        <f t="shared" si="142"/>
        <v>0</v>
      </c>
      <c r="Q207" s="318">
        <f t="shared" si="143"/>
        <v>0</v>
      </c>
      <c r="R207" s="318">
        <f t="shared" si="144"/>
        <v>0</v>
      </c>
      <c r="S207" s="318">
        <f t="shared" si="145"/>
        <v>0</v>
      </c>
      <c r="T207" s="318">
        <f t="shared" si="178"/>
        <v>0</v>
      </c>
      <c r="U207" s="318">
        <f t="shared" si="179"/>
        <v>0</v>
      </c>
      <c r="V207" s="318">
        <f t="shared" si="146"/>
        <v>0</v>
      </c>
      <c r="W207" s="318">
        <f t="shared" si="147"/>
        <v>0</v>
      </c>
      <c r="X207" s="318">
        <f t="shared" si="148"/>
        <v>0</v>
      </c>
      <c r="Y207" s="318">
        <f t="shared" si="149"/>
        <v>0</v>
      </c>
      <c r="Z207" s="318">
        <f t="shared" si="150"/>
        <v>0</v>
      </c>
      <c r="AA207" s="318">
        <f t="shared" si="151"/>
        <v>0</v>
      </c>
      <c r="AB207" s="318">
        <f t="shared" si="152"/>
        <v>0</v>
      </c>
      <c r="AC207" s="318">
        <f t="shared" si="153"/>
        <v>0</v>
      </c>
      <c r="AD207" s="318">
        <f t="shared" si="154"/>
        <v>0</v>
      </c>
      <c r="AE207" s="318">
        <f t="shared" si="155"/>
        <v>0</v>
      </c>
      <c r="AF207" s="318">
        <f t="shared" si="180"/>
        <v>0</v>
      </c>
      <c r="AG207" s="318">
        <f t="shared" si="181"/>
        <v>0</v>
      </c>
      <c r="AH207" s="318">
        <f t="shared" si="156"/>
        <v>0</v>
      </c>
      <c r="AI207" s="318">
        <f t="shared" si="157"/>
        <v>0</v>
      </c>
      <c r="AJ207" s="318">
        <f t="shared" si="158"/>
        <v>0</v>
      </c>
      <c r="AK207" s="318">
        <f t="shared" si="159"/>
        <v>0</v>
      </c>
      <c r="AL207" s="318">
        <f t="shared" si="160"/>
        <v>0</v>
      </c>
      <c r="AM207" s="318">
        <f t="shared" si="161"/>
        <v>0</v>
      </c>
      <c r="AN207" s="318">
        <f t="shared" si="162"/>
        <v>0</v>
      </c>
      <c r="AO207" s="318">
        <f t="shared" si="163"/>
        <v>0</v>
      </c>
      <c r="AP207" s="318">
        <f t="shared" si="164"/>
        <v>0</v>
      </c>
      <c r="AQ207" s="318">
        <f t="shared" si="165"/>
        <v>0</v>
      </c>
      <c r="AR207" s="318">
        <f t="shared" si="166"/>
        <v>0</v>
      </c>
      <c r="AS207" s="318">
        <f t="shared" si="167"/>
        <v>0</v>
      </c>
      <c r="AT207" s="318">
        <f t="shared" si="168"/>
        <v>0</v>
      </c>
      <c r="AU207" s="318">
        <f t="shared" si="169"/>
        <v>0</v>
      </c>
      <c r="AV207" s="318">
        <f t="shared" si="170"/>
        <v>0</v>
      </c>
      <c r="AW207" s="318">
        <f t="shared" si="171"/>
        <v>0</v>
      </c>
      <c r="AX207" s="318">
        <f t="shared" si="172"/>
        <v>0</v>
      </c>
      <c r="AY207" s="318">
        <f t="shared" si="173"/>
        <v>0</v>
      </c>
      <c r="AZ207" s="318">
        <f t="shared" si="174"/>
        <v>0</v>
      </c>
      <c r="BA207" s="318">
        <f t="shared" si="175"/>
        <v>0</v>
      </c>
    </row>
    <row r="208" spans="1:53" s="315" customFormat="1" ht="15.75" customHeight="1">
      <c r="A208" s="63" t="str">
        <f t="array" ref="A208">IF(C208&lt;&gt;0,SUM(($C$11:C208&lt;&gt;0)*1),"")</f>
        <v/>
      </c>
      <c r="B208" s="316"/>
      <c r="C208" s="316"/>
      <c r="D208" s="316"/>
      <c r="E208" s="436"/>
      <c r="F208" s="372"/>
      <c r="G208" s="374"/>
      <c r="H208" s="374"/>
      <c r="I208" s="63" t="str">
        <f t="shared" si="137"/>
        <v/>
      </c>
      <c r="J208" s="318">
        <f t="shared" si="138"/>
        <v>0</v>
      </c>
      <c r="K208" s="318">
        <f t="shared" si="139"/>
        <v>0</v>
      </c>
      <c r="L208" s="318">
        <f t="shared" si="140"/>
        <v>0</v>
      </c>
      <c r="M208" s="318">
        <f t="shared" si="141"/>
        <v>0</v>
      </c>
      <c r="N208" s="318">
        <f t="shared" si="176"/>
        <v>0</v>
      </c>
      <c r="O208" s="318">
        <f t="shared" si="177"/>
        <v>0</v>
      </c>
      <c r="P208" s="318">
        <f t="shared" si="142"/>
        <v>0</v>
      </c>
      <c r="Q208" s="318">
        <f t="shared" si="143"/>
        <v>0</v>
      </c>
      <c r="R208" s="318">
        <f t="shared" si="144"/>
        <v>0</v>
      </c>
      <c r="S208" s="318">
        <f t="shared" si="145"/>
        <v>0</v>
      </c>
      <c r="T208" s="318">
        <f t="shared" si="178"/>
        <v>0</v>
      </c>
      <c r="U208" s="318">
        <f t="shared" si="179"/>
        <v>0</v>
      </c>
      <c r="V208" s="318">
        <f t="shared" si="146"/>
        <v>0</v>
      </c>
      <c r="W208" s="318">
        <f t="shared" si="147"/>
        <v>0</v>
      </c>
      <c r="X208" s="318">
        <f t="shared" si="148"/>
        <v>0</v>
      </c>
      <c r="Y208" s="318">
        <f t="shared" si="149"/>
        <v>0</v>
      </c>
      <c r="Z208" s="318">
        <f t="shared" si="150"/>
        <v>0</v>
      </c>
      <c r="AA208" s="318">
        <f t="shared" si="151"/>
        <v>0</v>
      </c>
      <c r="AB208" s="318">
        <f t="shared" si="152"/>
        <v>0</v>
      </c>
      <c r="AC208" s="318">
        <f t="shared" si="153"/>
        <v>0</v>
      </c>
      <c r="AD208" s="318">
        <f t="shared" si="154"/>
        <v>0</v>
      </c>
      <c r="AE208" s="318">
        <f t="shared" si="155"/>
        <v>0</v>
      </c>
      <c r="AF208" s="318">
        <f t="shared" si="180"/>
        <v>0</v>
      </c>
      <c r="AG208" s="318">
        <f t="shared" si="181"/>
        <v>0</v>
      </c>
      <c r="AH208" s="318">
        <f t="shared" si="156"/>
        <v>0</v>
      </c>
      <c r="AI208" s="318">
        <f t="shared" si="157"/>
        <v>0</v>
      </c>
      <c r="AJ208" s="318">
        <f t="shared" si="158"/>
        <v>0</v>
      </c>
      <c r="AK208" s="318">
        <f t="shared" si="159"/>
        <v>0</v>
      </c>
      <c r="AL208" s="318">
        <f t="shared" si="160"/>
        <v>0</v>
      </c>
      <c r="AM208" s="318">
        <f t="shared" si="161"/>
        <v>0</v>
      </c>
      <c r="AN208" s="318">
        <f t="shared" si="162"/>
        <v>0</v>
      </c>
      <c r="AO208" s="318">
        <f t="shared" si="163"/>
        <v>0</v>
      </c>
      <c r="AP208" s="318">
        <f t="shared" si="164"/>
        <v>0</v>
      </c>
      <c r="AQ208" s="318">
        <f t="shared" si="165"/>
        <v>0</v>
      </c>
      <c r="AR208" s="318">
        <f t="shared" si="166"/>
        <v>0</v>
      </c>
      <c r="AS208" s="318">
        <f t="shared" si="167"/>
        <v>0</v>
      </c>
      <c r="AT208" s="318">
        <f t="shared" si="168"/>
        <v>0</v>
      </c>
      <c r="AU208" s="318">
        <f t="shared" si="169"/>
        <v>0</v>
      </c>
      <c r="AV208" s="318">
        <f t="shared" si="170"/>
        <v>0</v>
      </c>
      <c r="AW208" s="318">
        <f t="shared" si="171"/>
        <v>0</v>
      </c>
      <c r="AX208" s="318">
        <f t="shared" si="172"/>
        <v>0</v>
      </c>
      <c r="AY208" s="318">
        <f t="shared" si="173"/>
        <v>0</v>
      </c>
      <c r="AZ208" s="318">
        <f t="shared" si="174"/>
        <v>0</v>
      </c>
      <c r="BA208" s="318">
        <f t="shared" si="175"/>
        <v>0</v>
      </c>
    </row>
    <row r="209" spans="1:53" s="315" customFormat="1" ht="15.75" customHeight="1">
      <c r="A209" s="63" t="str">
        <f t="array" ref="A209">IF(C209&lt;&gt;0,SUM(($C$11:C209&lt;&gt;0)*1),"")</f>
        <v/>
      </c>
      <c r="B209" s="316"/>
      <c r="C209" s="316"/>
      <c r="D209" s="316"/>
      <c r="E209" s="436"/>
      <c r="F209" s="372"/>
      <c r="G209" s="374"/>
      <c r="H209" s="374"/>
      <c r="I209" s="63" t="str">
        <f t="shared" si="137"/>
        <v/>
      </c>
      <c r="J209" s="318">
        <f t="shared" si="138"/>
        <v>0</v>
      </c>
      <c r="K209" s="318">
        <f t="shared" si="139"/>
        <v>0</v>
      </c>
      <c r="L209" s="318">
        <f t="shared" si="140"/>
        <v>0</v>
      </c>
      <c r="M209" s="318">
        <f t="shared" si="141"/>
        <v>0</v>
      </c>
      <c r="N209" s="318">
        <f t="shared" si="176"/>
        <v>0</v>
      </c>
      <c r="O209" s="318">
        <f t="shared" si="177"/>
        <v>0</v>
      </c>
      <c r="P209" s="318">
        <f t="shared" si="142"/>
        <v>0</v>
      </c>
      <c r="Q209" s="318">
        <f t="shared" si="143"/>
        <v>0</v>
      </c>
      <c r="R209" s="318">
        <f t="shared" si="144"/>
        <v>0</v>
      </c>
      <c r="S209" s="318">
        <f t="shared" si="145"/>
        <v>0</v>
      </c>
      <c r="T209" s="318">
        <f t="shared" si="178"/>
        <v>0</v>
      </c>
      <c r="U209" s="318">
        <f t="shared" si="179"/>
        <v>0</v>
      </c>
      <c r="V209" s="318">
        <f t="shared" si="146"/>
        <v>0</v>
      </c>
      <c r="W209" s="318">
        <f t="shared" si="147"/>
        <v>0</v>
      </c>
      <c r="X209" s="318">
        <f t="shared" si="148"/>
        <v>0</v>
      </c>
      <c r="Y209" s="318">
        <f t="shared" si="149"/>
        <v>0</v>
      </c>
      <c r="Z209" s="318">
        <f t="shared" si="150"/>
        <v>0</v>
      </c>
      <c r="AA209" s="318">
        <f t="shared" si="151"/>
        <v>0</v>
      </c>
      <c r="AB209" s="318">
        <f t="shared" si="152"/>
        <v>0</v>
      </c>
      <c r="AC209" s="318">
        <f t="shared" si="153"/>
        <v>0</v>
      </c>
      <c r="AD209" s="318">
        <f t="shared" si="154"/>
        <v>0</v>
      </c>
      <c r="AE209" s="318">
        <f t="shared" si="155"/>
        <v>0</v>
      </c>
      <c r="AF209" s="318">
        <f t="shared" si="180"/>
        <v>0</v>
      </c>
      <c r="AG209" s="318">
        <f t="shared" si="181"/>
        <v>0</v>
      </c>
      <c r="AH209" s="318">
        <f t="shared" si="156"/>
        <v>0</v>
      </c>
      <c r="AI209" s="318">
        <f t="shared" si="157"/>
        <v>0</v>
      </c>
      <c r="AJ209" s="318">
        <f t="shared" si="158"/>
        <v>0</v>
      </c>
      <c r="AK209" s="318">
        <f t="shared" si="159"/>
        <v>0</v>
      </c>
      <c r="AL209" s="318">
        <f t="shared" si="160"/>
        <v>0</v>
      </c>
      <c r="AM209" s="318">
        <f t="shared" si="161"/>
        <v>0</v>
      </c>
      <c r="AN209" s="318">
        <f t="shared" si="162"/>
        <v>0</v>
      </c>
      <c r="AO209" s="318">
        <f t="shared" si="163"/>
        <v>0</v>
      </c>
      <c r="AP209" s="318">
        <f t="shared" si="164"/>
        <v>0</v>
      </c>
      <c r="AQ209" s="318">
        <f t="shared" si="165"/>
        <v>0</v>
      </c>
      <c r="AR209" s="318">
        <f t="shared" si="166"/>
        <v>0</v>
      </c>
      <c r="AS209" s="318">
        <f t="shared" si="167"/>
        <v>0</v>
      </c>
      <c r="AT209" s="318">
        <f t="shared" si="168"/>
        <v>0</v>
      </c>
      <c r="AU209" s="318">
        <f t="shared" si="169"/>
        <v>0</v>
      </c>
      <c r="AV209" s="318">
        <f t="shared" si="170"/>
        <v>0</v>
      </c>
      <c r="AW209" s="318">
        <f t="shared" si="171"/>
        <v>0</v>
      </c>
      <c r="AX209" s="318">
        <f t="shared" si="172"/>
        <v>0</v>
      </c>
      <c r="AY209" s="318">
        <f t="shared" si="173"/>
        <v>0</v>
      </c>
      <c r="AZ209" s="318">
        <f t="shared" si="174"/>
        <v>0</v>
      </c>
      <c r="BA209" s="318">
        <f t="shared" si="175"/>
        <v>0</v>
      </c>
    </row>
    <row r="210" spans="1:53" s="315" customFormat="1" ht="15.75" customHeight="1">
      <c r="A210" s="63" t="str">
        <f t="array" ref="A210">IF(C210&lt;&gt;0,SUM(($C$11:C210&lt;&gt;0)*1),"")</f>
        <v/>
      </c>
      <c r="B210" s="316"/>
      <c r="C210" s="316"/>
      <c r="D210" s="316"/>
      <c r="E210" s="436"/>
      <c r="F210" s="372"/>
      <c r="G210" s="374"/>
      <c r="H210" s="374"/>
      <c r="I210" s="63" t="str">
        <f t="shared" si="137"/>
        <v/>
      </c>
      <c r="J210" s="318">
        <f t="shared" si="138"/>
        <v>0</v>
      </c>
      <c r="K210" s="318">
        <f t="shared" si="139"/>
        <v>0</v>
      </c>
      <c r="L210" s="318">
        <f t="shared" si="140"/>
        <v>0</v>
      </c>
      <c r="M210" s="318">
        <f t="shared" si="141"/>
        <v>0</v>
      </c>
      <c r="N210" s="318">
        <f t="shared" si="176"/>
        <v>0</v>
      </c>
      <c r="O210" s="318">
        <f t="shared" si="177"/>
        <v>0</v>
      </c>
      <c r="P210" s="318">
        <f t="shared" si="142"/>
        <v>0</v>
      </c>
      <c r="Q210" s="318">
        <f t="shared" si="143"/>
        <v>0</v>
      </c>
      <c r="R210" s="318">
        <f t="shared" si="144"/>
        <v>0</v>
      </c>
      <c r="S210" s="318">
        <f t="shared" si="145"/>
        <v>0</v>
      </c>
      <c r="T210" s="318">
        <f t="shared" si="178"/>
        <v>0</v>
      </c>
      <c r="U210" s="318">
        <f t="shared" si="179"/>
        <v>0</v>
      </c>
      <c r="V210" s="318">
        <f t="shared" si="146"/>
        <v>0</v>
      </c>
      <c r="W210" s="318">
        <f t="shared" si="147"/>
        <v>0</v>
      </c>
      <c r="X210" s="318">
        <f t="shared" si="148"/>
        <v>0</v>
      </c>
      <c r="Y210" s="318">
        <f t="shared" si="149"/>
        <v>0</v>
      </c>
      <c r="Z210" s="318">
        <f t="shared" si="150"/>
        <v>0</v>
      </c>
      <c r="AA210" s="318">
        <f t="shared" si="151"/>
        <v>0</v>
      </c>
      <c r="AB210" s="318">
        <f t="shared" si="152"/>
        <v>0</v>
      </c>
      <c r="AC210" s="318">
        <f t="shared" si="153"/>
        <v>0</v>
      </c>
      <c r="AD210" s="318">
        <f t="shared" si="154"/>
        <v>0</v>
      </c>
      <c r="AE210" s="318">
        <f t="shared" si="155"/>
        <v>0</v>
      </c>
      <c r="AF210" s="318">
        <f t="shared" si="180"/>
        <v>0</v>
      </c>
      <c r="AG210" s="318">
        <f t="shared" si="181"/>
        <v>0</v>
      </c>
      <c r="AH210" s="318">
        <f t="shared" si="156"/>
        <v>0</v>
      </c>
      <c r="AI210" s="318">
        <f t="shared" si="157"/>
        <v>0</v>
      </c>
      <c r="AJ210" s="318">
        <f t="shared" si="158"/>
        <v>0</v>
      </c>
      <c r="AK210" s="318">
        <f t="shared" si="159"/>
        <v>0</v>
      </c>
      <c r="AL210" s="318">
        <f t="shared" si="160"/>
        <v>0</v>
      </c>
      <c r="AM210" s="318">
        <f t="shared" si="161"/>
        <v>0</v>
      </c>
      <c r="AN210" s="318">
        <f t="shared" si="162"/>
        <v>0</v>
      </c>
      <c r="AO210" s="318">
        <f t="shared" si="163"/>
        <v>0</v>
      </c>
      <c r="AP210" s="318">
        <f t="shared" si="164"/>
        <v>0</v>
      </c>
      <c r="AQ210" s="318">
        <f t="shared" si="165"/>
        <v>0</v>
      </c>
      <c r="AR210" s="318">
        <f t="shared" si="166"/>
        <v>0</v>
      </c>
      <c r="AS210" s="318">
        <f t="shared" si="167"/>
        <v>0</v>
      </c>
      <c r="AT210" s="318">
        <f t="shared" si="168"/>
        <v>0</v>
      </c>
      <c r="AU210" s="318">
        <f t="shared" si="169"/>
        <v>0</v>
      </c>
      <c r="AV210" s="318">
        <f t="shared" si="170"/>
        <v>0</v>
      </c>
      <c r="AW210" s="318">
        <f t="shared" si="171"/>
        <v>0</v>
      </c>
      <c r="AX210" s="318">
        <f t="shared" si="172"/>
        <v>0</v>
      </c>
      <c r="AY210" s="318">
        <f t="shared" si="173"/>
        <v>0</v>
      </c>
      <c r="AZ210" s="318">
        <f t="shared" si="174"/>
        <v>0</v>
      </c>
      <c r="BA210" s="318">
        <f t="shared" si="175"/>
        <v>0</v>
      </c>
    </row>
    <row r="211" spans="1:53" s="315" customFormat="1" ht="15.75" customHeight="1">
      <c r="A211" s="63" t="str">
        <f t="array" ref="A211">IF(C211&lt;&gt;0,SUM(($C$11:C211&lt;&gt;0)*1),"")</f>
        <v/>
      </c>
      <c r="B211" s="316"/>
      <c r="C211" s="316"/>
      <c r="D211" s="316"/>
      <c r="E211" s="436"/>
      <c r="F211" s="372"/>
      <c r="G211" s="374"/>
      <c r="H211" s="374"/>
      <c r="I211" s="63" t="str">
        <f t="shared" si="137"/>
        <v/>
      </c>
      <c r="J211" s="318">
        <f t="shared" si="138"/>
        <v>0</v>
      </c>
      <c r="K211" s="318">
        <f t="shared" si="139"/>
        <v>0</v>
      </c>
      <c r="L211" s="318">
        <f t="shared" si="140"/>
        <v>0</v>
      </c>
      <c r="M211" s="318">
        <f t="shared" si="141"/>
        <v>0</v>
      </c>
      <c r="N211" s="318">
        <f t="shared" si="176"/>
        <v>0</v>
      </c>
      <c r="O211" s="318">
        <f t="shared" si="177"/>
        <v>0</v>
      </c>
      <c r="P211" s="318">
        <f t="shared" si="142"/>
        <v>0</v>
      </c>
      <c r="Q211" s="318">
        <f t="shared" si="143"/>
        <v>0</v>
      </c>
      <c r="R211" s="318">
        <f t="shared" si="144"/>
        <v>0</v>
      </c>
      <c r="S211" s="318">
        <f t="shared" si="145"/>
        <v>0</v>
      </c>
      <c r="T211" s="318">
        <f t="shared" si="178"/>
        <v>0</v>
      </c>
      <c r="U211" s="318">
        <f t="shared" si="179"/>
        <v>0</v>
      </c>
      <c r="V211" s="318">
        <f t="shared" si="146"/>
        <v>0</v>
      </c>
      <c r="W211" s="318">
        <f t="shared" si="147"/>
        <v>0</v>
      </c>
      <c r="X211" s="318">
        <f t="shared" si="148"/>
        <v>0</v>
      </c>
      <c r="Y211" s="318">
        <f t="shared" si="149"/>
        <v>0</v>
      </c>
      <c r="Z211" s="318">
        <f t="shared" si="150"/>
        <v>0</v>
      </c>
      <c r="AA211" s="318">
        <f t="shared" si="151"/>
        <v>0</v>
      </c>
      <c r="AB211" s="318">
        <f t="shared" si="152"/>
        <v>0</v>
      </c>
      <c r="AC211" s="318">
        <f t="shared" si="153"/>
        <v>0</v>
      </c>
      <c r="AD211" s="318">
        <f t="shared" si="154"/>
        <v>0</v>
      </c>
      <c r="AE211" s="318">
        <f t="shared" si="155"/>
        <v>0</v>
      </c>
      <c r="AF211" s="318">
        <f t="shared" si="180"/>
        <v>0</v>
      </c>
      <c r="AG211" s="318">
        <f t="shared" si="181"/>
        <v>0</v>
      </c>
      <c r="AH211" s="318">
        <f t="shared" si="156"/>
        <v>0</v>
      </c>
      <c r="AI211" s="318">
        <f t="shared" si="157"/>
        <v>0</v>
      </c>
      <c r="AJ211" s="318">
        <f t="shared" si="158"/>
        <v>0</v>
      </c>
      <c r="AK211" s="318">
        <f t="shared" si="159"/>
        <v>0</v>
      </c>
      <c r="AL211" s="318">
        <f t="shared" si="160"/>
        <v>0</v>
      </c>
      <c r="AM211" s="318">
        <f t="shared" si="161"/>
        <v>0</v>
      </c>
      <c r="AN211" s="318">
        <f t="shared" si="162"/>
        <v>0</v>
      </c>
      <c r="AO211" s="318">
        <f t="shared" si="163"/>
        <v>0</v>
      </c>
      <c r="AP211" s="318">
        <f t="shared" si="164"/>
        <v>0</v>
      </c>
      <c r="AQ211" s="318">
        <f t="shared" si="165"/>
        <v>0</v>
      </c>
      <c r="AR211" s="318">
        <f t="shared" si="166"/>
        <v>0</v>
      </c>
      <c r="AS211" s="318">
        <f t="shared" si="167"/>
        <v>0</v>
      </c>
      <c r="AT211" s="318">
        <f t="shared" si="168"/>
        <v>0</v>
      </c>
      <c r="AU211" s="318">
        <f t="shared" si="169"/>
        <v>0</v>
      </c>
      <c r="AV211" s="318">
        <f t="shared" si="170"/>
        <v>0</v>
      </c>
      <c r="AW211" s="318">
        <f t="shared" si="171"/>
        <v>0</v>
      </c>
      <c r="AX211" s="318">
        <f t="shared" si="172"/>
        <v>0</v>
      </c>
      <c r="AY211" s="318">
        <f t="shared" si="173"/>
        <v>0</v>
      </c>
      <c r="AZ211" s="318">
        <f t="shared" si="174"/>
        <v>0</v>
      </c>
      <c r="BA211" s="318">
        <f t="shared" si="175"/>
        <v>0</v>
      </c>
    </row>
    <row r="212" spans="1:53" s="315" customFormat="1" ht="15.75" customHeight="1">
      <c r="A212" s="63" t="str">
        <f t="array" ref="A212">IF(C212&lt;&gt;0,SUM(($C$11:C212&lt;&gt;0)*1),"")</f>
        <v/>
      </c>
      <c r="B212" s="316"/>
      <c r="C212" s="316"/>
      <c r="D212" s="316"/>
      <c r="E212" s="436"/>
      <c r="F212" s="372"/>
      <c r="G212" s="374"/>
      <c r="H212" s="374"/>
      <c r="I212" s="63" t="str">
        <f t="shared" si="137"/>
        <v/>
      </c>
      <c r="J212" s="318">
        <f t="shared" si="138"/>
        <v>0</v>
      </c>
      <c r="K212" s="318">
        <f t="shared" si="139"/>
        <v>0</v>
      </c>
      <c r="L212" s="318">
        <f t="shared" si="140"/>
        <v>0</v>
      </c>
      <c r="M212" s="318">
        <f t="shared" si="141"/>
        <v>0</v>
      </c>
      <c r="N212" s="318">
        <f t="shared" si="176"/>
        <v>0</v>
      </c>
      <c r="O212" s="318">
        <f t="shared" si="177"/>
        <v>0</v>
      </c>
      <c r="P212" s="318">
        <f t="shared" si="142"/>
        <v>0</v>
      </c>
      <c r="Q212" s="318">
        <f t="shared" si="143"/>
        <v>0</v>
      </c>
      <c r="R212" s="318">
        <f t="shared" si="144"/>
        <v>0</v>
      </c>
      <c r="S212" s="318">
        <f t="shared" si="145"/>
        <v>0</v>
      </c>
      <c r="T212" s="318">
        <f t="shared" si="178"/>
        <v>0</v>
      </c>
      <c r="U212" s="318">
        <f t="shared" si="179"/>
        <v>0</v>
      </c>
      <c r="V212" s="318">
        <f t="shared" si="146"/>
        <v>0</v>
      </c>
      <c r="W212" s="318">
        <f t="shared" si="147"/>
        <v>0</v>
      </c>
      <c r="X212" s="318">
        <f t="shared" si="148"/>
        <v>0</v>
      </c>
      <c r="Y212" s="318">
        <f t="shared" si="149"/>
        <v>0</v>
      </c>
      <c r="Z212" s="318">
        <f t="shared" si="150"/>
        <v>0</v>
      </c>
      <c r="AA212" s="318">
        <f t="shared" si="151"/>
        <v>0</v>
      </c>
      <c r="AB212" s="318">
        <f t="shared" si="152"/>
        <v>0</v>
      </c>
      <c r="AC212" s="318">
        <f t="shared" si="153"/>
        <v>0</v>
      </c>
      <c r="AD212" s="318">
        <f t="shared" si="154"/>
        <v>0</v>
      </c>
      <c r="AE212" s="318">
        <f t="shared" si="155"/>
        <v>0</v>
      </c>
      <c r="AF212" s="318">
        <f t="shared" si="180"/>
        <v>0</v>
      </c>
      <c r="AG212" s="318">
        <f t="shared" si="181"/>
        <v>0</v>
      </c>
      <c r="AH212" s="318">
        <f t="shared" si="156"/>
        <v>0</v>
      </c>
      <c r="AI212" s="318">
        <f t="shared" si="157"/>
        <v>0</v>
      </c>
      <c r="AJ212" s="318">
        <f t="shared" si="158"/>
        <v>0</v>
      </c>
      <c r="AK212" s="318">
        <f t="shared" si="159"/>
        <v>0</v>
      </c>
      <c r="AL212" s="318">
        <f t="shared" si="160"/>
        <v>0</v>
      </c>
      <c r="AM212" s="318">
        <f t="shared" si="161"/>
        <v>0</v>
      </c>
      <c r="AN212" s="318">
        <f t="shared" si="162"/>
        <v>0</v>
      </c>
      <c r="AO212" s="318">
        <f t="shared" si="163"/>
        <v>0</v>
      </c>
      <c r="AP212" s="318">
        <f t="shared" si="164"/>
        <v>0</v>
      </c>
      <c r="AQ212" s="318">
        <f t="shared" si="165"/>
        <v>0</v>
      </c>
      <c r="AR212" s="318">
        <f t="shared" si="166"/>
        <v>0</v>
      </c>
      <c r="AS212" s="318">
        <f t="shared" si="167"/>
        <v>0</v>
      </c>
      <c r="AT212" s="318">
        <f t="shared" si="168"/>
        <v>0</v>
      </c>
      <c r="AU212" s="318">
        <f t="shared" si="169"/>
        <v>0</v>
      </c>
      <c r="AV212" s="318">
        <f t="shared" si="170"/>
        <v>0</v>
      </c>
      <c r="AW212" s="318">
        <f t="shared" si="171"/>
        <v>0</v>
      </c>
      <c r="AX212" s="318">
        <f t="shared" si="172"/>
        <v>0</v>
      </c>
      <c r="AY212" s="318">
        <f t="shared" si="173"/>
        <v>0</v>
      </c>
      <c r="AZ212" s="318">
        <f t="shared" si="174"/>
        <v>0</v>
      </c>
      <c r="BA212" s="318">
        <f t="shared" si="175"/>
        <v>0</v>
      </c>
    </row>
    <row r="213" spans="1:53" s="315" customFormat="1" ht="15.75" customHeight="1">
      <c r="A213" s="63" t="str">
        <f t="array" ref="A213">IF(C213&lt;&gt;0,SUM(($C$11:C213&lt;&gt;0)*1),"")</f>
        <v/>
      </c>
      <c r="B213" s="316"/>
      <c r="C213" s="316"/>
      <c r="D213" s="316"/>
      <c r="E213" s="436"/>
      <c r="F213" s="372"/>
      <c r="G213" s="374"/>
      <c r="H213" s="374"/>
      <c r="I213" s="63" t="str">
        <f t="shared" si="137"/>
        <v/>
      </c>
      <c r="J213" s="318">
        <f t="shared" si="138"/>
        <v>0</v>
      </c>
      <c r="K213" s="318">
        <f t="shared" si="139"/>
        <v>0</v>
      </c>
      <c r="L213" s="318">
        <f t="shared" si="140"/>
        <v>0</v>
      </c>
      <c r="M213" s="318">
        <f t="shared" si="141"/>
        <v>0</v>
      </c>
      <c r="N213" s="318">
        <f t="shared" si="176"/>
        <v>0</v>
      </c>
      <c r="O213" s="318">
        <f t="shared" si="177"/>
        <v>0</v>
      </c>
      <c r="P213" s="318">
        <f t="shared" si="142"/>
        <v>0</v>
      </c>
      <c r="Q213" s="318">
        <f t="shared" si="143"/>
        <v>0</v>
      </c>
      <c r="R213" s="318">
        <f t="shared" si="144"/>
        <v>0</v>
      </c>
      <c r="S213" s="318">
        <f t="shared" si="145"/>
        <v>0</v>
      </c>
      <c r="T213" s="318">
        <f t="shared" si="178"/>
        <v>0</v>
      </c>
      <c r="U213" s="318">
        <f t="shared" si="179"/>
        <v>0</v>
      </c>
      <c r="V213" s="318">
        <f t="shared" si="146"/>
        <v>0</v>
      </c>
      <c r="W213" s="318">
        <f t="shared" si="147"/>
        <v>0</v>
      </c>
      <c r="X213" s="318">
        <f t="shared" si="148"/>
        <v>0</v>
      </c>
      <c r="Y213" s="318">
        <f t="shared" si="149"/>
        <v>0</v>
      </c>
      <c r="Z213" s="318">
        <f t="shared" si="150"/>
        <v>0</v>
      </c>
      <c r="AA213" s="318">
        <f t="shared" si="151"/>
        <v>0</v>
      </c>
      <c r="AB213" s="318">
        <f t="shared" si="152"/>
        <v>0</v>
      </c>
      <c r="AC213" s="318">
        <f t="shared" si="153"/>
        <v>0</v>
      </c>
      <c r="AD213" s="318">
        <f t="shared" si="154"/>
        <v>0</v>
      </c>
      <c r="AE213" s="318">
        <f t="shared" si="155"/>
        <v>0</v>
      </c>
      <c r="AF213" s="318">
        <f t="shared" si="180"/>
        <v>0</v>
      </c>
      <c r="AG213" s="318">
        <f t="shared" si="181"/>
        <v>0</v>
      </c>
      <c r="AH213" s="318">
        <f t="shared" si="156"/>
        <v>0</v>
      </c>
      <c r="AI213" s="318">
        <f t="shared" si="157"/>
        <v>0</v>
      </c>
      <c r="AJ213" s="318">
        <f t="shared" si="158"/>
        <v>0</v>
      </c>
      <c r="AK213" s="318">
        <f t="shared" si="159"/>
        <v>0</v>
      </c>
      <c r="AL213" s="318">
        <f t="shared" si="160"/>
        <v>0</v>
      </c>
      <c r="AM213" s="318">
        <f t="shared" si="161"/>
        <v>0</v>
      </c>
      <c r="AN213" s="318">
        <f t="shared" si="162"/>
        <v>0</v>
      </c>
      <c r="AO213" s="318">
        <f t="shared" si="163"/>
        <v>0</v>
      </c>
      <c r="AP213" s="318">
        <f t="shared" si="164"/>
        <v>0</v>
      </c>
      <c r="AQ213" s="318">
        <f t="shared" si="165"/>
        <v>0</v>
      </c>
      <c r="AR213" s="318">
        <f t="shared" si="166"/>
        <v>0</v>
      </c>
      <c r="AS213" s="318">
        <f t="shared" si="167"/>
        <v>0</v>
      </c>
      <c r="AT213" s="318">
        <f t="shared" si="168"/>
        <v>0</v>
      </c>
      <c r="AU213" s="318">
        <f t="shared" si="169"/>
        <v>0</v>
      </c>
      <c r="AV213" s="318">
        <f t="shared" si="170"/>
        <v>0</v>
      </c>
      <c r="AW213" s="318">
        <f t="shared" si="171"/>
        <v>0</v>
      </c>
      <c r="AX213" s="318">
        <f t="shared" si="172"/>
        <v>0</v>
      </c>
      <c r="AY213" s="318">
        <f t="shared" si="173"/>
        <v>0</v>
      </c>
      <c r="AZ213" s="318">
        <f t="shared" si="174"/>
        <v>0</v>
      </c>
      <c r="BA213" s="318">
        <f t="shared" si="175"/>
        <v>0</v>
      </c>
    </row>
    <row r="214" spans="1:53" s="315" customFormat="1" ht="15.75" customHeight="1">
      <c r="A214" s="63" t="str">
        <f t="array" ref="A214">IF(C214&lt;&gt;0,SUM(($C$11:C214&lt;&gt;0)*1),"")</f>
        <v/>
      </c>
      <c r="B214" s="316"/>
      <c r="C214" s="316"/>
      <c r="D214" s="316"/>
      <c r="E214" s="436"/>
      <c r="F214" s="372"/>
      <c r="G214" s="374"/>
      <c r="H214" s="374"/>
      <c r="I214" s="63" t="str">
        <f t="shared" si="137"/>
        <v/>
      </c>
      <c r="J214" s="318">
        <f t="shared" si="138"/>
        <v>0</v>
      </c>
      <c r="K214" s="318">
        <f t="shared" si="139"/>
        <v>0</v>
      </c>
      <c r="L214" s="318">
        <f t="shared" si="140"/>
        <v>0</v>
      </c>
      <c r="M214" s="318">
        <f t="shared" si="141"/>
        <v>0</v>
      </c>
      <c r="N214" s="318">
        <f t="shared" si="176"/>
        <v>0</v>
      </c>
      <c r="O214" s="318">
        <f t="shared" si="177"/>
        <v>0</v>
      </c>
      <c r="P214" s="318">
        <f t="shared" si="142"/>
        <v>0</v>
      </c>
      <c r="Q214" s="318">
        <f t="shared" si="143"/>
        <v>0</v>
      </c>
      <c r="R214" s="318">
        <f t="shared" si="144"/>
        <v>0</v>
      </c>
      <c r="S214" s="318">
        <f t="shared" si="145"/>
        <v>0</v>
      </c>
      <c r="T214" s="318">
        <f t="shared" si="178"/>
        <v>0</v>
      </c>
      <c r="U214" s="318">
        <f t="shared" si="179"/>
        <v>0</v>
      </c>
      <c r="V214" s="318">
        <f t="shared" si="146"/>
        <v>0</v>
      </c>
      <c r="W214" s="318">
        <f t="shared" si="147"/>
        <v>0</v>
      </c>
      <c r="X214" s="318">
        <f t="shared" si="148"/>
        <v>0</v>
      </c>
      <c r="Y214" s="318">
        <f t="shared" si="149"/>
        <v>0</v>
      </c>
      <c r="Z214" s="318">
        <f t="shared" si="150"/>
        <v>0</v>
      </c>
      <c r="AA214" s="318">
        <f t="shared" si="151"/>
        <v>0</v>
      </c>
      <c r="AB214" s="318">
        <f t="shared" si="152"/>
        <v>0</v>
      </c>
      <c r="AC214" s="318">
        <f t="shared" si="153"/>
        <v>0</v>
      </c>
      <c r="AD214" s="318">
        <f t="shared" si="154"/>
        <v>0</v>
      </c>
      <c r="AE214" s="318">
        <f t="shared" si="155"/>
        <v>0</v>
      </c>
      <c r="AF214" s="318">
        <f t="shared" si="180"/>
        <v>0</v>
      </c>
      <c r="AG214" s="318">
        <f t="shared" si="181"/>
        <v>0</v>
      </c>
      <c r="AH214" s="318">
        <f t="shared" si="156"/>
        <v>0</v>
      </c>
      <c r="AI214" s="318">
        <f t="shared" si="157"/>
        <v>0</v>
      </c>
      <c r="AJ214" s="318">
        <f t="shared" si="158"/>
        <v>0</v>
      </c>
      <c r="AK214" s="318">
        <f t="shared" si="159"/>
        <v>0</v>
      </c>
      <c r="AL214" s="318">
        <f t="shared" si="160"/>
        <v>0</v>
      </c>
      <c r="AM214" s="318">
        <f t="shared" si="161"/>
        <v>0</v>
      </c>
      <c r="AN214" s="318">
        <f t="shared" si="162"/>
        <v>0</v>
      </c>
      <c r="AO214" s="318">
        <f t="shared" si="163"/>
        <v>0</v>
      </c>
      <c r="AP214" s="318">
        <f t="shared" si="164"/>
        <v>0</v>
      </c>
      <c r="AQ214" s="318">
        <f t="shared" si="165"/>
        <v>0</v>
      </c>
      <c r="AR214" s="318">
        <f t="shared" si="166"/>
        <v>0</v>
      </c>
      <c r="AS214" s="318">
        <f t="shared" si="167"/>
        <v>0</v>
      </c>
      <c r="AT214" s="318">
        <f t="shared" si="168"/>
        <v>0</v>
      </c>
      <c r="AU214" s="318">
        <f t="shared" si="169"/>
        <v>0</v>
      </c>
      <c r="AV214" s="318">
        <f t="shared" si="170"/>
        <v>0</v>
      </c>
      <c r="AW214" s="318">
        <f t="shared" si="171"/>
        <v>0</v>
      </c>
      <c r="AX214" s="318">
        <f t="shared" si="172"/>
        <v>0</v>
      </c>
      <c r="AY214" s="318">
        <f t="shared" si="173"/>
        <v>0</v>
      </c>
      <c r="AZ214" s="318">
        <f t="shared" si="174"/>
        <v>0</v>
      </c>
      <c r="BA214" s="318">
        <f t="shared" si="175"/>
        <v>0</v>
      </c>
    </row>
    <row r="215" spans="1:53" s="315" customFormat="1" ht="15.75" customHeight="1">
      <c r="A215" s="63" t="str">
        <f t="array" ref="A215">IF(C215&lt;&gt;0,SUM(($C$11:C215&lt;&gt;0)*1),"")</f>
        <v/>
      </c>
      <c r="B215" s="316"/>
      <c r="C215" s="316"/>
      <c r="D215" s="316"/>
      <c r="E215" s="436"/>
      <c r="F215" s="372"/>
      <c r="G215" s="374"/>
      <c r="H215" s="374"/>
      <c r="I215" s="63" t="str">
        <f t="shared" si="137"/>
        <v/>
      </c>
      <c r="J215" s="318">
        <f t="shared" si="138"/>
        <v>0</v>
      </c>
      <c r="K215" s="318">
        <f t="shared" si="139"/>
        <v>0</v>
      </c>
      <c r="L215" s="318">
        <f t="shared" si="140"/>
        <v>0</v>
      </c>
      <c r="M215" s="318">
        <f t="shared" si="141"/>
        <v>0</v>
      </c>
      <c r="N215" s="318">
        <f t="shared" si="176"/>
        <v>0</v>
      </c>
      <c r="O215" s="318">
        <f t="shared" si="177"/>
        <v>0</v>
      </c>
      <c r="P215" s="318">
        <f t="shared" si="142"/>
        <v>0</v>
      </c>
      <c r="Q215" s="318">
        <f t="shared" si="143"/>
        <v>0</v>
      </c>
      <c r="R215" s="318">
        <f t="shared" si="144"/>
        <v>0</v>
      </c>
      <c r="S215" s="318">
        <f t="shared" si="145"/>
        <v>0</v>
      </c>
      <c r="T215" s="318">
        <f t="shared" si="178"/>
        <v>0</v>
      </c>
      <c r="U215" s="318">
        <f t="shared" si="179"/>
        <v>0</v>
      </c>
      <c r="V215" s="318">
        <f t="shared" si="146"/>
        <v>0</v>
      </c>
      <c r="W215" s="318">
        <f t="shared" si="147"/>
        <v>0</v>
      </c>
      <c r="X215" s="318">
        <f t="shared" si="148"/>
        <v>0</v>
      </c>
      <c r="Y215" s="318">
        <f t="shared" si="149"/>
        <v>0</v>
      </c>
      <c r="Z215" s="318">
        <f t="shared" si="150"/>
        <v>0</v>
      </c>
      <c r="AA215" s="318">
        <f t="shared" si="151"/>
        <v>0</v>
      </c>
      <c r="AB215" s="318">
        <f t="shared" si="152"/>
        <v>0</v>
      </c>
      <c r="AC215" s="318">
        <f t="shared" si="153"/>
        <v>0</v>
      </c>
      <c r="AD215" s="318">
        <f t="shared" si="154"/>
        <v>0</v>
      </c>
      <c r="AE215" s="318">
        <f t="shared" si="155"/>
        <v>0</v>
      </c>
      <c r="AF215" s="318">
        <f t="shared" si="180"/>
        <v>0</v>
      </c>
      <c r="AG215" s="318">
        <f t="shared" si="181"/>
        <v>0</v>
      </c>
      <c r="AH215" s="318">
        <f t="shared" si="156"/>
        <v>0</v>
      </c>
      <c r="AI215" s="318">
        <f t="shared" si="157"/>
        <v>0</v>
      </c>
      <c r="AJ215" s="318">
        <f t="shared" si="158"/>
        <v>0</v>
      </c>
      <c r="AK215" s="318">
        <f t="shared" si="159"/>
        <v>0</v>
      </c>
      <c r="AL215" s="318">
        <f t="shared" si="160"/>
        <v>0</v>
      </c>
      <c r="AM215" s="318">
        <f t="shared" si="161"/>
        <v>0</v>
      </c>
      <c r="AN215" s="318">
        <f t="shared" si="162"/>
        <v>0</v>
      </c>
      <c r="AO215" s="318">
        <f t="shared" si="163"/>
        <v>0</v>
      </c>
      <c r="AP215" s="318">
        <f t="shared" si="164"/>
        <v>0</v>
      </c>
      <c r="AQ215" s="318">
        <f t="shared" si="165"/>
        <v>0</v>
      </c>
      <c r="AR215" s="318">
        <f t="shared" si="166"/>
        <v>0</v>
      </c>
      <c r="AS215" s="318">
        <f t="shared" si="167"/>
        <v>0</v>
      </c>
      <c r="AT215" s="318">
        <f t="shared" si="168"/>
        <v>0</v>
      </c>
      <c r="AU215" s="318">
        <f t="shared" si="169"/>
        <v>0</v>
      </c>
      <c r="AV215" s="318">
        <f t="shared" si="170"/>
        <v>0</v>
      </c>
      <c r="AW215" s="318">
        <f t="shared" si="171"/>
        <v>0</v>
      </c>
      <c r="AX215" s="318">
        <f t="shared" si="172"/>
        <v>0</v>
      </c>
      <c r="AY215" s="318">
        <f t="shared" si="173"/>
        <v>0</v>
      </c>
      <c r="AZ215" s="318">
        <f t="shared" si="174"/>
        <v>0</v>
      </c>
      <c r="BA215" s="318">
        <f t="shared" si="175"/>
        <v>0</v>
      </c>
    </row>
    <row r="216" spans="1:53" s="315" customFormat="1" ht="15.75" customHeight="1">
      <c r="A216" s="63" t="str">
        <f t="array" ref="A216">IF(C216&lt;&gt;0,SUM(($C$11:C216&lt;&gt;0)*1),"")</f>
        <v/>
      </c>
      <c r="B216" s="316"/>
      <c r="C216" s="316"/>
      <c r="D216" s="316"/>
      <c r="E216" s="436"/>
      <c r="F216" s="372"/>
      <c r="G216" s="374"/>
      <c r="H216" s="374"/>
      <c r="I216" s="63" t="str">
        <f t="shared" si="137"/>
        <v/>
      </c>
      <c r="J216" s="318">
        <f t="shared" si="138"/>
        <v>0</v>
      </c>
      <c r="K216" s="318">
        <f t="shared" si="139"/>
        <v>0</v>
      </c>
      <c r="L216" s="318">
        <f t="shared" si="140"/>
        <v>0</v>
      </c>
      <c r="M216" s="318">
        <f t="shared" si="141"/>
        <v>0</v>
      </c>
      <c r="N216" s="318">
        <f t="shared" si="176"/>
        <v>0</v>
      </c>
      <c r="O216" s="318">
        <f t="shared" si="177"/>
        <v>0</v>
      </c>
      <c r="P216" s="318">
        <f t="shared" si="142"/>
        <v>0</v>
      </c>
      <c r="Q216" s="318">
        <f t="shared" si="143"/>
        <v>0</v>
      </c>
      <c r="R216" s="318">
        <f t="shared" si="144"/>
        <v>0</v>
      </c>
      <c r="S216" s="318">
        <f t="shared" si="145"/>
        <v>0</v>
      </c>
      <c r="T216" s="318">
        <f t="shared" si="178"/>
        <v>0</v>
      </c>
      <c r="U216" s="318">
        <f t="shared" si="179"/>
        <v>0</v>
      </c>
      <c r="V216" s="318">
        <f t="shared" si="146"/>
        <v>0</v>
      </c>
      <c r="W216" s="318">
        <f t="shared" si="147"/>
        <v>0</v>
      </c>
      <c r="X216" s="318">
        <f t="shared" si="148"/>
        <v>0</v>
      </c>
      <c r="Y216" s="318">
        <f t="shared" si="149"/>
        <v>0</v>
      </c>
      <c r="Z216" s="318">
        <f t="shared" si="150"/>
        <v>0</v>
      </c>
      <c r="AA216" s="318">
        <f t="shared" si="151"/>
        <v>0</v>
      </c>
      <c r="AB216" s="318">
        <f t="shared" si="152"/>
        <v>0</v>
      </c>
      <c r="AC216" s="318">
        <f t="shared" si="153"/>
        <v>0</v>
      </c>
      <c r="AD216" s="318">
        <f t="shared" si="154"/>
        <v>0</v>
      </c>
      <c r="AE216" s="318">
        <f t="shared" si="155"/>
        <v>0</v>
      </c>
      <c r="AF216" s="318">
        <f t="shared" si="180"/>
        <v>0</v>
      </c>
      <c r="AG216" s="318">
        <f t="shared" si="181"/>
        <v>0</v>
      </c>
      <c r="AH216" s="318">
        <f t="shared" si="156"/>
        <v>0</v>
      </c>
      <c r="AI216" s="318">
        <f t="shared" si="157"/>
        <v>0</v>
      </c>
      <c r="AJ216" s="318">
        <f t="shared" si="158"/>
        <v>0</v>
      </c>
      <c r="AK216" s="318">
        <f t="shared" si="159"/>
        <v>0</v>
      </c>
      <c r="AL216" s="318">
        <f t="shared" si="160"/>
        <v>0</v>
      </c>
      <c r="AM216" s="318">
        <f t="shared" si="161"/>
        <v>0</v>
      </c>
      <c r="AN216" s="318">
        <f t="shared" si="162"/>
        <v>0</v>
      </c>
      <c r="AO216" s="318">
        <f t="shared" si="163"/>
        <v>0</v>
      </c>
      <c r="AP216" s="318">
        <f t="shared" si="164"/>
        <v>0</v>
      </c>
      <c r="AQ216" s="318">
        <f t="shared" si="165"/>
        <v>0</v>
      </c>
      <c r="AR216" s="318">
        <f t="shared" si="166"/>
        <v>0</v>
      </c>
      <c r="AS216" s="318">
        <f t="shared" si="167"/>
        <v>0</v>
      </c>
      <c r="AT216" s="318">
        <f t="shared" si="168"/>
        <v>0</v>
      </c>
      <c r="AU216" s="318">
        <f t="shared" si="169"/>
        <v>0</v>
      </c>
      <c r="AV216" s="318">
        <f t="shared" si="170"/>
        <v>0</v>
      </c>
      <c r="AW216" s="318">
        <f t="shared" si="171"/>
        <v>0</v>
      </c>
      <c r="AX216" s="318">
        <f t="shared" si="172"/>
        <v>0</v>
      </c>
      <c r="AY216" s="318">
        <f t="shared" si="173"/>
        <v>0</v>
      </c>
      <c r="AZ216" s="318">
        <f t="shared" si="174"/>
        <v>0</v>
      </c>
      <c r="BA216" s="318">
        <f t="shared" si="175"/>
        <v>0</v>
      </c>
    </row>
    <row r="217" spans="1:53" s="315" customFormat="1" ht="15.75" customHeight="1">
      <c r="A217" s="63" t="str">
        <f t="array" ref="A217">IF(C217&lt;&gt;0,SUM(($C$11:C217&lt;&gt;0)*1),"")</f>
        <v/>
      </c>
      <c r="B217" s="316"/>
      <c r="C217" s="316"/>
      <c r="D217" s="316"/>
      <c r="E217" s="436"/>
      <c r="F217" s="372"/>
      <c r="G217" s="374"/>
      <c r="H217" s="374"/>
      <c r="I217" s="63" t="str">
        <f t="shared" si="137"/>
        <v/>
      </c>
      <c r="J217" s="318">
        <f t="shared" si="138"/>
        <v>0</v>
      </c>
      <c r="K217" s="318">
        <f t="shared" si="139"/>
        <v>0</v>
      </c>
      <c r="L217" s="318">
        <f t="shared" si="140"/>
        <v>0</v>
      </c>
      <c r="M217" s="318">
        <f t="shared" si="141"/>
        <v>0</v>
      </c>
      <c r="N217" s="318">
        <f t="shared" si="176"/>
        <v>0</v>
      </c>
      <c r="O217" s="318">
        <f t="shared" si="177"/>
        <v>0</v>
      </c>
      <c r="P217" s="318">
        <f t="shared" si="142"/>
        <v>0</v>
      </c>
      <c r="Q217" s="318">
        <f t="shared" si="143"/>
        <v>0</v>
      </c>
      <c r="R217" s="318">
        <f t="shared" si="144"/>
        <v>0</v>
      </c>
      <c r="S217" s="318">
        <f t="shared" si="145"/>
        <v>0</v>
      </c>
      <c r="T217" s="318">
        <f t="shared" si="178"/>
        <v>0</v>
      </c>
      <c r="U217" s="318">
        <f t="shared" si="179"/>
        <v>0</v>
      </c>
      <c r="V217" s="318">
        <f t="shared" si="146"/>
        <v>0</v>
      </c>
      <c r="W217" s="318">
        <f t="shared" si="147"/>
        <v>0</v>
      </c>
      <c r="X217" s="318">
        <f t="shared" si="148"/>
        <v>0</v>
      </c>
      <c r="Y217" s="318">
        <f t="shared" si="149"/>
        <v>0</v>
      </c>
      <c r="Z217" s="318">
        <f t="shared" si="150"/>
        <v>0</v>
      </c>
      <c r="AA217" s="318">
        <f t="shared" si="151"/>
        <v>0</v>
      </c>
      <c r="AB217" s="318">
        <f t="shared" si="152"/>
        <v>0</v>
      </c>
      <c r="AC217" s="318">
        <f t="shared" si="153"/>
        <v>0</v>
      </c>
      <c r="AD217" s="318">
        <f t="shared" si="154"/>
        <v>0</v>
      </c>
      <c r="AE217" s="318">
        <f t="shared" si="155"/>
        <v>0</v>
      </c>
      <c r="AF217" s="318">
        <f t="shared" si="180"/>
        <v>0</v>
      </c>
      <c r="AG217" s="318">
        <f t="shared" si="181"/>
        <v>0</v>
      </c>
      <c r="AH217" s="318">
        <f t="shared" si="156"/>
        <v>0</v>
      </c>
      <c r="AI217" s="318">
        <f t="shared" si="157"/>
        <v>0</v>
      </c>
      <c r="AJ217" s="318">
        <f t="shared" si="158"/>
        <v>0</v>
      </c>
      <c r="AK217" s="318">
        <f t="shared" si="159"/>
        <v>0</v>
      </c>
      <c r="AL217" s="318">
        <f t="shared" si="160"/>
        <v>0</v>
      </c>
      <c r="AM217" s="318">
        <f t="shared" si="161"/>
        <v>0</v>
      </c>
      <c r="AN217" s="318">
        <f t="shared" si="162"/>
        <v>0</v>
      </c>
      <c r="AO217" s="318">
        <f t="shared" si="163"/>
        <v>0</v>
      </c>
      <c r="AP217" s="318">
        <f t="shared" si="164"/>
        <v>0</v>
      </c>
      <c r="AQ217" s="318">
        <f t="shared" si="165"/>
        <v>0</v>
      </c>
      <c r="AR217" s="318">
        <f t="shared" si="166"/>
        <v>0</v>
      </c>
      <c r="AS217" s="318">
        <f t="shared" si="167"/>
        <v>0</v>
      </c>
      <c r="AT217" s="318">
        <f t="shared" si="168"/>
        <v>0</v>
      </c>
      <c r="AU217" s="318">
        <f t="shared" si="169"/>
        <v>0</v>
      </c>
      <c r="AV217" s="318">
        <f t="shared" si="170"/>
        <v>0</v>
      </c>
      <c r="AW217" s="318">
        <f t="shared" si="171"/>
        <v>0</v>
      </c>
      <c r="AX217" s="318">
        <f t="shared" si="172"/>
        <v>0</v>
      </c>
      <c r="AY217" s="318">
        <f t="shared" si="173"/>
        <v>0</v>
      </c>
      <c r="AZ217" s="318">
        <f t="shared" si="174"/>
        <v>0</v>
      </c>
      <c r="BA217" s="318">
        <f t="shared" si="175"/>
        <v>0</v>
      </c>
    </row>
    <row r="218" spans="1:53" s="315" customFormat="1" ht="15.75" customHeight="1">
      <c r="A218" s="63" t="str">
        <f t="array" ref="A218">IF(C218&lt;&gt;0,SUM(($C$11:C218&lt;&gt;0)*1),"")</f>
        <v/>
      </c>
      <c r="B218" s="316"/>
      <c r="C218" s="316"/>
      <c r="D218" s="316"/>
      <c r="E218" s="436"/>
      <c r="F218" s="372"/>
      <c r="G218" s="374"/>
      <c r="H218" s="374"/>
      <c r="I218" s="63" t="str">
        <f t="shared" si="137"/>
        <v/>
      </c>
      <c r="J218" s="318">
        <f t="shared" si="138"/>
        <v>0</v>
      </c>
      <c r="K218" s="318">
        <f t="shared" si="139"/>
        <v>0</v>
      </c>
      <c r="L218" s="318">
        <f t="shared" si="140"/>
        <v>0</v>
      </c>
      <c r="M218" s="318">
        <f t="shared" si="141"/>
        <v>0</v>
      </c>
      <c r="N218" s="318">
        <f t="shared" si="176"/>
        <v>0</v>
      </c>
      <c r="O218" s="318">
        <f t="shared" si="177"/>
        <v>0</v>
      </c>
      <c r="P218" s="318">
        <f t="shared" si="142"/>
        <v>0</v>
      </c>
      <c r="Q218" s="318">
        <f t="shared" si="143"/>
        <v>0</v>
      </c>
      <c r="R218" s="318">
        <f t="shared" si="144"/>
        <v>0</v>
      </c>
      <c r="S218" s="318">
        <f t="shared" si="145"/>
        <v>0</v>
      </c>
      <c r="T218" s="318">
        <f t="shared" si="178"/>
        <v>0</v>
      </c>
      <c r="U218" s="318">
        <f t="shared" si="179"/>
        <v>0</v>
      </c>
      <c r="V218" s="318">
        <f t="shared" si="146"/>
        <v>0</v>
      </c>
      <c r="W218" s="318">
        <f t="shared" si="147"/>
        <v>0</v>
      </c>
      <c r="X218" s="318">
        <f t="shared" si="148"/>
        <v>0</v>
      </c>
      <c r="Y218" s="318">
        <f t="shared" si="149"/>
        <v>0</v>
      </c>
      <c r="Z218" s="318">
        <f t="shared" si="150"/>
        <v>0</v>
      </c>
      <c r="AA218" s="318">
        <f t="shared" si="151"/>
        <v>0</v>
      </c>
      <c r="AB218" s="318">
        <f t="shared" si="152"/>
        <v>0</v>
      </c>
      <c r="AC218" s="318">
        <f t="shared" si="153"/>
        <v>0</v>
      </c>
      <c r="AD218" s="318">
        <f t="shared" si="154"/>
        <v>0</v>
      </c>
      <c r="AE218" s="318">
        <f t="shared" si="155"/>
        <v>0</v>
      </c>
      <c r="AF218" s="318">
        <f t="shared" si="180"/>
        <v>0</v>
      </c>
      <c r="AG218" s="318">
        <f t="shared" si="181"/>
        <v>0</v>
      </c>
      <c r="AH218" s="318">
        <f t="shared" si="156"/>
        <v>0</v>
      </c>
      <c r="AI218" s="318">
        <f t="shared" si="157"/>
        <v>0</v>
      </c>
      <c r="AJ218" s="318">
        <f t="shared" si="158"/>
        <v>0</v>
      </c>
      <c r="AK218" s="318">
        <f t="shared" si="159"/>
        <v>0</v>
      </c>
      <c r="AL218" s="318">
        <f t="shared" si="160"/>
        <v>0</v>
      </c>
      <c r="AM218" s="318">
        <f t="shared" si="161"/>
        <v>0</v>
      </c>
      <c r="AN218" s="318">
        <f t="shared" si="162"/>
        <v>0</v>
      </c>
      <c r="AO218" s="318">
        <f t="shared" si="163"/>
        <v>0</v>
      </c>
      <c r="AP218" s="318">
        <f t="shared" si="164"/>
        <v>0</v>
      </c>
      <c r="AQ218" s="318">
        <f t="shared" si="165"/>
        <v>0</v>
      </c>
      <c r="AR218" s="318">
        <f t="shared" si="166"/>
        <v>0</v>
      </c>
      <c r="AS218" s="318">
        <f t="shared" si="167"/>
        <v>0</v>
      </c>
      <c r="AT218" s="318">
        <f t="shared" si="168"/>
        <v>0</v>
      </c>
      <c r="AU218" s="318">
        <f t="shared" si="169"/>
        <v>0</v>
      </c>
      <c r="AV218" s="318">
        <f t="shared" si="170"/>
        <v>0</v>
      </c>
      <c r="AW218" s="318">
        <f t="shared" si="171"/>
        <v>0</v>
      </c>
      <c r="AX218" s="318">
        <f t="shared" si="172"/>
        <v>0</v>
      </c>
      <c r="AY218" s="318">
        <f t="shared" si="173"/>
        <v>0</v>
      </c>
      <c r="AZ218" s="318">
        <f t="shared" si="174"/>
        <v>0</v>
      </c>
      <c r="BA218" s="318">
        <f t="shared" si="175"/>
        <v>0</v>
      </c>
    </row>
    <row r="219" spans="1:53" s="315" customFormat="1" ht="15.75" customHeight="1">
      <c r="A219" s="63" t="str">
        <f t="array" ref="A219">IF(C219&lt;&gt;0,SUM(($C$11:C219&lt;&gt;0)*1),"")</f>
        <v/>
      </c>
      <c r="B219" s="316"/>
      <c r="C219" s="316"/>
      <c r="D219" s="316"/>
      <c r="E219" s="436"/>
      <c r="F219" s="372"/>
      <c r="G219" s="374"/>
      <c r="H219" s="374"/>
      <c r="I219" s="63" t="str">
        <f t="shared" si="137"/>
        <v/>
      </c>
      <c r="J219" s="318">
        <f t="shared" si="138"/>
        <v>0</v>
      </c>
      <c r="K219" s="318">
        <f t="shared" si="139"/>
        <v>0</v>
      </c>
      <c r="L219" s="318">
        <f t="shared" si="140"/>
        <v>0</v>
      </c>
      <c r="M219" s="318">
        <f t="shared" si="141"/>
        <v>0</v>
      </c>
      <c r="N219" s="318">
        <f t="shared" si="176"/>
        <v>0</v>
      </c>
      <c r="O219" s="318">
        <f t="shared" si="177"/>
        <v>0</v>
      </c>
      <c r="P219" s="318">
        <f t="shared" si="142"/>
        <v>0</v>
      </c>
      <c r="Q219" s="318">
        <f t="shared" si="143"/>
        <v>0</v>
      </c>
      <c r="R219" s="318">
        <f t="shared" si="144"/>
        <v>0</v>
      </c>
      <c r="S219" s="318">
        <f t="shared" si="145"/>
        <v>0</v>
      </c>
      <c r="T219" s="318">
        <f t="shared" si="178"/>
        <v>0</v>
      </c>
      <c r="U219" s="318">
        <f t="shared" si="179"/>
        <v>0</v>
      </c>
      <c r="V219" s="318">
        <f t="shared" si="146"/>
        <v>0</v>
      </c>
      <c r="W219" s="318">
        <f t="shared" si="147"/>
        <v>0</v>
      </c>
      <c r="X219" s="318">
        <f t="shared" si="148"/>
        <v>0</v>
      </c>
      <c r="Y219" s="318">
        <f t="shared" si="149"/>
        <v>0</v>
      </c>
      <c r="Z219" s="318">
        <f t="shared" si="150"/>
        <v>0</v>
      </c>
      <c r="AA219" s="318">
        <f t="shared" si="151"/>
        <v>0</v>
      </c>
      <c r="AB219" s="318">
        <f t="shared" si="152"/>
        <v>0</v>
      </c>
      <c r="AC219" s="318">
        <f t="shared" si="153"/>
        <v>0</v>
      </c>
      <c r="AD219" s="318">
        <f t="shared" si="154"/>
        <v>0</v>
      </c>
      <c r="AE219" s="318">
        <f t="shared" si="155"/>
        <v>0</v>
      </c>
      <c r="AF219" s="318">
        <f t="shared" si="180"/>
        <v>0</v>
      </c>
      <c r="AG219" s="318">
        <f t="shared" si="181"/>
        <v>0</v>
      </c>
      <c r="AH219" s="318">
        <f t="shared" si="156"/>
        <v>0</v>
      </c>
      <c r="AI219" s="318">
        <f t="shared" si="157"/>
        <v>0</v>
      </c>
      <c r="AJ219" s="318">
        <f t="shared" si="158"/>
        <v>0</v>
      </c>
      <c r="AK219" s="318">
        <f t="shared" si="159"/>
        <v>0</v>
      </c>
      <c r="AL219" s="318">
        <f t="shared" si="160"/>
        <v>0</v>
      </c>
      <c r="AM219" s="318">
        <f t="shared" si="161"/>
        <v>0</v>
      </c>
      <c r="AN219" s="318">
        <f t="shared" si="162"/>
        <v>0</v>
      </c>
      <c r="AO219" s="318">
        <f t="shared" si="163"/>
        <v>0</v>
      </c>
      <c r="AP219" s="318">
        <f t="shared" si="164"/>
        <v>0</v>
      </c>
      <c r="AQ219" s="318">
        <f t="shared" si="165"/>
        <v>0</v>
      </c>
      <c r="AR219" s="318">
        <f t="shared" si="166"/>
        <v>0</v>
      </c>
      <c r="AS219" s="318">
        <f t="shared" si="167"/>
        <v>0</v>
      </c>
      <c r="AT219" s="318">
        <f t="shared" si="168"/>
        <v>0</v>
      </c>
      <c r="AU219" s="318">
        <f t="shared" si="169"/>
        <v>0</v>
      </c>
      <c r="AV219" s="318">
        <f t="shared" si="170"/>
        <v>0</v>
      </c>
      <c r="AW219" s="318">
        <f t="shared" si="171"/>
        <v>0</v>
      </c>
      <c r="AX219" s="318">
        <f t="shared" si="172"/>
        <v>0</v>
      </c>
      <c r="AY219" s="318">
        <f t="shared" si="173"/>
        <v>0</v>
      </c>
      <c r="AZ219" s="318">
        <f t="shared" si="174"/>
        <v>0</v>
      </c>
      <c r="BA219" s="318">
        <f t="shared" si="175"/>
        <v>0</v>
      </c>
    </row>
    <row r="220" spans="1:53" s="315" customFormat="1" ht="15.75" customHeight="1">
      <c r="A220" s="63" t="str">
        <f t="array" ref="A220">IF(C220&lt;&gt;0,SUM(($C$11:C220&lt;&gt;0)*1),"")</f>
        <v/>
      </c>
      <c r="B220" s="316"/>
      <c r="C220" s="316"/>
      <c r="D220" s="316"/>
      <c r="E220" s="436"/>
      <c r="F220" s="372"/>
      <c r="G220" s="374"/>
      <c r="H220" s="374"/>
      <c r="I220" s="63" t="str">
        <f t="shared" si="137"/>
        <v/>
      </c>
      <c r="J220" s="318">
        <f t="shared" si="138"/>
        <v>0</v>
      </c>
      <c r="K220" s="318">
        <f t="shared" si="139"/>
        <v>0</v>
      </c>
      <c r="L220" s="318">
        <f t="shared" si="140"/>
        <v>0</v>
      </c>
      <c r="M220" s="318">
        <f t="shared" si="141"/>
        <v>0</v>
      </c>
      <c r="N220" s="318">
        <f t="shared" si="176"/>
        <v>0</v>
      </c>
      <c r="O220" s="318">
        <f t="shared" si="177"/>
        <v>0</v>
      </c>
      <c r="P220" s="318">
        <f t="shared" si="142"/>
        <v>0</v>
      </c>
      <c r="Q220" s="318">
        <f t="shared" si="143"/>
        <v>0</v>
      </c>
      <c r="R220" s="318">
        <f t="shared" si="144"/>
        <v>0</v>
      </c>
      <c r="S220" s="318">
        <f t="shared" si="145"/>
        <v>0</v>
      </c>
      <c r="T220" s="318">
        <f t="shared" si="178"/>
        <v>0</v>
      </c>
      <c r="U220" s="318">
        <f t="shared" si="179"/>
        <v>0</v>
      </c>
      <c r="V220" s="318">
        <f t="shared" si="146"/>
        <v>0</v>
      </c>
      <c r="W220" s="318">
        <f t="shared" si="147"/>
        <v>0</v>
      </c>
      <c r="X220" s="318">
        <f t="shared" si="148"/>
        <v>0</v>
      </c>
      <c r="Y220" s="318">
        <f t="shared" si="149"/>
        <v>0</v>
      </c>
      <c r="Z220" s="318">
        <f t="shared" si="150"/>
        <v>0</v>
      </c>
      <c r="AA220" s="318">
        <f t="shared" si="151"/>
        <v>0</v>
      </c>
      <c r="AB220" s="318">
        <f t="shared" si="152"/>
        <v>0</v>
      </c>
      <c r="AC220" s="318">
        <f t="shared" si="153"/>
        <v>0</v>
      </c>
      <c r="AD220" s="318">
        <f t="shared" si="154"/>
        <v>0</v>
      </c>
      <c r="AE220" s="318">
        <f t="shared" si="155"/>
        <v>0</v>
      </c>
      <c r="AF220" s="318">
        <f t="shared" si="180"/>
        <v>0</v>
      </c>
      <c r="AG220" s="318">
        <f t="shared" si="181"/>
        <v>0</v>
      </c>
      <c r="AH220" s="318">
        <f t="shared" si="156"/>
        <v>0</v>
      </c>
      <c r="AI220" s="318">
        <f t="shared" si="157"/>
        <v>0</v>
      </c>
      <c r="AJ220" s="318">
        <f t="shared" si="158"/>
        <v>0</v>
      </c>
      <c r="AK220" s="318">
        <f t="shared" si="159"/>
        <v>0</v>
      </c>
      <c r="AL220" s="318">
        <f t="shared" si="160"/>
        <v>0</v>
      </c>
      <c r="AM220" s="318">
        <f t="shared" si="161"/>
        <v>0</v>
      </c>
      <c r="AN220" s="318">
        <f t="shared" si="162"/>
        <v>0</v>
      </c>
      <c r="AO220" s="318">
        <f t="shared" si="163"/>
        <v>0</v>
      </c>
      <c r="AP220" s="318">
        <f t="shared" si="164"/>
        <v>0</v>
      </c>
      <c r="AQ220" s="318">
        <f t="shared" si="165"/>
        <v>0</v>
      </c>
      <c r="AR220" s="318">
        <f t="shared" si="166"/>
        <v>0</v>
      </c>
      <c r="AS220" s="318">
        <f t="shared" si="167"/>
        <v>0</v>
      </c>
      <c r="AT220" s="318">
        <f t="shared" si="168"/>
        <v>0</v>
      </c>
      <c r="AU220" s="318">
        <f t="shared" si="169"/>
        <v>0</v>
      </c>
      <c r="AV220" s="318">
        <f t="shared" si="170"/>
        <v>0</v>
      </c>
      <c r="AW220" s="318">
        <f t="shared" si="171"/>
        <v>0</v>
      </c>
      <c r="AX220" s="318">
        <f t="shared" si="172"/>
        <v>0</v>
      </c>
      <c r="AY220" s="318">
        <f t="shared" si="173"/>
        <v>0</v>
      </c>
      <c r="AZ220" s="318">
        <f t="shared" si="174"/>
        <v>0</v>
      </c>
      <c r="BA220" s="318">
        <f t="shared" si="175"/>
        <v>0</v>
      </c>
    </row>
    <row r="221" spans="1:53" s="315" customFormat="1" ht="15.75" customHeight="1">
      <c r="A221" s="63" t="str">
        <f t="array" ref="A221">IF(C221&lt;&gt;0,SUM(($C$11:C221&lt;&gt;0)*1),"")</f>
        <v/>
      </c>
      <c r="B221" s="316"/>
      <c r="C221" s="316"/>
      <c r="D221" s="316"/>
      <c r="E221" s="436"/>
      <c r="F221" s="372"/>
      <c r="G221" s="374"/>
      <c r="H221" s="374"/>
      <c r="I221" s="63" t="str">
        <f t="shared" si="137"/>
        <v/>
      </c>
      <c r="J221" s="318">
        <f t="shared" si="138"/>
        <v>0</v>
      </c>
      <c r="K221" s="318">
        <f t="shared" si="139"/>
        <v>0</v>
      </c>
      <c r="L221" s="318">
        <f t="shared" si="140"/>
        <v>0</v>
      </c>
      <c r="M221" s="318">
        <f t="shared" si="141"/>
        <v>0</v>
      </c>
      <c r="N221" s="318">
        <f t="shared" si="176"/>
        <v>0</v>
      </c>
      <c r="O221" s="318">
        <f t="shared" si="177"/>
        <v>0</v>
      </c>
      <c r="P221" s="318">
        <f t="shared" si="142"/>
        <v>0</v>
      </c>
      <c r="Q221" s="318">
        <f t="shared" si="143"/>
        <v>0</v>
      </c>
      <c r="R221" s="318">
        <f t="shared" si="144"/>
        <v>0</v>
      </c>
      <c r="S221" s="318">
        <f t="shared" si="145"/>
        <v>0</v>
      </c>
      <c r="T221" s="318">
        <f t="shared" si="178"/>
        <v>0</v>
      </c>
      <c r="U221" s="318">
        <f t="shared" si="179"/>
        <v>0</v>
      </c>
      <c r="V221" s="318">
        <f t="shared" si="146"/>
        <v>0</v>
      </c>
      <c r="W221" s="318">
        <f t="shared" si="147"/>
        <v>0</v>
      </c>
      <c r="X221" s="318">
        <f t="shared" si="148"/>
        <v>0</v>
      </c>
      <c r="Y221" s="318">
        <f t="shared" si="149"/>
        <v>0</v>
      </c>
      <c r="Z221" s="318">
        <f t="shared" si="150"/>
        <v>0</v>
      </c>
      <c r="AA221" s="318">
        <f t="shared" si="151"/>
        <v>0</v>
      </c>
      <c r="AB221" s="318">
        <f t="shared" si="152"/>
        <v>0</v>
      </c>
      <c r="AC221" s="318">
        <f t="shared" si="153"/>
        <v>0</v>
      </c>
      <c r="AD221" s="318">
        <f t="shared" si="154"/>
        <v>0</v>
      </c>
      <c r="AE221" s="318">
        <f t="shared" si="155"/>
        <v>0</v>
      </c>
      <c r="AF221" s="318">
        <f t="shared" si="180"/>
        <v>0</v>
      </c>
      <c r="AG221" s="318">
        <f t="shared" si="181"/>
        <v>0</v>
      </c>
      <c r="AH221" s="318">
        <f t="shared" si="156"/>
        <v>0</v>
      </c>
      <c r="AI221" s="318">
        <f t="shared" si="157"/>
        <v>0</v>
      </c>
      <c r="AJ221" s="318">
        <f t="shared" si="158"/>
        <v>0</v>
      </c>
      <c r="AK221" s="318">
        <f t="shared" si="159"/>
        <v>0</v>
      </c>
      <c r="AL221" s="318">
        <f t="shared" si="160"/>
        <v>0</v>
      </c>
      <c r="AM221" s="318">
        <f t="shared" si="161"/>
        <v>0</v>
      </c>
      <c r="AN221" s="318">
        <f t="shared" si="162"/>
        <v>0</v>
      </c>
      <c r="AO221" s="318">
        <f t="shared" si="163"/>
        <v>0</v>
      </c>
      <c r="AP221" s="318">
        <f t="shared" si="164"/>
        <v>0</v>
      </c>
      <c r="AQ221" s="318">
        <f t="shared" si="165"/>
        <v>0</v>
      </c>
      <c r="AR221" s="318">
        <f t="shared" si="166"/>
        <v>0</v>
      </c>
      <c r="AS221" s="318">
        <f t="shared" si="167"/>
        <v>0</v>
      </c>
      <c r="AT221" s="318">
        <f t="shared" si="168"/>
        <v>0</v>
      </c>
      <c r="AU221" s="318">
        <f t="shared" si="169"/>
        <v>0</v>
      </c>
      <c r="AV221" s="318">
        <f t="shared" si="170"/>
        <v>0</v>
      </c>
      <c r="AW221" s="318">
        <f t="shared" si="171"/>
        <v>0</v>
      </c>
      <c r="AX221" s="318">
        <f t="shared" si="172"/>
        <v>0</v>
      </c>
      <c r="AY221" s="318">
        <f t="shared" si="173"/>
        <v>0</v>
      </c>
      <c r="AZ221" s="318">
        <f t="shared" si="174"/>
        <v>0</v>
      </c>
      <c r="BA221" s="318">
        <f t="shared" si="175"/>
        <v>0</v>
      </c>
    </row>
    <row r="222" spans="1:53" s="315" customFormat="1" ht="15.75" customHeight="1">
      <c r="A222" s="63" t="str">
        <f t="array" ref="A222">IF(C222&lt;&gt;0,SUM(($C$11:C222&lt;&gt;0)*1),"")</f>
        <v/>
      </c>
      <c r="B222" s="316"/>
      <c r="C222" s="316"/>
      <c r="D222" s="316"/>
      <c r="E222" s="436"/>
      <c r="F222" s="372"/>
      <c r="G222" s="374"/>
      <c r="H222" s="374"/>
      <c r="I222" s="63" t="str">
        <f t="shared" si="137"/>
        <v/>
      </c>
      <c r="J222" s="318">
        <f t="shared" si="138"/>
        <v>0</v>
      </c>
      <c r="K222" s="318">
        <f t="shared" si="139"/>
        <v>0</v>
      </c>
      <c r="L222" s="318">
        <f t="shared" si="140"/>
        <v>0</v>
      </c>
      <c r="M222" s="318">
        <f t="shared" si="141"/>
        <v>0</v>
      </c>
      <c r="N222" s="318">
        <f t="shared" si="176"/>
        <v>0</v>
      </c>
      <c r="O222" s="318">
        <f t="shared" si="177"/>
        <v>0</v>
      </c>
      <c r="P222" s="318">
        <f t="shared" si="142"/>
        <v>0</v>
      </c>
      <c r="Q222" s="318">
        <f t="shared" si="143"/>
        <v>0</v>
      </c>
      <c r="R222" s="318">
        <f t="shared" si="144"/>
        <v>0</v>
      </c>
      <c r="S222" s="318">
        <f t="shared" si="145"/>
        <v>0</v>
      </c>
      <c r="T222" s="318">
        <f t="shared" si="178"/>
        <v>0</v>
      </c>
      <c r="U222" s="318">
        <f t="shared" si="179"/>
        <v>0</v>
      </c>
      <c r="V222" s="318">
        <f t="shared" si="146"/>
        <v>0</v>
      </c>
      <c r="W222" s="318">
        <f t="shared" si="147"/>
        <v>0</v>
      </c>
      <c r="X222" s="318">
        <f t="shared" si="148"/>
        <v>0</v>
      </c>
      <c r="Y222" s="318">
        <f t="shared" si="149"/>
        <v>0</v>
      </c>
      <c r="Z222" s="318">
        <f t="shared" si="150"/>
        <v>0</v>
      </c>
      <c r="AA222" s="318">
        <f t="shared" si="151"/>
        <v>0</v>
      </c>
      <c r="AB222" s="318">
        <f t="shared" si="152"/>
        <v>0</v>
      </c>
      <c r="AC222" s="318">
        <f t="shared" si="153"/>
        <v>0</v>
      </c>
      <c r="AD222" s="318">
        <f t="shared" si="154"/>
        <v>0</v>
      </c>
      <c r="AE222" s="318">
        <f t="shared" si="155"/>
        <v>0</v>
      </c>
      <c r="AF222" s="318">
        <f t="shared" si="180"/>
        <v>0</v>
      </c>
      <c r="AG222" s="318">
        <f t="shared" si="181"/>
        <v>0</v>
      </c>
      <c r="AH222" s="318">
        <f t="shared" si="156"/>
        <v>0</v>
      </c>
      <c r="AI222" s="318">
        <f t="shared" si="157"/>
        <v>0</v>
      </c>
      <c r="AJ222" s="318">
        <f t="shared" si="158"/>
        <v>0</v>
      </c>
      <c r="AK222" s="318">
        <f t="shared" si="159"/>
        <v>0</v>
      </c>
      <c r="AL222" s="318">
        <f t="shared" si="160"/>
        <v>0</v>
      </c>
      <c r="AM222" s="318">
        <f t="shared" si="161"/>
        <v>0</v>
      </c>
      <c r="AN222" s="318">
        <f t="shared" si="162"/>
        <v>0</v>
      </c>
      <c r="AO222" s="318">
        <f t="shared" si="163"/>
        <v>0</v>
      </c>
      <c r="AP222" s="318">
        <f t="shared" si="164"/>
        <v>0</v>
      </c>
      <c r="AQ222" s="318">
        <f t="shared" si="165"/>
        <v>0</v>
      </c>
      <c r="AR222" s="318">
        <f t="shared" si="166"/>
        <v>0</v>
      </c>
      <c r="AS222" s="318">
        <f t="shared" si="167"/>
        <v>0</v>
      </c>
      <c r="AT222" s="318">
        <f t="shared" si="168"/>
        <v>0</v>
      </c>
      <c r="AU222" s="318">
        <f t="shared" si="169"/>
        <v>0</v>
      </c>
      <c r="AV222" s="318">
        <f t="shared" si="170"/>
        <v>0</v>
      </c>
      <c r="AW222" s="318">
        <f t="shared" si="171"/>
        <v>0</v>
      </c>
      <c r="AX222" s="318">
        <f t="shared" si="172"/>
        <v>0</v>
      </c>
      <c r="AY222" s="318">
        <f t="shared" si="173"/>
        <v>0</v>
      </c>
      <c r="AZ222" s="318">
        <f t="shared" si="174"/>
        <v>0</v>
      </c>
      <c r="BA222" s="318">
        <f t="shared" si="175"/>
        <v>0</v>
      </c>
    </row>
    <row r="223" spans="1:53" s="315" customFormat="1" ht="15.75" customHeight="1">
      <c r="A223" s="63" t="str">
        <f t="array" ref="A223">IF(C223&lt;&gt;0,SUM(($C$11:C223&lt;&gt;0)*1),"")</f>
        <v/>
      </c>
      <c r="B223" s="316"/>
      <c r="C223" s="316"/>
      <c r="D223" s="316"/>
      <c r="E223" s="436"/>
      <c r="F223" s="372"/>
      <c r="G223" s="374"/>
      <c r="H223" s="374"/>
      <c r="I223" s="63" t="str">
        <f t="shared" si="137"/>
        <v/>
      </c>
      <c r="J223" s="318">
        <f t="shared" si="138"/>
        <v>0</v>
      </c>
      <c r="K223" s="318">
        <f t="shared" si="139"/>
        <v>0</v>
      </c>
      <c r="L223" s="318">
        <f t="shared" si="140"/>
        <v>0</v>
      </c>
      <c r="M223" s="318">
        <f t="shared" si="141"/>
        <v>0</v>
      </c>
      <c r="N223" s="318">
        <f t="shared" si="176"/>
        <v>0</v>
      </c>
      <c r="O223" s="318">
        <f t="shared" si="177"/>
        <v>0</v>
      </c>
      <c r="P223" s="318">
        <f t="shared" si="142"/>
        <v>0</v>
      </c>
      <c r="Q223" s="318">
        <f t="shared" si="143"/>
        <v>0</v>
      </c>
      <c r="R223" s="318">
        <f t="shared" si="144"/>
        <v>0</v>
      </c>
      <c r="S223" s="318">
        <f t="shared" si="145"/>
        <v>0</v>
      </c>
      <c r="T223" s="318">
        <f t="shared" si="178"/>
        <v>0</v>
      </c>
      <c r="U223" s="318">
        <f t="shared" si="179"/>
        <v>0</v>
      </c>
      <c r="V223" s="318">
        <f t="shared" si="146"/>
        <v>0</v>
      </c>
      <c r="W223" s="318">
        <f t="shared" si="147"/>
        <v>0</v>
      </c>
      <c r="X223" s="318">
        <f t="shared" si="148"/>
        <v>0</v>
      </c>
      <c r="Y223" s="318">
        <f t="shared" si="149"/>
        <v>0</v>
      </c>
      <c r="Z223" s="318">
        <f t="shared" si="150"/>
        <v>0</v>
      </c>
      <c r="AA223" s="318">
        <f t="shared" si="151"/>
        <v>0</v>
      </c>
      <c r="AB223" s="318">
        <f t="shared" si="152"/>
        <v>0</v>
      </c>
      <c r="AC223" s="318">
        <f t="shared" si="153"/>
        <v>0</v>
      </c>
      <c r="AD223" s="318">
        <f t="shared" si="154"/>
        <v>0</v>
      </c>
      <c r="AE223" s="318">
        <f t="shared" si="155"/>
        <v>0</v>
      </c>
      <c r="AF223" s="318">
        <f t="shared" si="180"/>
        <v>0</v>
      </c>
      <c r="AG223" s="318">
        <f t="shared" si="181"/>
        <v>0</v>
      </c>
      <c r="AH223" s="318">
        <f t="shared" si="156"/>
        <v>0</v>
      </c>
      <c r="AI223" s="318">
        <f t="shared" si="157"/>
        <v>0</v>
      </c>
      <c r="AJ223" s="318">
        <f t="shared" si="158"/>
        <v>0</v>
      </c>
      <c r="AK223" s="318">
        <f t="shared" si="159"/>
        <v>0</v>
      </c>
      <c r="AL223" s="318">
        <f t="shared" si="160"/>
        <v>0</v>
      </c>
      <c r="AM223" s="318">
        <f t="shared" si="161"/>
        <v>0</v>
      </c>
      <c r="AN223" s="318">
        <f t="shared" si="162"/>
        <v>0</v>
      </c>
      <c r="AO223" s="318">
        <f t="shared" si="163"/>
        <v>0</v>
      </c>
      <c r="AP223" s="318">
        <f t="shared" si="164"/>
        <v>0</v>
      </c>
      <c r="AQ223" s="318">
        <f t="shared" si="165"/>
        <v>0</v>
      </c>
      <c r="AR223" s="318">
        <f t="shared" si="166"/>
        <v>0</v>
      </c>
      <c r="AS223" s="318">
        <f t="shared" si="167"/>
        <v>0</v>
      </c>
      <c r="AT223" s="318">
        <f t="shared" si="168"/>
        <v>0</v>
      </c>
      <c r="AU223" s="318">
        <f t="shared" si="169"/>
        <v>0</v>
      </c>
      <c r="AV223" s="318">
        <f t="shared" si="170"/>
        <v>0</v>
      </c>
      <c r="AW223" s="318">
        <f t="shared" si="171"/>
        <v>0</v>
      </c>
      <c r="AX223" s="318">
        <f t="shared" si="172"/>
        <v>0</v>
      </c>
      <c r="AY223" s="318">
        <f t="shared" si="173"/>
        <v>0</v>
      </c>
      <c r="AZ223" s="318">
        <f t="shared" si="174"/>
        <v>0</v>
      </c>
      <c r="BA223" s="318">
        <f t="shared" si="175"/>
        <v>0</v>
      </c>
    </row>
    <row r="224" spans="1:53" s="315" customFormat="1" ht="15.75" customHeight="1">
      <c r="A224" s="63" t="str">
        <f t="array" ref="A224">IF(C224&lt;&gt;0,SUM(($C$11:C224&lt;&gt;0)*1),"")</f>
        <v/>
      </c>
      <c r="B224" s="316"/>
      <c r="C224" s="316"/>
      <c r="D224" s="316"/>
      <c r="E224" s="436"/>
      <c r="F224" s="372"/>
      <c r="G224" s="374"/>
      <c r="H224" s="374"/>
      <c r="I224" s="63" t="str">
        <f t="shared" si="137"/>
        <v/>
      </c>
      <c r="J224" s="318">
        <f t="shared" si="138"/>
        <v>0</v>
      </c>
      <c r="K224" s="318">
        <f t="shared" si="139"/>
        <v>0</v>
      </c>
      <c r="L224" s="318">
        <f t="shared" si="140"/>
        <v>0</v>
      </c>
      <c r="M224" s="318">
        <f t="shared" si="141"/>
        <v>0</v>
      </c>
      <c r="N224" s="318">
        <f t="shared" si="176"/>
        <v>0</v>
      </c>
      <c r="O224" s="318">
        <f t="shared" si="177"/>
        <v>0</v>
      </c>
      <c r="P224" s="318">
        <f t="shared" si="142"/>
        <v>0</v>
      </c>
      <c r="Q224" s="318">
        <f t="shared" si="143"/>
        <v>0</v>
      </c>
      <c r="R224" s="318">
        <f t="shared" si="144"/>
        <v>0</v>
      </c>
      <c r="S224" s="318">
        <f t="shared" si="145"/>
        <v>0</v>
      </c>
      <c r="T224" s="318">
        <f t="shared" si="178"/>
        <v>0</v>
      </c>
      <c r="U224" s="318">
        <f t="shared" si="179"/>
        <v>0</v>
      </c>
      <c r="V224" s="318">
        <f t="shared" si="146"/>
        <v>0</v>
      </c>
      <c r="W224" s="318">
        <f t="shared" si="147"/>
        <v>0</v>
      </c>
      <c r="X224" s="318">
        <f t="shared" si="148"/>
        <v>0</v>
      </c>
      <c r="Y224" s="318">
        <f t="shared" si="149"/>
        <v>0</v>
      </c>
      <c r="Z224" s="318">
        <f t="shared" si="150"/>
        <v>0</v>
      </c>
      <c r="AA224" s="318">
        <f t="shared" si="151"/>
        <v>0</v>
      </c>
      <c r="AB224" s="318">
        <f t="shared" si="152"/>
        <v>0</v>
      </c>
      <c r="AC224" s="318">
        <f t="shared" si="153"/>
        <v>0</v>
      </c>
      <c r="AD224" s="318">
        <f t="shared" si="154"/>
        <v>0</v>
      </c>
      <c r="AE224" s="318">
        <f t="shared" si="155"/>
        <v>0</v>
      </c>
      <c r="AF224" s="318">
        <f t="shared" si="180"/>
        <v>0</v>
      </c>
      <c r="AG224" s="318">
        <f t="shared" si="181"/>
        <v>0</v>
      </c>
      <c r="AH224" s="318">
        <f t="shared" si="156"/>
        <v>0</v>
      </c>
      <c r="AI224" s="318">
        <f t="shared" si="157"/>
        <v>0</v>
      </c>
      <c r="AJ224" s="318">
        <f t="shared" si="158"/>
        <v>0</v>
      </c>
      <c r="AK224" s="318">
        <f t="shared" si="159"/>
        <v>0</v>
      </c>
      <c r="AL224" s="318">
        <f t="shared" si="160"/>
        <v>0</v>
      </c>
      <c r="AM224" s="318">
        <f t="shared" si="161"/>
        <v>0</v>
      </c>
      <c r="AN224" s="318">
        <f t="shared" si="162"/>
        <v>0</v>
      </c>
      <c r="AO224" s="318">
        <f t="shared" si="163"/>
        <v>0</v>
      </c>
      <c r="AP224" s="318">
        <f t="shared" si="164"/>
        <v>0</v>
      </c>
      <c r="AQ224" s="318">
        <f t="shared" si="165"/>
        <v>0</v>
      </c>
      <c r="AR224" s="318">
        <f t="shared" si="166"/>
        <v>0</v>
      </c>
      <c r="AS224" s="318">
        <f t="shared" si="167"/>
        <v>0</v>
      </c>
      <c r="AT224" s="318">
        <f t="shared" si="168"/>
        <v>0</v>
      </c>
      <c r="AU224" s="318">
        <f t="shared" si="169"/>
        <v>0</v>
      </c>
      <c r="AV224" s="318">
        <f t="shared" si="170"/>
        <v>0</v>
      </c>
      <c r="AW224" s="318">
        <f t="shared" si="171"/>
        <v>0</v>
      </c>
      <c r="AX224" s="318">
        <f t="shared" si="172"/>
        <v>0</v>
      </c>
      <c r="AY224" s="318">
        <f t="shared" si="173"/>
        <v>0</v>
      </c>
      <c r="AZ224" s="318">
        <f t="shared" si="174"/>
        <v>0</v>
      </c>
      <c r="BA224" s="318">
        <f t="shared" si="175"/>
        <v>0</v>
      </c>
    </row>
    <row r="225" spans="1:53" s="315" customFormat="1" ht="15.75" customHeight="1">
      <c r="A225" s="63" t="str">
        <f t="array" ref="A225">IF(C225&lt;&gt;0,SUM(($C$11:C225&lt;&gt;0)*1),"")</f>
        <v/>
      </c>
      <c r="B225" s="316"/>
      <c r="C225" s="316"/>
      <c r="D225" s="316"/>
      <c r="E225" s="436"/>
      <c r="F225" s="372"/>
      <c r="G225" s="374"/>
      <c r="H225" s="374"/>
      <c r="I225" s="63" t="str">
        <f t="shared" si="137"/>
        <v/>
      </c>
      <c r="J225" s="318">
        <f t="shared" si="138"/>
        <v>0</v>
      </c>
      <c r="K225" s="318">
        <f t="shared" si="139"/>
        <v>0</v>
      </c>
      <c r="L225" s="318">
        <f t="shared" si="140"/>
        <v>0</v>
      </c>
      <c r="M225" s="318">
        <f t="shared" si="141"/>
        <v>0</v>
      </c>
      <c r="N225" s="318">
        <f t="shared" si="176"/>
        <v>0</v>
      </c>
      <c r="O225" s="318">
        <f t="shared" si="177"/>
        <v>0</v>
      </c>
      <c r="P225" s="318">
        <f t="shared" si="142"/>
        <v>0</v>
      </c>
      <c r="Q225" s="318">
        <f t="shared" si="143"/>
        <v>0</v>
      </c>
      <c r="R225" s="318">
        <f t="shared" si="144"/>
        <v>0</v>
      </c>
      <c r="S225" s="318">
        <f t="shared" si="145"/>
        <v>0</v>
      </c>
      <c r="T225" s="318">
        <f t="shared" si="178"/>
        <v>0</v>
      </c>
      <c r="U225" s="318">
        <f t="shared" si="179"/>
        <v>0</v>
      </c>
      <c r="V225" s="318">
        <f t="shared" si="146"/>
        <v>0</v>
      </c>
      <c r="W225" s="318">
        <f t="shared" si="147"/>
        <v>0</v>
      </c>
      <c r="X225" s="318">
        <f t="shared" si="148"/>
        <v>0</v>
      </c>
      <c r="Y225" s="318">
        <f t="shared" si="149"/>
        <v>0</v>
      </c>
      <c r="Z225" s="318">
        <f t="shared" si="150"/>
        <v>0</v>
      </c>
      <c r="AA225" s="318">
        <f t="shared" si="151"/>
        <v>0</v>
      </c>
      <c r="AB225" s="318">
        <f t="shared" si="152"/>
        <v>0</v>
      </c>
      <c r="AC225" s="318">
        <f t="shared" si="153"/>
        <v>0</v>
      </c>
      <c r="AD225" s="318">
        <f t="shared" si="154"/>
        <v>0</v>
      </c>
      <c r="AE225" s="318">
        <f t="shared" si="155"/>
        <v>0</v>
      </c>
      <c r="AF225" s="318">
        <f t="shared" si="180"/>
        <v>0</v>
      </c>
      <c r="AG225" s="318">
        <f t="shared" si="181"/>
        <v>0</v>
      </c>
      <c r="AH225" s="318">
        <f t="shared" si="156"/>
        <v>0</v>
      </c>
      <c r="AI225" s="318">
        <f t="shared" si="157"/>
        <v>0</v>
      </c>
      <c r="AJ225" s="318">
        <f t="shared" si="158"/>
        <v>0</v>
      </c>
      <c r="AK225" s="318">
        <f t="shared" si="159"/>
        <v>0</v>
      </c>
      <c r="AL225" s="318">
        <f t="shared" si="160"/>
        <v>0</v>
      </c>
      <c r="AM225" s="318">
        <f t="shared" si="161"/>
        <v>0</v>
      </c>
      <c r="AN225" s="318">
        <f t="shared" si="162"/>
        <v>0</v>
      </c>
      <c r="AO225" s="318">
        <f t="shared" si="163"/>
        <v>0</v>
      </c>
      <c r="AP225" s="318">
        <f t="shared" si="164"/>
        <v>0</v>
      </c>
      <c r="AQ225" s="318">
        <f t="shared" si="165"/>
        <v>0</v>
      </c>
      <c r="AR225" s="318">
        <f t="shared" si="166"/>
        <v>0</v>
      </c>
      <c r="AS225" s="318">
        <f t="shared" si="167"/>
        <v>0</v>
      </c>
      <c r="AT225" s="318">
        <f t="shared" si="168"/>
        <v>0</v>
      </c>
      <c r="AU225" s="318">
        <f t="shared" si="169"/>
        <v>0</v>
      </c>
      <c r="AV225" s="318">
        <f t="shared" si="170"/>
        <v>0</v>
      </c>
      <c r="AW225" s="318">
        <f t="shared" si="171"/>
        <v>0</v>
      </c>
      <c r="AX225" s="318">
        <f t="shared" si="172"/>
        <v>0</v>
      </c>
      <c r="AY225" s="318">
        <f t="shared" si="173"/>
        <v>0</v>
      </c>
      <c r="AZ225" s="318">
        <f t="shared" si="174"/>
        <v>0</v>
      </c>
      <c r="BA225" s="318">
        <f t="shared" si="175"/>
        <v>0</v>
      </c>
    </row>
    <row r="226" spans="1:53" s="315" customFormat="1" ht="15.75" customHeight="1">
      <c r="A226" s="63" t="str">
        <f t="array" ref="A226">IF(C226&lt;&gt;0,SUM(($C$11:C226&lt;&gt;0)*1),"")</f>
        <v/>
      </c>
      <c r="B226" s="316"/>
      <c r="C226" s="316"/>
      <c r="D226" s="316"/>
      <c r="E226" s="436"/>
      <c r="F226" s="372"/>
      <c r="G226" s="374"/>
      <c r="H226" s="374"/>
      <c r="I226" s="63" t="str">
        <f t="shared" si="137"/>
        <v/>
      </c>
      <c r="J226" s="318">
        <f t="shared" si="138"/>
        <v>0</v>
      </c>
      <c r="K226" s="318">
        <f t="shared" si="139"/>
        <v>0</v>
      </c>
      <c r="L226" s="318">
        <f t="shared" si="140"/>
        <v>0</v>
      </c>
      <c r="M226" s="318">
        <f t="shared" si="141"/>
        <v>0</v>
      </c>
      <c r="N226" s="318">
        <f t="shared" si="176"/>
        <v>0</v>
      </c>
      <c r="O226" s="318">
        <f t="shared" si="177"/>
        <v>0</v>
      </c>
      <c r="P226" s="318">
        <f t="shared" si="142"/>
        <v>0</v>
      </c>
      <c r="Q226" s="318">
        <f t="shared" si="143"/>
        <v>0</v>
      </c>
      <c r="R226" s="318">
        <f t="shared" si="144"/>
        <v>0</v>
      </c>
      <c r="S226" s="318">
        <f t="shared" si="145"/>
        <v>0</v>
      </c>
      <c r="T226" s="318">
        <f t="shared" si="178"/>
        <v>0</v>
      </c>
      <c r="U226" s="318">
        <f t="shared" si="179"/>
        <v>0</v>
      </c>
      <c r="V226" s="318">
        <f t="shared" si="146"/>
        <v>0</v>
      </c>
      <c r="W226" s="318">
        <f t="shared" si="147"/>
        <v>0</v>
      </c>
      <c r="X226" s="318">
        <f t="shared" si="148"/>
        <v>0</v>
      </c>
      <c r="Y226" s="318">
        <f t="shared" si="149"/>
        <v>0</v>
      </c>
      <c r="Z226" s="318">
        <f t="shared" si="150"/>
        <v>0</v>
      </c>
      <c r="AA226" s="318">
        <f t="shared" si="151"/>
        <v>0</v>
      </c>
      <c r="AB226" s="318">
        <f t="shared" si="152"/>
        <v>0</v>
      </c>
      <c r="AC226" s="318">
        <f t="shared" si="153"/>
        <v>0</v>
      </c>
      <c r="AD226" s="318">
        <f t="shared" si="154"/>
        <v>0</v>
      </c>
      <c r="AE226" s="318">
        <f t="shared" si="155"/>
        <v>0</v>
      </c>
      <c r="AF226" s="318">
        <f t="shared" si="180"/>
        <v>0</v>
      </c>
      <c r="AG226" s="318">
        <f t="shared" si="181"/>
        <v>0</v>
      </c>
      <c r="AH226" s="318">
        <f t="shared" si="156"/>
        <v>0</v>
      </c>
      <c r="AI226" s="318">
        <f t="shared" si="157"/>
        <v>0</v>
      </c>
      <c r="AJ226" s="318">
        <f t="shared" si="158"/>
        <v>0</v>
      </c>
      <c r="AK226" s="318">
        <f t="shared" si="159"/>
        <v>0</v>
      </c>
      <c r="AL226" s="318">
        <f t="shared" si="160"/>
        <v>0</v>
      </c>
      <c r="AM226" s="318">
        <f t="shared" si="161"/>
        <v>0</v>
      </c>
      <c r="AN226" s="318">
        <f t="shared" si="162"/>
        <v>0</v>
      </c>
      <c r="AO226" s="318">
        <f t="shared" si="163"/>
        <v>0</v>
      </c>
      <c r="AP226" s="318">
        <f t="shared" si="164"/>
        <v>0</v>
      </c>
      <c r="AQ226" s="318">
        <f t="shared" si="165"/>
        <v>0</v>
      </c>
      <c r="AR226" s="318">
        <f t="shared" si="166"/>
        <v>0</v>
      </c>
      <c r="AS226" s="318">
        <f t="shared" si="167"/>
        <v>0</v>
      </c>
      <c r="AT226" s="318">
        <f t="shared" si="168"/>
        <v>0</v>
      </c>
      <c r="AU226" s="318">
        <f t="shared" si="169"/>
        <v>0</v>
      </c>
      <c r="AV226" s="318">
        <f t="shared" si="170"/>
        <v>0</v>
      </c>
      <c r="AW226" s="318">
        <f t="shared" si="171"/>
        <v>0</v>
      </c>
      <c r="AX226" s="318">
        <f t="shared" si="172"/>
        <v>0</v>
      </c>
      <c r="AY226" s="318">
        <f t="shared" si="173"/>
        <v>0</v>
      </c>
      <c r="AZ226" s="318">
        <f t="shared" si="174"/>
        <v>0</v>
      </c>
      <c r="BA226" s="318">
        <f t="shared" si="175"/>
        <v>0</v>
      </c>
    </row>
    <row r="227" spans="1:53" s="315" customFormat="1" ht="15.75" customHeight="1">
      <c r="A227" s="63" t="str">
        <f t="array" ref="A227">IF(C227&lt;&gt;0,SUM(($C$11:C227&lt;&gt;0)*1),"")</f>
        <v/>
      </c>
      <c r="B227" s="316"/>
      <c r="C227" s="316"/>
      <c r="D227" s="316"/>
      <c r="E227" s="436"/>
      <c r="F227" s="372"/>
      <c r="G227" s="374"/>
      <c r="H227" s="374"/>
      <c r="I227" s="63" t="str">
        <f t="shared" si="137"/>
        <v/>
      </c>
      <c r="J227" s="318">
        <f t="shared" si="138"/>
        <v>0</v>
      </c>
      <c r="K227" s="318">
        <f t="shared" si="139"/>
        <v>0</v>
      </c>
      <c r="L227" s="318">
        <f t="shared" si="140"/>
        <v>0</v>
      </c>
      <c r="M227" s="318">
        <f t="shared" si="141"/>
        <v>0</v>
      </c>
      <c r="N227" s="318">
        <f t="shared" si="176"/>
        <v>0</v>
      </c>
      <c r="O227" s="318">
        <f t="shared" si="177"/>
        <v>0</v>
      </c>
      <c r="P227" s="318">
        <f t="shared" si="142"/>
        <v>0</v>
      </c>
      <c r="Q227" s="318">
        <f t="shared" si="143"/>
        <v>0</v>
      </c>
      <c r="R227" s="318">
        <f t="shared" si="144"/>
        <v>0</v>
      </c>
      <c r="S227" s="318">
        <f t="shared" si="145"/>
        <v>0</v>
      </c>
      <c r="T227" s="318">
        <f t="shared" si="178"/>
        <v>0</v>
      </c>
      <c r="U227" s="318">
        <f t="shared" si="179"/>
        <v>0</v>
      </c>
      <c r="V227" s="318">
        <f t="shared" si="146"/>
        <v>0</v>
      </c>
      <c r="W227" s="318">
        <f t="shared" si="147"/>
        <v>0</v>
      </c>
      <c r="X227" s="318">
        <f t="shared" si="148"/>
        <v>0</v>
      </c>
      <c r="Y227" s="318">
        <f t="shared" si="149"/>
        <v>0</v>
      </c>
      <c r="Z227" s="318">
        <f t="shared" si="150"/>
        <v>0</v>
      </c>
      <c r="AA227" s="318">
        <f t="shared" si="151"/>
        <v>0</v>
      </c>
      <c r="AB227" s="318">
        <f t="shared" si="152"/>
        <v>0</v>
      </c>
      <c r="AC227" s="318">
        <f t="shared" si="153"/>
        <v>0</v>
      </c>
      <c r="AD227" s="318">
        <f t="shared" si="154"/>
        <v>0</v>
      </c>
      <c r="AE227" s="318">
        <f t="shared" si="155"/>
        <v>0</v>
      </c>
      <c r="AF227" s="318">
        <f t="shared" si="180"/>
        <v>0</v>
      </c>
      <c r="AG227" s="318">
        <f t="shared" si="181"/>
        <v>0</v>
      </c>
      <c r="AH227" s="318">
        <f t="shared" si="156"/>
        <v>0</v>
      </c>
      <c r="AI227" s="318">
        <f t="shared" si="157"/>
        <v>0</v>
      </c>
      <c r="AJ227" s="318">
        <f t="shared" si="158"/>
        <v>0</v>
      </c>
      <c r="AK227" s="318">
        <f t="shared" si="159"/>
        <v>0</v>
      </c>
      <c r="AL227" s="318">
        <f t="shared" si="160"/>
        <v>0</v>
      </c>
      <c r="AM227" s="318">
        <f t="shared" si="161"/>
        <v>0</v>
      </c>
      <c r="AN227" s="318">
        <f t="shared" si="162"/>
        <v>0</v>
      </c>
      <c r="AO227" s="318">
        <f t="shared" si="163"/>
        <v>0</v>
      </c>
      <c r="AP227" s="318">
        <f t="shared" si="164"/>
        <v>0</v>
      </c>
      <c r="AQ227" s="318">
        <f t="shared" si="165"/>
        <v>0</v>
      </c>
      <c r="AR227" s="318">
        <f t="shared" si="166"/>
        <v>0</v>
      </c>
      <c r="AS227" s="318">
        <f t="shared" si="167"/>
        <v>0</v>
      </c>
      <c r="AT227" s="318">
        <f t="shared" si="168"/>
        <v>0</v>
      </c>
      <c r="AU227" s="318">
        <f t="shared" si="169"/>
        <v>0</v>
      </c>
      <c r="AV227" s="318">
        <f t="shared" si="170"/>
        <v>0</v>
      </c>
      <c r="AW227" s="318">
        <f t="shared" si="171"/>
        <v>0</v>
      </c>
      <c r="AX227" s="318">
        <f t="shared" si="172"/>
        <v>0</v>
      </c>
      <c r="AY227" s="318">
        <f t="shared" si="173"/>
        <v>0</v>
      </c>
      <c r="AZ227" s="318">
        <f t="shared" si="174"/>
        <v>0</v>
      </c>
      <c r="BA227" s="318">
        <f t="shared" si="175"/>
        <v>0</v>
      </c>
    </row>
    <row r="228" spans="1:53" s="315" customFormat="1" ht="15.75" customHeight="1">
      <c r="A228" s="63" t="str">
        <f t="array" ref="A228">IF(C228&lt;&gt;0,SUM(($C$11:C228&lt;&gt;0)*1),"")</f>
        <v/>
      </c>
      <c r="B228" s="316"/>
      <c r="C228" s="316"/>
      <c r="D228" s="316"/>
      <c r="E228" s="436"/>
      <c r="F228" s="372"/>
      <c r="G228" s="374"/>
      <c r="H228" s="374"/>
      <c r="I228" s="63" t="str">
        <f t="shared" si="137"/>
        <v/>
      </c>
      <c r="J228" s="318">
        <f t="shared" si="138"/>
        <v>0</v>
      </c>
      <c r="K228" s="318">
        <f t="shared" si="139"/>
        <v>0</v>
      </c>
      <c r="L228" s="318">
        <f t="shared" si="140"/>
        <v>0</v>
      </c>
      <c r="M228" s="318">
        <f t="shared" si="141"/>
        <v>0</v>
      </c>
      <c r="N228" s="318">
        <f t="shared" si="176"/>
        <v>0</v>
      </c>
      <c r="O228" s="318">
        <f t="shared" si="177"/>
        <v>0</v>
      </c>
      <c r="P228" s="318">
        <f t="shared" si="142"/>
        <v>0</v>
      </c>
      <c r="Q228" s="318">
        <f t="shared" si="143"/>
        <v>0</v>
      </c>
      <c r="R228" s="318">
        <f t="shared" si="144"/>
        <v>0</v>
      </c>
      <c r="S228" s="318">
        <f t="shared" si="145"/>
        <v>0</v>
      </c>
      <c r="T228" s="318">
        <f t="shared" si="178"/>
        <v>0</v>
      </c>
      <c r="U228" s="318">
        <f t="shared" si="179"/>
        <v>0</v>
      </c>
      <c r="V228" s="318">
        <f t="shared" si="146"/>
        <v>0</v>
      </c>
      <c r="W228" s="318">
        <f t="shared" si="147"/>
        <v>0</v>
      </c>
      <c r="X228" s="318">
        <f t="shared" si="148"/>
        <v>0</v>
      </c>
      <c r="Y228" s="318">
        <f t="shared" si="149"/>
        <v>0</v>
      </c>
      <c r="Z228" s="318">
        <f t="shared" si="150"/>
        <v>0</v>
      </c>
      <c r="AA228" s="318">
        <f t="shared" si="151"/>
        <v>0</v>
      </c>
      <c r="AB228" s="318">
        <f t="shared" si="152"/>
        <v>0</v>
      </c>
      <c r="AC228" s="318">
        <f t="shared" si="153"/>
        <v>0</v>
      </c>
      <c r="AD228" s="318">
        <f t="shared" si="154"/>
        <v>0</v>
      </c>
      <c r="AE228" s="318">
        <f t="shared" si="155"/>
        <v>0</v>
      </c>
      <c r="AF228" s="318">
        <f t="shared" si="180"/>
        <v>0</v>
      </c>
      <c r="AG228" s="318">
        <f t="shared" si="181"/>
        <v>0</v>
      </c>
      <c r="AH228" s="318">
        <f t="shared" si="156"/>
        <v>0</v>
      </c>
      <c r="AI228" s="318">
        <f t="shared" si="157"/>
        <v>0</v>
      </c>
      <c r="AJ228" s="318">
        <f t="shared" si="158"/>
        <v>0</v>
      </c>
      <c r="AK228" s="318">
        <f t="shared" si="159"/>
        <v>0</v>
      </c>
      <c r="AL228" s="318">
        <f t="shared" si="160"/>
        <v>0</v>
      </c>
      <c r="AM228" s="318">
        <f t="shared" si="161"/>
        <v>0</v>
      </c>
      <c r="AN228" s="318">
        <f t="shared" si="162"/>
        <v>0</v>
      </c>
      <c r="AO228" s="318">
        <f t="shared" si="163"/>
        <v>0</v>
      </c>
      <c r="AP228" s="318">
        <f t="shared" si="164"/>
        <v>0</v>
      </c>
      <c r="AQ228" s="318">
        <f t="shared" si="165"/>
        <v>0</v>
      </c>
      <c r="AR228" s="318">
        <f t="shared" si="166"/>
        <v>0</v>
      </c>
      <c r="AS228" s="318">
        <f t="shared" si="167"/>
        <v>0</v>
      </c>
      <c r="AT228" s="318">
        <f t="shared" si="168"/>
        <v>0</v>
      </c>
      <c r="AU228" s="318">
        <f t="shared" si="169"/>
        <v>0</v>
      </c>
      <c r="AV228" s="318">
        <f t="shared" si="170"/>
        <v>0</v>
      </c>
      <c r="AW228" s="318">
        <f t="shared" si="171"/>
        <v>0</v>
      </c>
      <c r="AX228" s="318">
        <f t="shared" si="172"/>
        <v>0</v>
      </c>
      <c r="AY228" s="318">
        <f t="shared" si="173"/>
        <v>0</v>
      </c>
      <c r="AZ228" s="318">
        <f t="shared" si="174"/>
        <v>0</v>
      </c>
      <c r="BA228" s="318">
        <f t="shared" si="175"/>
        <v>0</v>
      </c>
    </row>
    <row r="229" spans="1:53" s="315" customFormat="1" ht="15.75" customHeight="1">
      <c r="A229" s="63" t="str">
        <f t="array" ref="A229">IF(C229&lt;&gt;0,SUM(($C$11:C229&lt;&gt;0)*1),"")</f>
        <v/>
      </c>
      <c r="B229" s="316"/>
      <c r="C229" s="316"/>
      <c r="D229" s="316"/>
      <c r="E229" s="436"/>
      <c r="F229" s="372"/>
      <c r="G229" s="374"/>
      <c r="H229" s="374"/>
      <c r="I229" s="63" t="str">
        <f t="shared" si="137"/>
        <v/>
      </c>
      <c r="J229" s="318">
        <f t="shared" si="138"/>
        <v>0</v>
      </c>
      <c r="K229" s="318">
        <f t="shared" si="139"/>
        <v>0</v>
      </c>
      <c r="L229" s="318">
        <f t="shared" si="140"/>
        <v>0</v>
      </c>
      <c r="M229" s="318">
        <f t="shared" si="141"/>
        <v>0</v>
      </c>
      <c r="N229" s="318">
        <f t="shared" si="176"/>
        <v>0</v>
      </c>
      <c r="O229" s="318">
        <f t="shared" si="177"/>
        <v>0</v>
      </c>
      <c r="P229" s="318">
        <f t="shared" si="142"/>
        <v>0</v>
      </c>
      <c r="Q229" s="318">
        <f t="shared" si="143"/>
        <v>0</v>
      </c>
      <c r="R229" s="318">
        <f t="shared" si="144"/>
        <v>0</v>
      </c>
      <c r="S229" s="318">
        <f t="shared" si="145"/>
        <v>0</v>
      </c>
      <c r="T229" s="318">
        <f t="shared" si="178"/>
        <v>0</v>
      </c>
      <c r="U229" s="318">
        <f t="shared" si="179"/>
        <v>0</v>
      </c>
      <c r="V229" s="318">
        <f t="shared" si="146"/>
        <v>0</v>
      </c>
      <c r="W229" s="318">
        <f t="shared" si="147"/>
        <v>0</v>
      </c>
      <c r="X229" s="318">
        <f t="shared" si="148"/>
        <v>0</v>
      </c>
      <c r="Y229" s="318">
        <f t="shared" si="149"/>
        <v>0</v>
      </c>
      <c r="Z229" s="318">
        <f t="shared" si="150"/>
        <v>0</v>
      </c>
      <c r="AA229" s="318">
        <f t="shared" si="151"/>
        <v>0</v>
      </c>
      <c r="AB229" s="318">
        <f t="shared" si="152"/>
        <v>0</v>
      </c>
      <c r="AC229" s="318">
        <f t="shared" si="153"/>
        <v>0</v>
      </c>
      <c r="AD229" s="318">
        <f t="shared" si="154"/>
        <v>0</v>
      </c>
      <c r="AE229" s="318">
        <f t="shared" si="155"/>
        <v>0</v>
      </c>
      <c r="AF229" s="318">
        <f t="shared" si="180"/>
        <v>0</v>
      </c>
      <c r="AG229" s="318">
        <f t="shared" si="181"/>
        <v>0</v>
      </c>
      <c r="AH229" s="318">
        <f t="shared" si="156"/>
        <v>0</v>
      </c>
      <c r="AI229" s="318">
        <f t="shared" si="157"/>
        <v>0</v>
      </c>
      <c r="AJ229" s="318">
        <f t="shared" si="158"/>
        <v>0</v>
      </c>
      <c r="AK229" s="318">
        <f t="shared" si="159"/>
        <v>0</v>
      </c>
      <c r="AL229" s="318">
        <f t="shared" si="160"/>
        <v>0</v>
      </c>
      <c r="AM229" s="318">
        <f t="shared" si="161"/>
        <v>0</v>
      </c>
      <c r="AN229" s="318">
        <f t="shared" si="162"/>
        <v>0</v>
      </c>
      <c r="AO229" s="318">
        <f t="shared" si="163"/>
        <v>0</v>
      </c>
      <c r="AP229" s="318">
        <f t="shared" si="164"/>
        <v>0</v>
      </c>
      <c r="AQ229" s="318">
        <f t="shared" si="165"/>
        <v>0</v>
      </c>
      <c r="AR229" s="318">
        <f t="shared" si="166"/>
        <v>0</v>
      </c>
      <c r="AS229" s="318">
        <f t="shared" si="167"/>
        <v>0</v>
      </c>
      <c r="AT229" s="318">
        <f t="shared" si="168"/>
        <v>0</v>
      </c>
      <c r="AU229" s="318">
        <f t="shared" si="169"/>
        <v>0</v>
      </c>
      <c r="AV229" s="318">
        <f t="shared" si="170"/>
        <v>0</v>
      </c>
      <c r="AW229" s="318">
        <f t="shared" si="171"/>
        <v>0</v>
      </c>
      <c r="AX229" s="318">
        <f t="shared" si="172"/>
        <v>0</v>
      </c>
      <c r="AY229" s="318">
        <f t="shared" si="173"/>
        <v>0</v>
      </c>
      <c r="AZ229" s="318">
        <f t="shared" si="174"/>
        <v>0</v>
      </c>
      <c r="BA229" s="318">
        <f t="shared" si="175"/>
        <v>0</v>
      </c>
    </row>
    <row r="230" spans="1:53" s="315" customFormat="1" ht="15.75" customHeight="1">
      <c r="A230" s="63" t="str">
        <f t="array" ref="A230">IF(C230&lt;&gt;0,SUM(($C$11:C230&lt;&gt;0)*1),"")</f>
        <v/>
      </c>
      <c r="B230" s="316"/>
      <c r="C230" s="316"/>
      <c r="D230" s="316"/>
      <c r="E230" s="436"/>
      <c r="F230" s="372"/>
      <c r="G230" s="374"/>
      <c r="H230" s="374"/>
      <c r="I230" s="63" t="str">
        <f t="shared" si="137"/>
        <v/>
      </c>
      <c r="J230" s="318">
        <f t="shared" si="138"/>
        <v>0</v>
      </c>
      <c r="K230" s="318">
        <f t="shared" si="139"/>
        <v>0</v>
      </c>
      <c r="L230" s="318">
        <f t="shared" si="140"/>
        <v>0</v>
      </c>
      <c r="M230" s="318">
        <f t="shared" si="141"/>
        <v>0</v>
      </c>
      <c r="N230" s="318">
        <f t="shared" si="176"/>
        <v>0</v>
      </c>
      <c r="O230" s="318">
        <f t="shared" si="177"/>
        <v>0</v>
      </c>
      <c r="P230" s="318">
        <f t="shared" si="142"/>
        <v>0</v>
      </c>
      <c r="Q230" s="318">
        <f t="shared" si="143"/>
        <v>0</v>
      </c>
      <c r="R230" s="318">
        <f t="shared" si="144"/>
        <v>0</v>
      </c>
      <c r="S230" s="318">
        <f t="shared" si="145"/>
        <v>0</v>
      </c>
      <c r="T230" s="318">
        <f t="shared" si="178"/>
        <v>0</v>
      </c>
      <c r="U230" s="318">
        <f t="shared" si="179"/>
        <v>0</v>
      </c>
      <c r="V230" s="318">
        <f t="shared" si="146"/>
        <v>0</v>
      </c>
      <c r="W230" s="318">
        <f t="shared" si="147"/>
        <v>0</v>
      </c>
      <c r="X230" s="318">
        <f t="shared" si="148"/>
        <v>0</v>
      </c>
      <c r="Y230" s="318">
        <f t="shared" si="149"/>
        <v>0</v>
      </c>
      <c r="Z230" s="318">
        <f t="shared" si="150"/>
        <v>0</v>
      </c>
      <c r="AA230" s="318">
        <f t="shared" si="151"/>
        <v>0</v>
      </c>
      <c r="AB230" s="318">
        <f t="shared" si="152"/>
        <v>0</v>
      </c>
      <c r="AC230" s="318">
        <f t="shared" si="153"/>
        <v>0</v>
      </c>
      <c r="AD230" s="318">
        <f t="shared" si="154"/>
        <v>0</v>
      </c>
      <c r="AE230" s="318">
        <f t="shared" si="155"/>
        <v>0</v>
      </c>
      <c r="AF230" s="318">
        <f t="shared" si="180"/>
        <v>0</v>
      </c>
      <c r="AG230" s="318">
        <f t="shared" si="181"/>
        <v>0</v>
      </c>
      <c r="AH230" s="318">
        <f t="shared" si="156"/>
        <v>0</v>
      </c>
      <c r="AI230" s="318">
        <f t="shared" si="157"/>
        <v>0</v>
      </c>
      <c r="AJ230" s="318">
        <f t="shared" si="158"/>
        <v>0</v>
      </c>
      <c r="AK230" s="318">
        <f t="shared" si="159"/>
        <v>0</v>
      </c>
      <c r="AL230" s="318">
        <f t="shared" si="160"/>
        <v>0</v>
      </c>
      <c r="AM230" s="318">
        <f t="shared" si="161"/>
        <v>0</v>
      </c>
      <c r="AN230" s="318">
        <f t="shared" si="162"/>
        <v>0</v>
      </c>
      <c r="AO230" s="318">
        <f t="shared" si="163"/>
        <v>0</v>
      </c>
      <c r="AP230" s="318">
        <f t="shared" si="164"/>
        <v>0</v>
      </c>
      <c r="AQ230" s="318">
        <f t="shared" si="165"/>
        <v>0</v>
      </c>
      <c r="AR230" s="318">
        <f t="shared" si="166"/>
        <v>0</v>
      </c>
      <c r="AS230" s="318">
        <f t="shared" si="167"/>
        <v>0</v>
      </c>
      <c r="AT230" s="318">
        <f t="shared" si="168"/>
        <v>0</v>
      </c>
      <c r="AU230" s="318">
        <f t="shared" si="169"/>
        <v>0</v>
      </c>
      <c r="AV230" s="318">
        <f t="shared" si="170"/>
        <v>0</v>
      </c>
      <c r="AW230" s="318">
        <f t="shared" si="171"/>
        <v>0</v>
      </c>
      <c r="AX230" s="318">
        <f t="shared" si="172"/>
        <v>0</v>
      </c>
      <c r="AY230" s="318">
        <f t="shared" si="173"/>
        <v>0</v>
      </c>
      <c r="AZ230" s="318">
        <f t="shared" si="174"/>
        <v>0</v>
      </c>
      <c r="BA230" s="318">
        <f t="shared" si="175"/>
        <v>0</v>
      </c>
    </row>
    <row r="231" spans="1:53" s="315" customFormat="1" ht="15.75" customHeight="1">
      <c r="A231" s="63" t="str">
        <f t="array" ref="A231">IF(C231&lt;&gt;0,SUM(($C$11:C231&lt;&gt;0)*1),"")</f>
        <v/>
      </c>
      <c r="B231" s="316"/>
      <c r="C231" s="316"/>
      <c r="D231" s="316"/>
      <c r="E231" s="436"/>
      <c r="F231" s="372"/>
      <c r="G231" s="374"/>
      <c r="H231" s="374"/>
      <c r="I231" s="63" t="str">
        <f>A231</f>
        <v/>
      </c>
      <c r="J231" s="318">
        <f t="shared" si="138"/>
        <v>0</v>
      </c>
      <c r="K231" s="318">
        <f t="shared" si="139"/>
        <v>0</v>
      </c>
      <c r="L231" s="318">
        <f t="shared" si="140"/>
        <v>0</v>
      </c>
      <c r="M231" s="318">
        <f t="shared" si="141"/>
        <v>0</v>
      </c>
      <c r="N231" s="318">
        <f t="shared" si="176"/>
        <v>0</v>
      </c>
      <c r="O231" s="318">
        <f t="shared" si="177"/>
        <v>0</v>
      </c>
      <c r="P231" s="318">
        <f t="shared" si="142"/>
        <v>0</v>
      </c>
      <c r="Q231" s="318">
        <f t="shared" si="143"/>
        <v>0</v>
      </c>
      <c r="R231" s="318">
        <f t="shared" si="144"/>
        <v>0</v>
      </c>
      <c r="S231" s="318">
        <f t="shared" si="145"/>
        <v>0</v>
      </c>
      <c r="T231" s="318">
        <f t="shared" si="178"/>
        <v>0</v>
      </c>
      <c r="U231" s="318">
        <f t="shared" si="179"/>
        <v>0</v>
      </c>
      <c r="V231" s="318">
        <f t="shared" si="146"/>
        <v>0</v>
      </c>
      <c r="W231" s="318">
        <f t="shared" si="147"/>
        <v>0</v>
      </c>
      <c r="X231" s="318">
        <f t="shared" si="148"/>
        <v>0</v>
      </c>
      <c r="Y231" s="318">
        <f t="shared" si="149"/>
        <v>0</v>
      </c>
      <c r="Z231" s="318">
        <f t="shared" si="150"/>
        <v>0</v>
      </c>
      <c r="AA231" s="318">
        <f t="shared" si="151"/>
        <v>0</v>
      </c>
      <c r="AB231" s="318">
        <f t="shared" si="152"/>
        <v>0</v>
      </c>
      <c r="AC231" s="318">
        <f t="shared" si="153"/>
        <v>0</v>
      </c>
      <c r="AD231" s="318">
        <f t="shared" si="154"/>
        <v>0</v>
      </c>
      <c r="AE231" s="318">
        <f t="shared" si="155"/>
        <v>0</v>
      </c>
      <c r="AF231" s="318">
        <f t="shared" si="180"/>
        <v>0</v>
      </c>
      <c r="AG231" s="318">
        <f t="shared" si="181"/>
        <v>0</v>
      </c>
      <c r="AH231" s="318">
        <f t="shared" si="156"/>
        <v>0</v>
      </c>
      <c r="AI231" s="318">
        <f t="shared" si="157"/>
        <v>0</v>
      </c>
      <c r="AJ231" s="318">
        <f t="shared" si="158"/>
        <v>0</v>
      </c>
      <c r="AK231" s="318">
        <f t="shared" si="159"/>
        <v>0</v>
      </c>
      <c r="AL231" s="318">
        <f t="shared" si="160"/>
        <v>0</v>
      </c>
      <c r="AM231" s="318">
        <f t="shared" si="161"/>
        <v>0</v>
      </c>
      <c r="AN231" s="318">
        <f t="shared" si="162"/>
        <v>0</v>
      </c>
      <c r="AO231" s="318">
        <f t="shared" si="163"/>
        <v>0</v>
      </c>
      <c r="AP231" s="318">
        <f t="shared" si="164"/>
        <v>0</v>
      </c>
      <c r="AQ231" s="318">
        <f t="shared" si="165"/>
        <v>0</v>
      </c>
      <c r="AR231" s="318">
        <f t="shared" si="166"/>
        <v>0</v>
      </c>
      <c r="AS231" s="318">
        <f t="shared" si="167"/>
        <v>0</v>
      </c>
      <c r="AT231" s="318">
        <f t="shared" si="168"/>
        <v>0</v>
      </c>
      <c r="AU231" s="318">
        <f t="shared" si="169"/>
        <v>0</v>
      </c>
      <c r="AV231" s="318">
        <f t="shared" si="170"/>
        <v>0</v>
      </c>
      <c r="AW231" s="318">
        <f t="shared" si="171"/>
        <v>0</v>
      </c>
      <c r="AX231" s="318">
        <f t="shared" si="172"/>
        <v>0</v>
      </c>
      <c r="AY231" s="318">
        <f t="shared" si="173"/>
        <v>0</v>
      </c>
      <c r="AZ231" s="318">
        <f t="shared" si="174"/>
        <v>0</v>
      </c>
      <c r="BA231" s="318">
        <f t="shared" si="175"/>
        <v>0</v>
      </c>
    </row>
    <row r="232" spans="1:53" s="315" customFormat="1" ht="15.75" customHeight="1">
      <c r="A232" s="63" t="str">
        <f t="array" ref="A232">IF(C232&lt;&gt;0,SUM(($C$11:C232&lt;&gt;0)*1),"")</f>
        <v/>
      </c>
      <c r="B232" s="316"/>
      <c r="C232" s="316"/>
      <c r="D232" s="316"/>
      <c r="E232" s="436"/>
      <c r="F232" s="372"/>
      <c r="G232" s="374"/>
      <c r="H232" s="374"/>
      <c r="I232" s="63" t="str">
        <f>A232</f>
        <v/>
      </c>
      <c r="J232" s="318">
        <f t="shared" si="138"/>
        <v>0</v>
      </c>
      <c r="K232" s="318">
        <f t="shared" si="139"/>
        <v>0</v>
      </c>
      <c r="L232" s="318">
        <f t="shared" si="140"/>
        <v>0</v>
      </c>
      <c r="M232" s="318">
        <f t="shared" si="141"/>
        <v>0</v>
      </c>
      <c r="N232" s="318">
        <f t="shared" si="176"/>
        <v>0</v>
      </c>
      <c r="O232" s="318">
        <f t="shared" si="177"/>
        <v>0</v>
      </c>
      <c r="P232" s="318">
        <f t="shared" si="142"/>
        <v>0</v>
      </c>
      <c r="Q232" s="318">
        <f t="shared" si="143"/>
        <v>0</v>
      </c>
      <c r="R232" s="318">
        <f t="shared" si="144"/>
        <v>0</v>
      </c>
      <c r="S232" s="318">
        <f t="shared" si="145"/>
        <v>0</v>
      </c>
      <c r="T232" s="318">
        <f t="shared" si="178"/>
        <v>0</v>
      </c>
      <c r="U232" s="318">
        <f t="shared" si="179"/>
        <v>0</v>
      </c>
      <c r="V232" s="318">
        <f t="shared" si="146"/>
        <v>0</v>
      </c>
      <c r="W232" s="318">
        <f t="shared" si="147"/>
        <v>0</v>
      </c>
      <c r="X232" s="318">
        <f t="shared" si="148"/>
        <v>0</v>
      </c>
      <c r="Y232" s="318">
        <f t="shared" si="149"/>
        <v>0</v>
      </c>
      <c r="Z232" s="318">
        <f t="shared" si="150"/>
        <v>0</v>
      </c>
      <c r="AA232" s="318">
        <f t="shared" si="151"/>
        <v>0</v>
      </c>
      <c r="AB232" s="318">
        <f t="shared" si="152"/>
        <v>0</v>
      </c>
      <c r="AC232" s="318">
        <f t="shared" si="153"/>
        <v>0</v>
      </c>
      <c r="AD232" s="318">
        <f t="shared" si="154"/>
        <v>0</v>
      </c>
      <c r="AE232" s="318">
        <f t="shared" si="155"/>
        <v>0</v>
      </c>
      <c r="AF232" s="318">
        <f t="shared" si="180"/>
        <v>0</v>
      </c>
      <c r="AG232" s="318">
        <f t="shared" si="181"/>
        <v>0</v>
      </c>
      <c r="AH232" s="318">
        <f t="shared" si="156"/>
        <v>0</v>
      </c>
      <c r="AI232" s="318">
        <f t="shared" si="157"/>
        <v>0</v>
      </c>
      <c r="AJ232" s="318">
        <f t="shared" si="158"/>
        <v>0</v>
      </c>
      <c r="AK232" s="318">
        <f t="shared" si="159"/>
        <v>0</v>
      </c>
      <c r="AL232" s="318">
        <f t="shared" si="160"/>
        <v>0</v>
      </c>
      <c r="AM232" s="318">
        <f t="shared" si="161"/>
        <v>0</v>
      </c>
      <c r="AN232" s="318">
        <f t="shared" si="162"/>
        <v>0</v>
      </c>
      <c r="AO232" s="318">
        <f t="shared" si="163"/>
        <v>0</v>
      </c>
      <c r="AP232" s="318">
        <f t="shared" si="164"/>
        <v>0</v>
      </c>
      <c r="AQ232" s="318">
        <f t="shared" si="165"/>
        <v>0</v>
      </c>
      <c r="AR232" s="318">
        <f t="shared" si="166"/>
        <v>0</v>
      </c>
      <c r="AS232" s="318">
        <f t="shared" si="167"/>
        <v>0</v>
      </c>
      <c r="AT232" s="318">
        <f t="shared" si="168"/>
        <v>0</v>
      </c>
      <c r="AU232" s="318">
        <f t="shared" si="169"/>
        <v>0</v>
      </c>
      <c r="AV232" s="318">
        <f t="shared" si="170"/>
        <v>0</v>
      </c>
      <c r="AW232" s="318">
        <f t="shared" si="171"/>
        <v>0</v>
      </c>
      <c r="AX232" s="318">
        <f t="shared" si="172"/>
        <v>0</v>
      </c>
      <c r="AY232" s="318">
        <f t="shared" si="173"/>
        <v>0</v>
      </c>
      <c r="AZ232" s="318">
        <f t="shared" si="174"/>
        <v>0</v>
      </c>
      <c r="BA232" s="318">
        <f t="shared" si="175"/>
        <v>0</v>
      </c>
    </row>
    <row r="233" spans="1:53" s="315" customFormat="1" ht="15.75" customHeight="1">
      <c r="A233" s="63" t="str">
        <f t="array" ref="A233">IF(C233&lt;&gt;0,SUM(($C$11:C233&lt;&gt;0)*1),"")</f>
        <v/>
      </c>
      <c r="B233" s="316"/>
      <c r="C233" s="316"/>
      <c r="D233" s="316"/>
      <c r="E233" s="436"/>
      <c r="F233" s="372"/>
      <c r="G233" s="374"/>
      <c r="H233" s="374"/>
      <c r="I233" s="63" t="str">
        <f>A233</f>
        <v/>
      </c>
      <c r="J233" s="318">
        <f t="shared" si="138"/>
        <v>0</v>
      </c>
      <c r="K233" s="318">
        <f t="shared" si="139"/>
        <v>0</v>
      </c>
      <c r="L233" s="318">
        <f t="shared" si="140"/>
        <v>0</v>
      </c>
      <c r="M233" s="318">
        <f t="shared" si="141"/>
        <v>0</v>
      </c>
      <c r="N233" s="318">
        <f t="shared" si="176"/>
        <v>0</v>
      </c>
      <c r="O233" s="318">
        <f t="shared" si="177"/>
        <v>0</v>
      </c>
      <c r="P233" s="318">
        <f t="shared" si="142"/>
        <v>0</v>
      </c>
      <c r="Q233" s="318">
        <f t="shared" si="143"/>
        <v>0</v>
      </c>
      <c r="R233" s="318">
        <f t="shared" si="144"/>
        <v>0</v>
      </c>
      <c r="S233" s="318">
        <f t="shared" si="145"/>
        <v>0</v>
      </c>
      <c r="T233" s="318">
        <f t="shared" si="178"/>
        <v>0</v>
      </c>
      <c r="U233" s="318">
        <f t="shared" si="179"/>
        <v>0</v>
      </c>
      <c r="V233" s="318">
        <f t="shared" si="146"/>
        <v>0</v>
      </c>
      <c r="W233" s="318">
        <f t="shared" si="147"/>
        <v>0</v>
      </c>
      <c r="X233" s="318">
        <f t="shared" si="148"/>
        <v>0</v>
      </c>
      <c r="Y233" s="318">
        <f t="shared" si="149"/>
        <v>0</v>
      </c>
      <c r="Z233" s="318">
        <f t="shared" si="150"/>
        <v>0</v>
      </c>
      <c r="AA233" s="318">
        <f t="shared" si="151"/>
        <v>0</v>
      </c>
      <c r="AB233" s="318">
        <f t="shared" si="152"/>
        <v>0</v>
      </c>
      <c r="AC233" s="318">
        <f t="shared" si="153"/>
        <v>0</v>
      </c>
      <c r="AD233" s="318">
        <f t="shared" si="154"/>
        <v>0</v>
      </c>
      <c r="AE233" s="318">
        <f t="shared" si="155"/>
        <v>0</v>
      </c>
      <c r="AF233" s="318">
        <f t="shared" si="180"/>
        <v>0</v>
      </c>
      <c r="AG233" s="318">
        <f t="shared" si="181"/>
        <v>0</v>
      </c>
      <c r="AH233" s="318">
        <f t="shared" si="156"/>
        <v>0</v>
      </c>
      <c r="AI233" s="318">
        <f t="shared" si="157"/>
        <v>0</v>
      </c>
      <c r="AJ233" s="318">
        <f t="shared" si="158"/>
        <v>0</v>
      </c>
      <c r="AK233" s="318">
        <f t="shared" si="159"/>
        <v>0</v>
      </c>
      <c r="AL233" s="318">
        <f t="shared" si="160"/>
        <v>0</v>
      </c>
      <c r="AM233" s="318">
        <f t="shared" si="161"/>
        <v>0</v>
      </c>
      <c r="AN233" s="318">
        <f t="shared" si="162"/>
        <v>0</v>
      </c>
      <c r="AO233" s="318">
        <f t="shared" si="163"/>
        <v>0</v>
      </c>
      <c r="AP233" s="318">
        <f t="shared" si="164"/>
        <v>0</v>
      </c>
      <c r="AQ233" s="318">
        <f t="shared" si="165"/>
        <v>0</v>
      </c>
      <c r="AR233" s="318">
        <f t="shared" si="166"/>
        <v>0</v>
      </c>
      <c r="AS233" s="318">
        <f t="shared" si="167"/>
        <v>0</v>
      </c>
      <c r="AT233" s="318">
        <f t="shared" si="168"/>
        <v>0</v>
      </c>
      <c r="AU233" s="318">
        <f t="shared" si="169"/>
        <v>0</v>
      </c>
      <c r="AV233" s="318">
        <f t="shared" si="170"/>
        <v>0</v>
      </c>
      <c r="AW233" s="318">
        <f t="shared" si="171"/>
        <v>0</v>
      </c>
      <c r="AX233" s="318">
        <f t="shared" si="172"/>
        <v>0</v>
      </c>
      <c r="AY233" s="318">
        <f t="shared" si="173"/>
        <v>0</v>
      </c>
      <c r="AZ233" s="318">
        <f t="shared" si="174"/>
        <v>0</v>
      </c>
      <c r="BA233" s="318">
        <f t="shared" si="175"/>
        <v>0</v>
      </c>
    </row>
    <row r="234" spans="1:53" s="315" customFormat="1" ht="15.75" customHeight="1">
      <c r="A234" s="63" t="str">
        <f t="array" ref="A234">IF(C234&lt;&gt;0,SUM(($C$11:C234&lt;&gt;0)*1),"")</f>
        <v/>
      </c>
      <c r="B234" s="316"/>
      <c r="C234" s="316"/>
      <c r="D234" s="316"/>
      <c r="E234" s="436"/>
      <c r="F234" s="372"/>
      <c r="G234" s="374"/>
      <c r="H234" s="374"/>
      <c r="I234" s="63" t="str">
        <f>A234</f>
        <v/>
      </c>
      <c r="J234" s="318">
        <f t="shared" si="138"/>
        <v>0</v>
      </c>
      <c r="K234" s="318">
        <f t="shared" si="139"/>
        <v>0</v>
      </c>
      <c r="L234" s="318">
        <f t="shared" si="140"/>
        <v>0</v>
      </c>
      <c r="M234" s="318">
        <f t="shared" si="141"/>
        <v>0</v>
      </c>
      <c r="N234" s="318">
        <f t="shared" si="176"/>
        <v>0</v>
      </c>
      <c r="O234" s="318">
        <f t="shared" si="177"/>
        <v>0</v>
      </c>
      <c r="P234" s="318">
        <f t="shared" si="142"/>
        <v>0</v>
      </c>
      <c r="Q234" s="318">
        <f t="shared" si="143"/>
        <v>0</v>
      </c>
      <c r="R234" s="318">
        <f t="shared" si="144"/>
        <v>0</v>
      </c>
      <c r="S234" s="318">
        <f t="shared" si="145"/>
        <v>0</v>
      </c>
      <c r="T234" s="318">
        <f t="shared" si="178"/>
        <v>0</v>
      </c>
      <c r="U234" s="318">
        <f t="shared" si="179"/>
        <v>0</v>
      </c>
      <c r="V234" s="318">
        <f t="shared" si="146"/>
        <v>0</v>
      </c>
      <c r="W234" s="318">
        <f t="shared" si="147"/>
        <v>0</v>
      </c>
      <c r="X234" s="318">
        <f t="shared" si="148"/>
        <v>0</v>
      </c>
      <c r="Y234" s="318">
        <f t="shared" si="149"/>
        <v>0</v>
      </c>
      <c r="Z234" s="318">
        <f t="shared" si="150"/>
        <v>0</v>
      </c>
      <c r="AA234" s="318">
        <f t="shared" si="151"/>
        <v>0</v>
      </c>
      <c r="AB234" s="318">
        <f t="shared" si="152"/>
        <v>0</v>
      </c>
      <c r="AC234" s="318">
        <f t="shared" si="153"/>
        <v>0</v>
      </c>
      <c r="AD234" s="318">
        <f t="shared" si="154"/>
        <v>0</v>
      </c>
      <c r="AE234" s="318">
        <f t="shared" si="155"/>
        <v>0</v>
      </c>
      <c r="AF234" s="318">
        <f t="shared" si="180"/>
        <v>0</v>
      </c>
      <c r="AG234" s="318">
        <f t="shared" si="181"/>
        <v>0</v>
      </c>
      <c r="AH234" s="318">
        <f t="shared" si="156"/>
        <v>0</v>
      </c>
      <c r="AI234" s="318">
        <f t="shared" si="157"/>
        <v>0</v>
      </c>
      <c r="AJ234" s="318">
        <f t="shared" si="158"/>
        <v>0</v>
      </c>
      <c r="AK234" s="318">
        <f t="shared" si="159"/>
        <v>0</v>
      </c>
      <c r="AL234" s="318">
        <f t="shared" si="160"/>
        <v>0</v>
      </c>
      <c r="AM234" s="318">
        <f t="shared" si="161"/>
        <v>0</v>
      </c>
      <c r="AN234" s="318">
        <f t="shared" si="162"/>
        <v>0</v>
      </c>
      <c r="AO234" s="318">
        <f t="shared" si="163"/>
        <v>0</v>
      </c>
      <c r="AP234" s="318">
        <f t="shared" si="164"/>
        <v>0</v>
      </c>
      <c r="AQ234" s="318">
        <f t="shared" si="165"/>
        <v>0</v>
      </c>
      <c r="AR234" s="318">
        <f t="shared" si="166"/>
        <v>0</v>
      </c>
      <c r="AS234" s="318">
        <f t="shared" si="167"/>
        <v>0</v>
      </c>
      <c r="AT234" s="318">
        <f t="shared" si="168"/>
        <v>0</v>
      </c>
      <c r="AU234" s="318">
        <f t="shared" si="169"/>
        <v>0</v>
      </c>
      <c r="AV234" s="318">
        <f t="shared" si="170"/>
        <v>0</v>
      </c>
      <c r="AW234" s="318">
        <f t="shared" si="171"/>
        <v>0</v>
      </c>
      <c r="AX234" s="318">
        <f t="shared" si="172"/>
        <v>0</v>
      </c>
      <c r="AY234" s="318">
        <f t="shared" si="173"/>
        <v>0</v>
      </c>
      <c r="AZ234" s="318">
        <f t="shared" si="174"/>
        <v>0</v>
      </c>
      <c r="BA234" s="318">
        <f t="shared" si="175"/>
        <v>0</v>
      </c>
    </row>
    <row r="235" spans="1:53" s="315" customFormat="1" ht="15.75" customHeight="1">
      <c r="A235" s="63" t="str">
        <f t="array" ref="A235">IF(C235&lt;&gt;0,SUM(($C$11:C235&lt;&gt;0)*1),"")</f>
        <v/>
      </c>
      <c r="B235" s="316"/>
      <c r="C235" s="316"/>
      <c r="D235" s="316"/>
      <c r="E235" s="436"/>
      <c r="F235" s="372"/>
      <c r="G235" s="374"/>
      <c r="H235" s="374"/>
      <c r="I235" s="63" t="str">
        <f>A235</f>
        <v/>
      </c>
      <c r="J235" s="318">
        <f t="shared" si="138"/>
        <v>0</v>
      </c>
      <c r="K235" s="318">
        <f t="shared" si="139"/>
        <v>0</v>
      </c>
      <c r="L235" s="318">
        <f t="shared" si="140"/>
        <v>0</v>
      </c>
      <c r="M235" s="318">
        <f t="shared" si="141"/>
        <v>0</v>
      </c>
      <c r="N235" s="318">
        <f t="shared" si="176"/>
        <v>0</v>
      </c>
      <c r="O235" s="318">
        <f t="shared" si="177"/>
        <v>0</v>
      </c>
      <c r="P235" s="318">
        <f t="shared" si="142"/>
        <v>0</v>
      </c>
      <c r="Q235" s="318">
        <f t="shared" si="143"/>
        <v>0</v>
      </c>
      <c r="R235" s="318">
        <f t="shared" si="144"/>
        <v>0</v>
      </c>
      <c r="S235" s="318">
        <f t="shared" si="145"/>
        <v>0</v>
      </c>
      <c r="T235" s="318">
        <f t="shared" si="178"/>
        <v>0</v>
      </c>
      <c r="U235" s="318">
        <f t="shared" si="179"/>
        <v>0</v>
      </c>
      <c r="V235" s="318">
        <f t="shared" si="146"/>
        <v>0</v>
      </c>
      <c r="W235" s="318">
        <f t="shared" si="147"/>
        <v>0</v>
      </c>
      <c r="X235" s="318">
        <f t="shared" si="148"/>
        <v>0</v>
      </c>
      <c r="Y235" s="318">
        <f t="shared" si="149"/>
        <v>0</v>
      </c>
      <c r="Z235" s="318">
        <f t="shared" si="150"/>
        <v>0</v>
      </c>
      <c r="AA235" s="318">
        <f t="shared" si="151"/>
        <v>0</v>
      </c>
      <c r="AB235" s="318">
        <f t="shared" si="152"/>
        <v>0</v>
      </c>
      <c r="AC235" s="318">
        <f t="shared" si="153"/>
        <v>0</v>
      </c>
      <c r="AD235" s="318">
        <f t="shared" si="154"/>
        <v>0</v>
      </c>
      <c r="AE235" s="318">
        <f t="shared" si="155"/>
        <v>0</v>
      </c>
      <c r="AF235" s="318">
        <f t="shared" si="180"/>
        <v>0</v>
      </c>
      <c r="AG235" s="318">
        <f t="shared" si="181"/>
        <v>0</v>
      </c>
      <c r="AH235" s="318">
        <f t="shared" si="156"/>
        <v>0</v>
      </c>
      <c r="AI235" s="318">
        <f t="shared" si="157"/>
        <v>0</v>
      </c>
      <c r="AJ235" s="318">
        <f t="shared" si="158"/>
        <v>0</v>
      </c>
      <c r="AK235" s="318">
        <f t="shared" si="159"/>
        <v>0</v>
      </c>
      <c r="AL235" s="318">
        <f t="shared" si="160"/>
        <v>0</v>
      </c>
      <c r="AM235" s="318">
        <f t="shared" si="161"/>
        <v>0</v>
      </c>
      <c r="AN235" s="318">
        <f t="shared" si="162"/>
        <v>0</v>
      </c>
      <c r="AO235" s="318">
        <f t="shared" si="163"/>
        <v>0</v>
      </c>
      <c r="AP235" s="318">
        <f t="shared" si="164"/>
        <v>0</v>
      </c>
      <c r="AQ235" s="318">
        <f t="shared" si="165"/>
        <v>0</v>
      </c>
      <c r="AR235" s="318">
        <f t="shared" si="166"/>
        <v>0</v>
      </c>
      <c r="AS235" s="318">
        <f t="shared" si="167"/>
        <v>0</v>
      </c>
      <c r="AT235" s="318">
        <f t="shared" si="168"/>
        <v>0</v>
      </c>
      <c r="AU235" s="318">
        <f t="shared" si="169"/>
        <v>0</v>
      </c>
      <c r="AV235" s="318">
        <f t="shared" si="170"/>
        <v>0</v>
      </c>
      <c r="AW235" s="318">
        <f t="shared" si="171"/>
        <v>0</v>
      </c>
      <c r="AX235" s="318">
        <f t="shared" si="172"/>
        <v>0</v>
      </c>
      <c r="AY235" s="318">
        <f t="shared" si="173"/>
        <v>0</v>
      </c>
      <c r="AZ235" s="318">
        <f t="shared" si="174"/>
        <v>0</v>
      </c>
      <c r="BA235" s="318">
        <f t="shared" si="175"/>
        <v>0</v>
      </c>
    </row>
    <row r="236" spans="1:53" s="315" customFormat="1" ht="15.75" customHeight="1">
      <c r="A236" s="63">
        <f t="array" aca="1" ref="A236" ca="1">IF(C236&lt;&gt;0,SUM(($C$11:C236&lt;&gt;0)*1),"")</f>
        <v>2</v>
      </c>
      <c r="B236" s="319">
        <v>42277</v>
      </c>
      <c r="C236" s="319" t="s">
        <v>115</v>
      </c>
      <c r="D236" s="319">
        <f t="shared" ref="D236:D241" si="182">B236</f>
        <v>42277</v>
      </c>
      <c r="E236" s="320" t="s">
        <v>116</v>
      </c>
      <c r="F236" s="86">
        <f ca="1">AP243</f>
        <v>0</v>
      </c>
      <c r="G236" s="321" t="s">
        <v>165</v>
      </c>
      <c r="H236" s="321" t="s">
        <v>99</v>
      </c>
      <c r="I236" s="63">
        <f t="shared" ref="I236:I242" ca="1" si="183">A236</f>
        <v>2</v>
      </c>
      <c r="J236" s="318">
        <f t="shared" si="138"/>
        <v>0</v>
      </c>
      <c r="K236" s="318">
        <f t="shared" si="139"/>
        <v>0</v>
      </c>
      <c r="L236" s="318">
        <f t="shared" si="140"/>
        <v>0</v>
      </c>
      <c r="M236" s="318">
        <f t="shared" si="141"/>
        <v>0</v>
      </c>
      <c r="N236" s="318">
        <f t="shared" si="176"/>
        <v>0</v>
      </c>
      <c r="O236" s="318">
        <f t="shared" si="177"/>
        <v>0</v>
      </c>
      <c r="P236" s="318">
        <f t="shared" si="142"/>
        <v>0</v>
      </c>
      <c r="Q236" s="318">
        <f t="shared" si="143"/>
        <v>0</v>
      </c>
      <c r="R236" s="318">
        <f t="shared" si="144"/>
        <v>0</v>
      </c>
      <c r="S236" s="318">
        <f t="shared" si="145"/>
        <v>0</v>
      </c>
      <c r="T236" s="318">
        <f t="shared" ca="1" si="178"/>
        <v>0</v>
      </c>
      <c r="U236" s="318">
        <f t="shared" si="179"/>
        <v>0</v>
      </c>
      <c r="V236" s="318">
        <f t="shared" si="146"/>
        <v>0</v>
      </c>
      <c r="W236" s="318">
        <f t="shared" si="147"/>
        <v>0</v>
      </c>
      <c r="X236" s="318">
        <f t="shared" si="148"/>
        <v>0</v>
      </c>
      <c r="Y236" s="318">
        <f t="shared" si="149"/>
        <v>0</v>
      </c>
      <c r="Z236" s="318">
        <f t="shared" si="150"/>
        <v>0</v>
      </c>
      <c r="AA236" s="318">
        <f t="shared" si="151"/>
        <v>0</v>
      </c>
      <c r="AB236" s="318">
        <f t="shared" si="152"/>
        <v>0</v>
      </c>
      <c r="AC236" s="318">
        <f t="shared" si="153"/>
        <v>0</v>
      </c>
      <c r="AD236" s="318">
        <f t="shared" si="154"/>
        <v>0</v>
      </c>
      <c r="AE236" s="318">
        <f t="shared" si="155"/>
        <v>0</v>
      </c>
      <c r="AF236" s="318">
        <f t="shared" si="180"/>
        <v>0</v>
      </c>
      <c r="AG236" s="318">
        <f t="shared" si="181"/>
        <v>0</v>
      </c>
      <c r="AH236" s="318">
        <f t="shared" si="156"/>
        <v>0</v>
      </c>
      <c r="AI236" s="318">
        <f t="shared" si="157"/>
        <v>0</v>
      </c>
      <c r="AJ236" s="318">
        <f t="shared" si="158"/>
        <v>0</v>
      </c>
      <c r="AK236" s="318">
        <f t="shared" si="159"/>
        <v>0</v>
      </c>
      <c r="AL236" s="318">
        <f t="shared" si="160"/>
        <v>0</v>
      </c>
      <c r="AM236" s="318">
        <f t="shared" si="161"/>
        <v>0</v>
      </c>
      <c r="AN236" s="318">
        <f t="shared" si="162"/>
        <v>0</v>
      </c>
      <c r="AO236" s="318">
        <f t="shared" si="163"/>
        <v>0</v>
      </c>
      <c r="AP236" s="318">
        <f t="shared" si="164"/>
        <v>0</v>
      </c>
      <c r="AQ236" s="318">
        <f t="shared" ca="1" si="165"/>
        <v>0</v>
      </c>
      <c r="AR236" s="318">
        <f t="shared" si="166"/>
        <v>0</v>
      </c>
      <c r="AS236" s="318">
        <f t="shared" si="167"/>
        <v>0</v>
      </c>
      <c r="AT236" s="318">
        <f t="shared" si="168"/>
        <v>0</v>
      </c>
      <c r="AU236" s="318">
        <f t="shared" si="169"/>
        <v>0</v>
      </c>
      <c r="AV236" s="318">
        <f t="shared" si="170"/>
        <v>0</v>
      </c>
      <c r="AW236" s="318">
        <f t="shared" si="171"/>
        <v>0</v>
      </c>
      <c r="AX236" s="318">
        <f t="shared" si="172"/>
        <v>0</v>
      </c>
      <c r="AY236" s="318">
        <f t="shared" si="173"/>
        <v>0</v>
      </c>
      <c r="AZ236" s="318">
        <f t="shared" si="174"/>
        <v>0</v>
      </c>
      <c r="BA236" s="318">
        <f t="shared" si="175"/>
        <v>0</v>
      </c>
    </row>
    <row r="237" spans="1:53" s="315" customFormat="1" ht="15.75" customHeight="1">
      <c r="A237" s="63">
        <f t="array" aca="1" ref="A237" ca="1">IF(C237&lt;&gt;0,SUM(($C$11:C237&lt;&gt;0)*1),"")</f>
        <v>3</v>
      </c>
      <c r="B237" s="319">
        <v>42277</v>
      </c>
      <c r="C237" s="319" t="s">
        <v>115</v>
      </c>
      <c r="D237" s="319">
        <f t="shared" si="182"/>
        <v>42277</v>
      </c>
      <c r="E237" s="320" t="s">
        <v>117</v>
      </c>
      <c r="F237" s="86">
        <f ca="1">AR243</f>
        <v>0</v>
      </c>
      <c r="G237" s="321" t="s">
        <v>109</v>
      </c>
      <c r="H237" s="321" t="s">
        <v>101</v>
      </c>
      <c r="I237" s="63">
        <f t="shared" ca="1" si="183"/>
        <v>3</v>
      </c>
      <c r="J237" s="318">
        <f t="shared" si="138"/>
        <v>0</v>
      </c>
      <c r="K237" s="318">
        <f t="shared" si="139"/>
        <v>0</v>
      </c>
      <c r="L237" s="318">
        <f t="shared" si="140"/>
        <v>0</v>
      </c>
      <c r="M237" s="318">
        <f t="shared" si="141"/>
        <v>0</v>
      </c>
      <c r="N237" s="318">
        <f t="shared" si="176"/>
        <v>0</v>
      </c>
      <c r="O237" s="318">
        <f t="shared" si="177"/>
        <v>0</v>
      </c>
      <c r="P237" s="318">
        <f t="shared" si="142"/>
        <v>0</v>
      </c>
      <c r="Q237" s="318">
        <f t="shared" si="143"/>
        <v>0</v>
      </c>
      <c r="R237" s="318">
        <f t="shared" si="144"/>
        <v>0</v>
      </c>
      <c r="S237" s="318">
        <f t="shared" si="145"/>
        <v>0</v>
      </c>
      <c r="T237" s="318">
        <f t="shared" si="178"/>
        <v>0</v>
      </c>
      <c r="U237" s="318">
        <f t="shared" si="179"/>
        <v>0</v>
      </c>
      <c r="V237" s="318">
        <f t="shared" si="146"/>
        <v>0</v>
      </c>
      <c r="W237" s="318">
        <f t="shared" si="147"/>
        <v>0</v>
      </c>
      <c r="X237" s="318">
        <f t="shared" si="148"/>
        <v>0</v>
      </c>
      <c r="Y237" s="318">
        <f t="shared" si="149"/>
        <v>0</v>
      </c>
      <c r="Z237" s="318">
        <f t="shared" si="150"/>
        <v>0</v>
      </c>
      <c r="AA237" s="318">
        <f t="shared" si="151"/>
        <v>0</v>
      </c>
      <c r="AB237" s="318">
        <f t="shared" si="152"/>
        <v>0</v>
      </c>
      <c r="AC237" s="318">
        <f t="shared" si="153"/>
        <v>0</v>
      </c>
      <c r="AD237" s="318">
        <f t="shared" si="154"/>
        <v>0</v>
      </c>
      <c r="AE237" s="318">
        <f t="shared" si="155"/>
        <v>0</v>
      </c>
      <c r="AF237" s="318">
        <f t="shared" si="180"/>
        <v>0</v>
      </c>
      <c r="AG237" s="318">
        <f t="shared" si="181"/>
        <v>0</v>
      </c>
      <c r="AH237" s="318">
        <f t="shared" si="156"/>
        <v>0</v>
      </c>
      <c r="AI237" s="318">
        <f t="shared" si="157"/>
        <v>0</v>
      </c>
      <c r="AJ237" s="318">
        <f t="shared" si="158"/>
        <v>0</v>
      </c>
      <c r="AK237" s="318">
        <f t="shared" si="159"/>
        <v>0</v>
      </c>
      <c r="AL237" s="318">
        <f t="shared" si="160"/>
        <v>0</v>
      </c>
      <c r="AM237" s="318">
        <f t="shared" si="161"/>
        <v>0</v>
      </c>
      <c r="AN237" s="318">
        <f t="shared" si="162"/>
        <v>0</v>
      </c>
      <c r="AO237" s="318">
        <f t="shared" si="163"/>
        <v>0</v>
      </c>
      <c r="AP237" s="318">
        <f t="shared" si="164"/>
        <v>0</v>
      </c>
      <c r="AQ237" s="318">
        <f t="shared" si="165"/>
        <v>0</v>
      </c>
      <c r="AR237" s="318">
        <f t="shared" si="166"/>
        <v>0</v>
      </c>
      <c r="AS237" s="318">
        <f t="shared" ca="1" si="167"/>
        <v>0</v>
      </c>
      <c r="AT237" s="318">
        <f t="shared" si="168"/>
        <v>0</v>
      </c>
      <c r="AU237" s="318">
        <f t="shared" si="169"/>
        <v>0</v>
      </c>
      <c r="AV237" s="318">
        <f t="shared" si="170"/>
        <v>0</v>
      </c>
      <c r="AW237" s="318">
        <f t="shared" si="171"/>
        <v>0</v>
      </c>
      <c r="AX237" s="318">
        <f t="shared" si="172"/>
        <v>0</v>
      </c>
      <c r="AY237" s="318">
        <f t="shared" si="173"/>
        <v>0</v>
      </c>
      <c r="AZ237" s="318">
        <f t="shared" ca="1" si="174"/>
        <v>0</v>
      </c>
      <c r="BA237" s="318">
        <f t="shared" si="175"/>
        <v>0</v>
      </c>
    </row>
    <row r="238" spans="1:53" s="315" customFormat="1" ht="15.75" customHeight="1">
      <c r="A238" s="63">
        <f t="array" aca="1" ref="A238" ca="1">IF(C238&lt;&gt;0,SUM(($C$11:C238&lt;&gt;0)*1),"")</f>
        <v>4</v>
      </c>
      <c r="B238" s="319">
        <v>42277</v>
      </c>
      <c r="C238" s="319" t="s">
        <v>115</v>
      </c>
      <c r="D238" s="319">
        <f t="shared" si="182"/>
        <v>42277</v>
      </c>
      <c r="E238" s="320" t="s">
        <v>228</v>
      </c>
      <c r="F238" s="86">
        <v>10580244</v>
      </c>
      <c r="G238" s="321" t="s">
        <v>94</v>
      </c>
      <c r="H238" s="321" t="s">
        <v>109</v>
      </c>
      <c r="I238" s="63">
        <f t="shared" ca="1" si="183"/>
        <v>4</v>
      </c>
      <c r="J238" s="318">
        <f t="shared" si="138"/>
        <v>0</v>
      </c>
      <c r="K238" s="318">
        <f t="shared" si="139"/>
        <v>0</v>
      </c>
      <c r="L238" s="318">
        <f t="shared" si="140"/>
        <v>0</v>
      </c>
      <c r="M238" s="318">
        <f t="shared" si="141"/>
        <v>0</v>
      </c>
      <c r="N238" s="318">
        <f t="shared" si="176"/>
        <v>0</v>
      </c>
      <c r="O238" s="318">
        <f t="shared" si="177"/>
        <v>0</v>
      </c>
      <c r="P238" s="318">
        <f t="shared" si="142"/>
        <v>0</v>
      </c>
      <c r="Q238" s="318">
        <f t="shared" si="143"/>
        <v>0</v>
      </c>
      <c r="R238" s="318">
        <f t="shared" si="144"/>
        <v>0</v>
      </c>
      <c r="S238" s="318">
        <f t="shared" si="145"/>
        <v>0</v>
      </c>
      <c r="T238" s="318">
        <f t="shared" si="178"/>
        <v>0</v>
      </c>
      <c r="U238" s="318">
        <f t="shared" si="179"/>
        <v>0</v>
      </c>
      <c r="V238" s="318">
        <f t="shared" si="146"/>
        <v>0</v>
      </c>
      <c r="W238" s="318">
        <f t="shared" si="147"/>
        <v>0</v>
      </c>
      <c r="X238" s="318">
        <f t="shared" si="148"/>
        <v>0</v>
      </c>
      <c r="Y238" s="318">
        <f t="shared" si="149"/>
        <v>0</v>
      </c>
      <c r="Z238" s="318">
        <f t="shared" si="150"/>
        <v>0</v>
      </c>
      <c r="AA238" s="318">
        <f t="shared" si="151"/>
        <v>0</v>
      </c>
      <c r="AB238" s="318">
        <f t="shared" si="152"/>
        <v>0</v>
      </c>
      <c r="AC238" s="318">
        <f t="shared" si="153"/>
        <v>0</v>
      </c>
      <c r="AD238" s="318">
        <f t="shared" si="154"/>
        <v>0</v>
      </c>
      <c r="AE238" s="318">
        <f t="shared" si="155"/>
        <v>0</v>
      </c>
      <c r="AF238" s="318">
        <f t="shared" si="180"/>
        <v>0</v>
      </c>
      <c r="AG238" s="318">
        <f t="shared" si="181"/>
        <v>0</v>
      </c>
      <c r="AH238" s="318">
        <f t="shared" si="156"/>
        <v>0</v>
      </c>
      <c r="AI238" s="318">
        <f t="shared" si="157"/>
        <v>0</v>
      </c>
      <c r="AJ238" s="318">
        <f t="shared" si="158"/>
        <v>0</v>
      </c>
      <c r="AK238" s="318">
        <f t="shared" si="159"/>
        <v>0</v>
      </c>
      <c r="AL238" s="318">
        <f t="shared" si="160"/>
        <v>10580244</v>
      </c>
      <c r="AM238" s="318">
        <f t="shared" si="161"/>
        <v>0</v>
      </c>
      <c r="AN238" s="318">
        <f t="shared" si="162"/>
        <v>0</v>
      </c>
      <c r="AO238" s="318">
        <f t="shared" si="163"/>
        <v>0</v>
      </c>
      <c r="AP238" s="318">
        <f t="shared" si="164"/>
        <v>0</v>
      </c>
      <c r="AQ238" s="318">
        <f t="shared" si="165"/>
        <v>0</v>
      </c>
      <c r="AR238" s="318">
        <f t="shared" si="166"/>
        <v>0</v>
      </c>
      <c r="AS238" s="318">
        <f t="shared" si="167"/>
        <v>0</v>
      </c>
      <c r="AT238" s="318">
        <f t="shared" si="168"/>
        <v>0</v>
      </c>
      <c r="AU238" s="318">
        <f t="shared" si="169"/>
        <v>0</v>
      </c>
      <c r="AV238" s="318">
        <f t="shared" si="170"/>
        <v>0</v>
      </c>
      <c r="AW238" s="318">
        <f t="shared" si="171"/>
        <v>0</v>
      </c>
      <c r="AX238" s="318">
        <f t="shared" si="172"/>
        <v>0</v>
      </c>
      <c r="AY238" s="318">
        <f t="shared" si="173"/>
        <v>0</v>
      </c>
      <c r="AZ238" s="318">
        <f t="shared" si="174"/>
        <v>0</v>
      </c>
      <c r="BA238" s="318">
        <f t="shared" si="175"/>
        <v>10580244</v>
      </c>
    </row>
    <row r="239" spans="1:53" s="315" customFormat="1" ht="15.75" customHeight="1">
      <c r="A239" s="63">
        <f t="array" aca="1" ref="A239" ca="1">IF(C239&lt;&gt;0,SUM(($C$11:C239&lt;&gt;0)*1),"")</f>
        <v>5</v>
      </c>
      <c r="B239" s="319">
        <v>42277</v>
      </c>
      <c r="C239" s="319" t="s">
        <v>115</v>
      </c>
      <c r="D239" s="319">
        <f t="shared" si="182"/>
        <v>42277</v>
      </c>
      <c r="E239" s="320" t="s">
        <v>119</v>
      </c>
      <c r="F239" s="86">
        <f ca="1">AO243</f>
        <v>0</v>
      </c>
      <c r="G239" s="321" t="s">
        <v>43</v>
      </c>
      <c r="H239" s="321" t="s">
        <v>109</v>
      </c>
      <c r="I239" s="63">
        <f t="shared" ca="1" si="183"/>
        <v>5</v>
      </c>
      <c r="J239" s="318">
        <f t="shared" si="138"/>
        <v>0</v>
      </c>
      <c r="K239" s="318">
        <f t="shared" si="139"/>
        <v>0</v>
      </c>
      <c r="L239" s="318">
        <f t="shared" si="140"/>
        <v>0</v>
      </c>
      <c r="M239" s="318">
        <f t="shared" si="141"/>
        <v>0</v>
      </c>
      <c r="N239" s="318">
        <f t="shared" si="176"/>
        <v>0</v>
      </c>
      <c r="O239" s="318">
        <f t="shared" si="177"/>
        <v>0</v>
      </c>
      <c r="P239" s="318">
        <f t="shared" si="142"/>
        <v>0</v>
      </c>
      <c r="Q239" s="318">
        <f t="shared" si="143"/>
        <v>0</v>
      </c>
      <c r="R239" s="318">
        <f t="shared" si="144"/>
        <v>0</v>
      </c>
      <c r="S239" s="318">
        <f t="shared" si="145"/>
        <v>0</v>
      </c>
      <c r="T239" s="318">
        <f t="shared" si="178"/>
        <v>0</v>
      </c>
      <c r="U239" s="318">
        <f t="shared" si="179"/>
        <v>0</v>
      </c>
      <c r="V239" s="318">
        <f t="shared" si="146"/>
        <v>0</v>
      </c>
      <c r="W239" s="318">
        <f t="shared" si="147"/>
        <v>0</v>
      </c>
      <c r="X239" s="318">
        <f t="shared" si="148"/>
        <v>0</v>
      </c>
      <c r="Y239" s="318">
        <f t="shared" si="149"/>
        <v>0</v>
      </c>
      <c r="Z239" s="318">
        <f t="shared" si="150"/>
        <v>0</v>
      </c>
      <c r="AA239" s="318">
        <f t="shared" si="151"/>
        <v>0</v>
      </c>
      <c r="AB239" s="318">
        <f t="shared" si="152"/>
        <v>0</v>
      </c>
      <c r="AC239" s="318">
        <f t="shared" si="153"/>
        <v>0</v>
      </c>
      <c r="AD239" s="318">
        <f t="shared" si="154"/>
        <v>0</v>
      </c>
      <c r="AE239" s="318">
        <f t="shared" si="155"/>
        <v>0</v>
      </c>
      <c r="AF239" s="318">
        <f t="shared" si="180"/>
        <v>0</v>
      </c>
      <c r="AG239" s="318">
        <f t="shared" si="181"/>
        <v>0</v>
      </c>
      <c r="AH239" s="318">
        <f t="shared" si="156"/>
        <v>0</v>
      </c>
      <c r="AI239" s="318">
        <f t="shared" si="157"/>
        <v>0</v>
      </c>
      <c r="AJ239" s="318">
        <f t="shared" si="158"/>
        <v>0</v>
      </c>
      <c r="AK239" s="318">
        <f t="shared" si="159"/>
        <v>0</v>
      </c>
      <c r="AL239" s="318">
        <f t="shared" si="160"/>
        <v>0</v>
      </c>
      <c r="AM239" s="318">
        <f t="shared" si="161"/>
        <v>0</v>
      </c>
      <c r="AN239" s="318">
        <f t="shared" ca="1" si="162"/>
        <v>0</v>
      </c>
      <c r="AO239" s="318">
        <f t="shared" si="163"/>
        <v>0</v>
      </c>
      <c r="AP239" s="318">
        <f t="shared" si="164"/>
        <v>0</v>
      </c>
      <c r="AQ239" s="318">
        <f t="shared" si="165"/>
        <v>0</v>
      </c>
      <c r="AR239" s="318">
        <f t="shared" si="166"/>
        <v>0</v>
      </c>
      <c r="AS239" s="318">
        <f t="shared" si="167"/>
        <v>0</v>
      </c>
      <c r="AT239" s="318">
        <f t="shared" si="168"/>
        <v>0</v>
      </c>
      <c r="AU239" s="318">
        <f t="shared" si="169"/>
        <v>0</v>
      </c>
      <c r="AV239" s="318">
        <f t="shared" si="170"/>
        <v>0</v>
      </c>
      <c r="AW239" s="318">
        <f t="shared" si="171"/>
        <v>0</v>
      </c>
      <c r="AX239" s="318">
        <f t="shared" si="172"/>
        <v>0</v>
      </c>
      <c r="AY239" s="318">
        <f t="shared" si="173"/>
        <v>0</v>
      </c>
      <c r="AZ239" s="318">
        <f t="shared" si="174"/>
        <v>0</v>
      </c>
      <c r="BA239" s="318">
        <f t="shared" ca="1" si="175"/>
        <v>0</v>
      </c>
    </row>
    <row r="240" spans="1:53" s="315" customFormat="1" ht="15.75" customHeight="1">
      <c r="A240" s="63">
        <f t="array" aca="1" ref="A240" ca="1">IF(C240&lt;&gt;0,SUM(($C$11:C240&lt;&gt;0)*1),"")</f>
        <v>6</v>
      </c>
      <c r="B240" s="319">
        <v>42277</v>
      </c>
      <c r="C240" s="319" t="s">
        <v>115</v>
      </c>
      <c r="D240" s="319">
        <f t="shared" si="182"/>
        <v>42277</v>
      </c>
      <c r="E240" s="320" t="s">
        <v>120</v>
      </c>
      <c r="F240" s="86">
        <f ca="1">AU243</f>
        <v>0</v>
      </c>
      <c r="G240" s="321" t="s">
        <v>103</v>
      </c>
      <c r="H240" s="321" t="s">
        <v>109</v>
      </c>
      <c r="I240" s="63">
        <f t="shared" ca="1" si="183"/>
        <v>6</v>
      </c>
      <c r="J240" s="318">
        <f t="shared" si="138"/>
        <v>0</v>
      </c>
      <c r="K240" s="318">
        <f t="shared" si="139"/>
        <v>0</v>
      </c>
      <c r="L240" s="318">
        <f t="shared" si="140"/>
        <v>0</v>
      </c>
      <c r="M240" s="318">
        <f t="shared" si="141"/>
        <v>0</v>
      </c>
      <c r="N240" s="318">
        <f t="shared" si="176"/>
        <v>0</v>
      </c>
      <c r="O240" s="318">
        <f t="shared" si="177"/>
        <v>0</v>
      </c>
      <c r="P240" s="318">
        <f t="shared" si="142"/>
        <v>0</v>
      </c>
      <c r="Q240" s="318">
        <f t="shared" si="143"/>
        <v>0</v>
      </c>
      <c r="R240" s="318">
        <f t="shared" si="144"/>
        <v>0</v>
      </c>
      <c r="S240" s="318">
        <f t="shared" si="145"/>
        <v>0</v>
      </c>
      <c r="T240" s="318">
        <f t="shared" si="178"/>
        <v>0</v>
      </c>
      <c r="U240" s="318">
        <f t="shared" si="179"/>
        <v>0</v>
      </c>
      <c r="V240" s="318">
        <f t="shared" si="146"/>
        <v>0</v>
      </c>
      <c r="W240" s="318">
        <f t="shared" si="147"/>
        <v>0</v>
      </c>
      <c r="X240" s="318">
        <f t="shared" si="148"/>
        <v>0</v>
      </c>
      <c r="Y240" s="318">
        <f t="shared" si="149"/>
        <v>0</v>
      </c>
      <c r="Z240" s="318">
        <f t="shared" si="150"/>
        <v>0</v>
      </c>
      <c r="AA240" s="318">
        <f t="shared" si="151"/>
        <v>0</v>
      </c>
      <c r="AB240" s="318">
        <f t="shared" si="152"/>
        <v>0</v>
      </c>
      <c r="AC240" s="318">
        <f t="shared" si="153"/>
        <v>0</v>
      </c>
      <c r="AD240" s="318">
        <f t="shared" si="154"/>
        <v>0</v>
      </c>
      <c r="AE240" s="318">
        <f t="shared" si="155"/>
        <v>0</v>
      </c>
      <c r="AF240" s="318">
        <f t="shared" si="180"/>
        <v>0</v>
      </c>
      <c r="AG240" s="318">
        <f t="shared" si="181"/>
        <v>0</v>
      </c>
      <c r="AH240" s="318">
        <f t="shared" si="156"/>
        <v>0</v>
      </c>
      <c r="AI240" s="318">
        <f t="shared" si="157"/>
        <v>0</v>
      </c>
      <c r="AJ240" s="318">
        <f t="shared" si="158"/>
        <v>0</v>
      </c>
      <c r="AK240" s="318">
        <f t="shared" si="159"/>
        <v>0</v>
      </c>
      <c r="AL240" s="318">
        <f t="shared" si="160"/>
        <v>0</v>
      </c>
      <c r="AM240" s="318">
        <f t="shared" si="161"/>
        <v>0</v>
      </c>
      <c r="AN240" s="318">
        <f t="shared" si="162"/>
        <v>0</v>
      </c>
      <c r="AO240" s="318">
        <f t="shared" si="163"/>
        <v>0</v>
      </c>
      <c r="AP240" s="318">
        <f t="shared" si="164"/>
        <v>0</v>
      </c>
      <c r="AQ240" s="318">
        <f t="shared" si="165"/>
        <v>0</v>
      </c>
      <c r="AR240" s="318">
        <f t="shared" si="166"/>
        <v>0</v>
      </c>
      <c r="AS240" s="318">
        <f t="shared" si="167"/>
        <v>0</v>
      </c>
      <c r="AT240" s="318">
        <f t="shared" ca="1" si="168"/>
        <v>0</v>
      </c>
      <c r="AU240" s="318">
        <f t="shared" si="169"/>
        <v>0</v>
      </c>
      <c r="AV240" s="318">
        <f t="shared" si="170"/>
        <v>0</v>
      </c>
      <c r="AW240" s="318">
        <f t="shared" si="171"/>
        <v>0</v>
      </c>
      <c r="AX240" s="318">
        <f t="shared" si="172"/>
        <v>0</v>
      </c>
      <c r="AY240" s="318">
        <f t="shared" si="173"/>
        <v>0</v>
      </c>
      <c r="AZ240" s="318">
        <f t="shared" si="174"/>
        <v>0</v>
      </c>
      <c r="BA240" s="318">
        <f t="shared" ca="1" si="175"/>
        <v>0</v>
      </c>
    </row>
    <row r="241" spans="1:53" s="315" customFormat="1" ht="15.75" customHeight="1">
      <c r="A241" s="63">
        <f t="array" aca="1" ref="A241" ca="1">IF(C241&lt;&gt;0,SUM(($C$11:C241&lt;&gt;0)*1),"")</f>
        <v>7</v>
      </c>
      <c r="B241" s="319">
        <v>42277</v>
      </c>
      <c r="C241" s="319" t="s">
        <v>115</v>
      </c>
      <c r="D241" s="319">
        <f t="shared" si="182"/>
        <v>42277</v>
      </c>
      <c r="E241" s="320" t="s">
        <v>121</v>
      </c>
      <c r="F241" s="86">
        <f ca="1">AV243</f>
        <v>0</v>
      </c>
      <c r="G241" s="321" t="s">
        <v>109</v>
      </c>
      <c r="H241" s="321" t="s">
        <v>105</v>
      </c>
      <c r="I241" s="63">
        <f t="shared" ca="1" si="183"/>
        <v>7</v>
      </c>
      <c r="J241" s="318">
        <f t="shared" si="138"/>
        <v>0</v>
      </c>
      <c r="K241" s="318">
        <f t="shared" si="139"/>
        <v>0</v>
      </c>
      <c r="L241" s="318">
        <f t="shared" si="140"/>
        <v>0</v>
      </c>
      <c r="M241" s="318">
        <f t="shared" si="141"/>
        <v>0</v>
      </c>
      <c r="N241" s="318">
        <f t="shared" si="176"/>
        <v>0</v>
      </c>
      <c r="O241" s="318">
        <f t="shared" si="177"/>
        <v>0</v>
      </c>
      <c r="P241" s="318">
        <f t="shared" si="142"/>
        <v>0</v>
      </c>
      <c r="Q241" s="318">
        <f t="shared" si="143"/>
        <v>0</v>
      </c>
      <c r="R241" s="318">
        <f t="shared" si="144"/>
        <v>0</v>
      </c>
      <c r="S241" s="318">
        <f t="shared" si="145"/>
        <v>0</v>
      </c>
      <c r="T241" s="318">
        <f t="shared" si="178"/>
        <v>0</v>
      </c>
      <c r="U241" s="318">
        <f t="shared" si="179"/>
        <v>0</v>
      </c>
      <c r="V241" s="318">
        <f t="shared" si="146"/>
        <v>0</v>
      </c>
      <c r="W241" s="318">
        <f t="shared" si="147"/>
        <v>0</v>
      </c>
      <c r="X241" s="318">
        <f t="shared" si="148"/>
        <v>0</v>
      </c>
      <c r="Y241" s="318">
        <f t="shared" si="149"/>
        <v>0</v>
      </c>
      <c r="Z241" s="318">
        <f t="shared" si="150"/>
        <v>0</v>
      </c>
      <c r="AA241" s="318">
        <f t="shared" si="151"/>
        <v>0</v>
      </c>
      <c r="AB241" s="318">
        <f t="shared" si="152"/>
        <v>0</v>
      </c>
      <c r="AC241" s="318">
        <f t="shared" si="153"/>
        <v>0</v>
      </c>
      <c r="AD241" s="318">
        <f t="shared" si="154"/>
        <v>0</v>
      </c>
      <c r="AE241" s="318">
        <f t="shared" si="155"/>
        <v>0</v>
      </c>
      <c r="AF241" s="318">
        <f t="shared" si="180"/>
        <v>0</v>
      </c>
      <c r="AG241" s="318">
        <f t="shared" si="181"/>
        <v>0</v>
      </c>
      <c r="AH241" s="318">
        <f t="shared" si="156"/>
        <v>0</v>
      </c>
      <c r="AI241" s="318">
        <f t="shared" si="157"/>
        <v>0</v>
      </c>
      <c r="AJ241" s="318">
        <f t="shared" si="158"/>
        <v>0</v>
      </c>
      <c r="AK241" s="318">
        <f t="shared" si="159"/>
        <v>0</v>
      </c>
      <c r="AL241" s="318">
        <f t="shared" si="160"/>
        <v>0</v>
      </c>
      <c r="AM241" s="318">
        <f t="shared" si="161"/>
        <v>0</v>
      </c>
      <c r="AN241" s="318">
        <f t="shared" si="162"/>
        <v>0</v>
      </c>
      <c r="AO241" s="318">
        <f t="shared" si="163"/>
        <v>0</v>
      </c>
      <c r="AP241" s="318">
        <f t="shared" si="164"/>
        <v>0</v>
      </c>
      <c r="AQ241" s="318">
        <f t="shared" si="165"/>
        <v>0</v>
      </c>
      <c r="AR241" s="318">
        <f t="shared" si="166"/>
        <v>0</v>
      </c>
      <c r="AS241" s="318">
        <f t="shared" si="167"/>
        <v>0</v>
      </c>
      <c r="AT241" s="318">
        <f t="shared" si="168"/>
        <v>0</v>
      </c>
      <c r="AU241" s="318">
        <f t="shared" si="169"/>
        <v>0</v>
      </c>
      <c r="AV241" s="318">
        <f t="shared" si="170"/>
        <v>0</v>
      </c>
      <c r="AW241" s="318">
        <f t="shared" ca="1" si="171"/>
        <v>0</v>
      </c>
      <c r="AX241" s="318">
        <f t="shared" si="172"/>
        <v>0</v>
      </c>
      <c r="AY241" s="318">
        <f t="shared" si="173"/>
        <v>0</v>
      </c>
      <c r="AZ241" s="318">
        <f t="shared" ca="1" si="174"/>
        <v>0</v>
      </c>
      <c r="BA241" s="318">
        <f t="shared" si="175"/>
        <v>0</v>
      </c>
    </row>
    <row r="242" spans="1:53" s="315" customFormat="1" ht="15.75" customHeight="1">
      <c r="A242" s="63" t="str">
        <f t="array" ref="A242">IF(C242&lt;&gt;0,SUM(($C$11:C242&lt;&gt;0)*1),"")</f>
        <v/>
      </c>
      <c r="B242" s="279"/>
      <c r="C242" s="322"/>
      <c r="D242" s="279"/>
      <c r="E242" s="317"/>
      <c r="F242" s="65"/>
      <c r="G242" s="323"/>
      <c r="H242" s="323"/>
      <c r="I242" s="63" t="str">
        <f t="shared" si="183"/>
        <v/>
      </c>
      <c r="J242" s="318">
        <f t="shared" si="138"/>
        <v>0</v>
      </c>
      <c r="K242" s="318">
        <f t="shared" si="139"/>
        <v>0</v>
      </c>
      <c r="L242" s="318">
        <f t="shared" si="140"/>
        <v>0</v>
      </c>
      <c r="M242" s="318">
        <f t="shared" si="141"/>
        <v>0</v>
      </c>
      <c r="N242" s="318">
        <f t="shared" si="176"/>
        <v>0</v>
      </c>
      <c r="O242" s="318">
        <f t="shared" si="177"/>
        <v>0</v>
      </c>
      <c r="P242" s="318">
        <f t="shared" si="142"/>
        <v>0</v>
      </c>
      <c r="Q242" s="318">
        <f t="shared" si="143"/>
        <v>0</v>
      </c>
      <c r="R242" s="318">
        <f t="shared" si="144"/>
        <v>0</v>
      </c>
      <c r="S242" s="318">
        <f t="shared" si="145"/>
        <v>0</v>
      </c>
      <c r="T242" s="318">
        <f t="shared" si="178"/>
        <v>0</v>
      </c>
      <c r="U242" s="318">
        <f t="shared" si="179"/>
        <v>0</v>
      </c>
      <c r="V242" s="318">
        <f t="shared" si="146"/>
        <v>0</v>
      </c>
      <c r="W242" s="318">
        <f t="shared" si="147"/>
        <v>0</v>
      </c>
      <c r="X242" s="318">
        <f t="shared" si="148"/>
        <v>0</v>
      </c>
      <c r="Y242" s="318">
        <f t="shared" si="149"/>
        <v>0</v>
      </c>
      <c r="Z242" s="318">
        <f t="shared" si="150"/>
        <v>0</v>
      </c>
      <c r="AA242" s="318">
        <f t="shared" si="151"/>
        <v>0</v>
      </c>
      <c r="AB242" s="318">
        <f t="shared" si="152"/>
        <v>0</v>
      </c>
      <c r="AC242" s="318">
        <f t="shared" si="153"/>
        <v>0</v>
      </c>
      <c r="AD242" s="318">
        <f t="shared" si="154"/>
        <v>0</v>
      </c>
      <c r="AE242" s="318">
        <f t="shared" si="155"/>
        <v>0</v>
      </c>
      <c r="AF242" s="318">
        <f t="shared" si="180"/>
        <v>0</v>
      </c>
      <c r="AG242" s="318">
        <f t="shared" si="181"/>
        <v>0</v>
      </c>
      <c r="AH242" s="318">
        <f t="shared" si="156"/>
        <v>0</v>
      </c>
      <c r="AI242" s="318">
        <f t="shared" si="157"/>
        <v>0</v>
      </c>
      <c r="AJ242" s="318">
        <f t="shared" si="158"/>
        <v>0</v>
      </c>
      <c r="AK242" s="318">
        <f t="shared" si="159"/>
        <v>0</v>
      </c>
      <c r="AL242" s="318">
        <f t="shared" si="160"/>
        <v>0</v>
      </c>
      <c r="AM242" s="318">
        <f t="shared" si="161"/>
        <v>0</v>
      </c>
      <c r="AN242" s="318">
        <f t="shared" si="162"/>
        <v>0</v>
      </c>
      <c r="AO242" s="318">
        <f t="shared" si="163"/>
        <v>0</v>
      </c>
      <c r="AP242" s="318">
        <f t="shared" si="164"/>
        <v>0</v>
      </c>
      <c r="AQ242" s="318">
        <f t="shared" si="165"/>
        <v>0</v>
      </c>
      <c r="AR242" s="318">
        <f t="shared" si="166"/>
        <v>0</v>
      </c>
      <c r="AS242" s="318">
        <f t="shared" si="167"/>
        <v>0</v>
      </c>
      <c r="AT242" s="318">
        <f t="shared" si="168"/>
        <v>0</v>
      </c>
      <c r="AU242" s="318">
        <f t="shared" si="169"/>
        <v>0</v>
      </c>
      <c r="AV242" s="318">
        <f t="shared" si="170"/>
        <v>0</v>
      </c>
      <c r="AW242" s="318">
        <f t="shared" si="171"/>
        <v>0</v>
      </c>
      <c r="AX242" s="318">
        <f t="shared" si="172"/>
        <v>0</v>
      </c>
      <c r="AY242" s="318">
        <f t="shared" si="173"/>
        <v>0</v>
      </c>
      <c r="AZ242" s="318">
        <f t="shared" si="174"/>
        <v>0</v>
      </c>
      <c r="BA242" s="318">
        <f t="shared" si="175"/>
        <v>0</v>
      </c>
    </row>
    <row r="243" spans="1:53" s="315" customFormat="1" ht="15.75" customHeight="1">
      <c r="A243" s="324"/>
      <c r="B243" s="324"/>
      <c r="C243" s="351"/>
      <c r="D243" s="324"/>
      <c r="E243" s="317" t="s">
        <v>186</v>
      </c>
      <c r="F243" s="324"/>
      <c r="G243" s="323"/>
      <c r="H243" s="323"/>
      <c r="I243" s="324"/>
      <c r="J243" s="324">
        <f t="shared" ref="J243:BA243" ca="1" si="184">SUM(J11:J242)</f>
        <v>0</v>
      </c>
      <c r="K243" s="324">
        <f t="shared" ca="1" si="184"/>
        <v>0</v>
      </c>
      <c r="L243" s="324">
        <f t="shared" ca="1" si="184"/>
        <v>0</v>
      </c>
      <c r="M243" s="324">
        <f t="shared" ca="1" si="184"/>
        <v>0</v>
      </c>
      <c r="N243" s="324">
        <f ca="1">SUM(N11:N242)</f>
        <v>0</v>
      </c>
      <c r="O243" s="324">
        <f ca="1">SUM(O11:O242)</f>
        <v>0</v>
      </c>
      <c r="P243" s="324">
        <f ca="1">SUM(P11:P242)</f>
        <v>0</v>
      </c>
      <c r="Q243" s="324">
        <f ca="1">SUM(Q11:Q242)</f>
        <v>0</v>
      </c>
      <c r="R243" s="324">
        <f t="shared" ca="1" si="184"/>
        <v>0</v>
      </c>
      <c r="S243" s="324">
        <f t="shared" ca="1" si="184"/>
        <v>0</v>
      </c>
      <c r="T243" s="324">
        <f t="shared" ca="1" si="184"/>
        <v>0</v>
      </c>
      <c r="U243" s="324">
        <f t="shared" ca="1" si="184"/>
        <v>0</v>
      </c>
      <c r="V243" s="324">
        <f t="shared" ca="1" si="184"/>
        <v>0</v>
      </c>
      <c r="W243" s="324">
        <f t="shared" ca="1" si="184"/>
        <v>0</v>
      </c>
      <c r="X243" s="324">
        <f t="shared" ca="1" si="184"/>
        <v>0</v>
      </c>
      <c r="Y243" s="324">
        <f t="shared" ca="1" si="184"/>
        <v>0</v>
      </c>
      <c r="Z243" s="324">
        <f t="shared" ca="1" si="184"/>
        <v>0</v>
      </c>
      <c r="AA243" s="324">
        <f t="shared" ca="1" si="184"/>
        <v>0</v>
      </c>
      <c r="AB243" s="324">
        <f t="shared" ca="1" si="184"/>
        <v>0</v>
      </c>
      <c r="AC243" s="324">
        <f t="shared" ca="1" si="184"/>
        <v>0</v>
      </c>
      <c r="AD243" s="324">
        <f t="shared" ca="1" si="184"/>
        <v>0</v>
      </c>
      <c r="AE243" s="324">
        <f t="shared" ca="1" si="184"/>
        <v>0</v>
      </c>
      <c r="AF243" s="324">
        <f ca="1">SUM(AF11:AF242)</f>
        <v>0</v>
      </c>
      <c r="AG243" s="324">
        <f ca="1">SUM(AG11:AG242)</f>
        <v>0</v>
      </c>
      <c r="AH243" s="324">
        <f t="shared" ca="1" si="184"/>
        <v>0</v>
      </c>
      <c r="AI243" s="324">
        <f t="shared" ca="1" si="184"/>
        <v>0</v>
      </c>
      <c r="AJ243" s="324">
        <f t="shared" ca="1" si="184"/>
        <v>0</v>
      </c>
      <c r="AK243" s="324">
        <f t="shared" ca="1" si="184"/>
        <v>0</v>
      </c>
      <c r="AL243" s="324">
        <f t="shared" ca="1" si="184"/>
        <v>10580244</v>
      </c>
      <c r="AM243" s="324">
        <f t="shared" ca="1" si="184"/>
        <v>0</v>
      </c>
      <c r="AN243" s="324">
        <f t="shared" ca="1" si="184"/>
        <v>0</v>
      </c>
      <c r="AO243" s="324">
        <f t="shared" ca="1" si="184"/>
        <v>0</v>
      </c>
      <c r="AP243" s="324">
        <f t="shared" ca="1" si="184"/>
        <v>0</v>
      </c>
      <c r="AQ243" s="324">
        <f t="shared" ca="1" si="184"/>
        <v>0</v>
      </c>
      <c r="AR243" s="324">
        <f t="shared" ca="1" si="184"/>
        <v>0</v>
      </c>
      <c r="AS243" s="324">
        <f t="shared" ca="1" si="184"/>
        <v>0</v>
      </c>
      <c r="AT243" s="324">
        <f t="shared" ca="1" si="184"/>
        <v>0</v>
      </c>
      <c r="AU243" s="324">
        <f t="shared" ca="1" si="184"/>
        <v>0</v>
      </c>
      <c r="AV243" s="324">
        <f t="shared" ca="1" si="184"/>
        <v>0</v>
      </c>
      <c r="AW243" s="324">
        <f t="shared" ca="1" si="184"/>
        <v>0</v>
      </c>
      <c r="AX243" s="324">
        <f t="shared" ca="1" si="184"/>
        <v>0</v>
      </c>
      <c r="AY243" s="324">
        <f t="shared" ca="1" si="184"/>
        <v>0</v>
      </c>
      <c r="AZ243" s="324">
        <f t="shared" ca="1" si="184"/>
        <v>0</v>
      </c>
      <c r="BA243" s="324">
        <f t="shared" ca="1" si="184"/>
        <v>10580244</v>
      </c>
    </row>
    <row r="244" spans="1:53" s="315" customFormat="1" ht="15.75" customHeight="1">
      <c r="A244" s="325"/>
      <c r="B244" s="325"/>
      <c r="C244" s="325"/>
      <c r="D244" s="325"/>
      <c r="E244" s="326" t="s">
        <v>229</v>
      </c>
      <c r="F244" s="325"/>
      <c r="G244" s="327"/>
      <c r="H244" s="327"/>
      <c r="I244" s="325"/>
      <c r="J244" s="347">
        <f ca="1">MAX(J10+J243-K10-K243,0)</f>
        <v>3705039095</v>
      </c>
      <c r="K244" s="347">
        <f ca="1">MAX(K10+K243-J10-J243,0)</f>
        <v>0</v>
      </c>
      <c r="L244" s="347">
        <f ca="1">MAX(L10+L243-M10-M243,0)</f>
        <v>19829295</v>
      </c>
      <c r="M244" s="347">
        <f ca="1">MAX(M10+M243-L10-L243,0)</f>
        <v>0</v>
      </c>
      <c r="N244" s="347">
        <f ca="1">MAX(N10+N243-O10-O243,0)</f>
        <v>2236796790</v>
      </c>
      <c r="O244" s="347">
        <f ca="1">MAX(O10+O243-N10-N243,0)</f>
        <v>0</v>
      </c>
      <c r="P244" s="347">
        <f ca="1">MAX(P10+P243-Q10-Q243,0)</f>
        <v>162420936</v>
      </c>
      <c r="Q244" s="347">
        <f ca="1">MAX(Q10+Q243-P10-P243,0)</f>
        <v>0</v>
      </c>
      <c r="R244" s="347">
        <f ca="1">MAX(R10+R243-S10-S243,0)</f>
        <v>1500000000</v>
      </c>
      <c r="S244" s="347">
        <f ca="1">MAX(S10+S243-R10-R243,0)</f>
        <v>0</v>
      </c>
      <c r="T244" s="347">
        <f ca="1">MAX(T10+T243-U10-U243,0)</f>
        <v>0</v>
      </c>
      <c r="U244" s="347">
        <f ca="1">MAX(U10+U243-T10-T243,0)</f>
        <v>0</v>
      </c>
      <c r="V244" s="347">
        <f ca="1">MAX(V10+V243-W10-W243,0)</f>
        <v>0</v>
      </c>
      <c r="W244" s="347">
        <f ca="1">MAX(W10+W243-V10-V243,0)</f>
        <v>476953252</v>
      </c>
      <c r="X244" s="347">
        <f ca="1">MAX(X10+X243-Y10-Y243,0)</f>
        <v>0</v>
      </c>
      <c r="Y244" s="347">
        <f ca="1">MAX(Y10+Y243-X10-X243,0)</f>
        <v>3313435</v>
      </c>
      <c r="Z244" s="347">
        <f ca="1">MAX(Z10+Z243-AA10-AA243,0)</f>
        <v>0</v>
      </c>
      <c r="AA244" s="347">
        <f ca="1">MAX(AA10+AA243-Z10-Z243,0)</f>
        <v>0</v>
      </c>
      <c r="AB244" s="347">
        <f ca="1">MAX(AB10+AB243-AC10-AC243,0)</f>
        <v>0</v>
      </c>
      <c r="AC244" s="347">
        <f ca="1">MAX(AC10+AC243-AB10-AB243,0)</f>
        <v>0</v>
      </c>
      <c r="AD244" s="347">
        <f ca="1">MAX(AD10+AD243-AE10-AE243,0)</f>
        <v>0</v>
      </c>
      <c r="AE244" s="347">
        <f ca="1">MAX(AE10+AE243-AD10-AD243,0)</f>
        <v>2169121879</v>
      </c>
      <c r="AF244" s="347">
        <f ca="1">MAX(AF10+AF243-AG10-AG243,0)</f>
        <v>0</v>
      </c>
      <c r="AG244" s="347">
        <f ca="1">MAX(AG10+AG243-AF10-AF243,0)</f>
        <v>21202920500</v>
      </c>
      <c r="AH244" s="347">
        <f ca="1">MAX(AH10+AH243-AI10-AI243,0)</f>
        <v>0</v>
      </c>
      <c r="AI244" s="347">
        <f ca="1">MAX(AI10+AI243-AH10-AH243,0)</f>
        <v>10000000000</v>
      </c>
      <c r="AJ244" s="347">
        <f ca="1">MAX(AJ10+AJ243-AK10-AK243,0)</f>
        <v>0</v>
      </c>
      <c r="AK244" s="347">
        <f ca="1">MAX(AK10+AK243-AJ10-AJ243,0)</f>
        <v>486535137</v>
      </c>
      <c r="AL244" s="347">
        <f ca="1">MAX(AL10+AL243-AM10-AM243,0)</f>
        <v>24565582.999999523</v>
      </c>
      <c r="AM244" s="347">
        <f ca="1">MAX(AM10+AM243-AL10-AL243,0)</f>
        <v>0</v>
      </c>
      <c r="AN244" s="347">
        <f ca="1">MAX(AN10+AN243-AO10-AO243,0)</f>
        <v>0</v>
      </c>
      <c r="AO244" s="347">
        <f ca="1">MAX(AO10+AO243-AN10-AN243,0)</f>
        <v>0</v>
      </c>
      <c r="AP244" s="347">
        <f ca="1">MAX(AP10+AP243-AQ10-AQ243,0)</f>
        <v>0</v>
      </c>
      <c r="AQ244" s="347">
        <f ca="1">MAX(AQ10+AQ243-AP10-AP243,0)</f>
        <v>0</v>
      </c>
      <c r="AR244" s="347">
        <f ca="1">MAX(AR10+AR243-AS10-AS243,0)</f>
        <v>0</v>
      </c>
      <c r="AS244" s="347">
        <f ca="1">MAX(AS10+AS243-AR10-AR243,0)</f>
        <v>0</v>
      </c>
      <c r="AT244" s="347">
        <f ca="1">MAX(AT10+AT243-AU10-AU243,0)</f>
        <v>0</v>
      </c>
      <c r="AU244" s="347">
        <f ca="1">MAX(AU10+AU243-AT10-AT243,0)</f>
        <v>0</v>
      </c>
      <c r="AV244" s="347">
        <f ca="1">MAX(AV10+AV243-AW10-AW243,0)</f>
        <v>0</v>
      </c>
      <c r="AW244" s="347">
        <f ca="1">MAX(AW10+AW243-AV10-AV243,0)</f>
        <v>0</v>
      </c>
      <c r="AX244" s="347">
        <f ca="1">MAX(AX10+AX243-AY10-AY243,0)</f>
        <v>0</v>
      </c>
      <c r="AY244" s="347">
        <f ca="1">MAX(AY10+AY243-AX10-AX243,0)</f>
        <v>0</v>
      </c>
      <c r="AZ244" s="347">
        <f ca="1">MAX(AZ10+AZ243-BA10-BA243,0)</f>
        <v>0</v>
      </c>
      <c r="BA244" s="347">
        <f ca="1">MAX(BA10+BA243-AZ10-AZ243,0)</f>
        <v>54726467</v>
      </c>
    </row>
    <row r="245" spans="1:53" s="315" customFormat="1" ht="15.75" customHeight="1">
      <c r="A245" s="329"/>
      <c r="B245" s="329"/>
      <c r="C245" s="330"/>
      <c r="D245" s="329"/>
      <c r="E245" s="331" t="s">
        <v>230</v>
      </c>
      <c r="F245" s="329"/>
      <c r="G245" s="332"/>
      <c r="H245" s="332"/>
      <c r="I245" s="329"/>
      <c r="J245" s="329">
        <f ca="1">J243+'SC-II'!J157</f>
        <v>0</v>
      </c>
      <c r="K245" s="329">
        <f ca="1">K243+'SC-II'!K157</f>
        <v>0</v>
      </c>
      <c r="L245" s="329">
        <f ca="1">L243+'SC-II'!L157</f>
        <v>0</v>
      </c>
      <c r="M245" s="329">
        <f ca="1">M243+'SC-II'!M157</f>
        <v>0</v>
      </c>
      <c r="N245" s="329">
        <f ca="1">N243+'SC-II'!N157</f>
        <v>0</v>
      </c>
      <c r="O245" s="329">
        <f ca="1">O243+'SC-II'!O157</f>
        <v>0</v>
      </c>
      <c r="P245" s="329">
        <f ca="1">P243+'SC-II'!P157</f>
        <v>0</v>
      </c>
      <c r="Q245" s="329">
        <f ca="1">Q243+'SC-II'!Q157</f>
        <v>0</v>
      </c>
      <c r="R245" s="329">
        <f ca="1">R243+'SC-II'!R157</f>
        <v>0</v>
      </c>
      <c r="S245" s="329">
        <f ca="1">S243+'SC-II'!S157</f>
        <v>0</v>
      </c>
      <c r="T245" s="329">
        <f ca="1">T243+'SC-II'!T157</f>
        <v>0</v>
      </c>
      <c r="U245" s="329">
        <f ca="1">U243+'SC-II'!U157</f>
        <v>0</v>
      </c>
      <c r="V245" s="329">
        <f ca="1">V243+'SC-II'!V157</f>
        <v>0</v>
      </c>
      <c r="W245" s="329">
        <f ca="1">W243+'SC-II'!W157</f>
        <v>0</v>
      </c>
      <c r="X245" s="329">
        <f ca="1">X243+'SC-II'!X157</f>
        <v>0</v>
      </c>
      <c r="Y245" s="329">
        <f ca="1">Y243+'SC-II'!Y157</f>
        <v>0</v>
      </c>
      <c r="Z245" s="329">
        <f ca="1">Z243+'SC-II'!Z157</f>
        <v>0</v>
      </c>
      <c r="AA245" s="329">
        <f ca="1">AA243+'SC-II'!AA157</f>
        <v>0</v>
      </c>
      <c r="AB245" s="329">
        <f ca="1">AB243+'SC-II'!AB157</f>
        <v>0</v>
      </c>
      <c r="AC245" s="329">
        <f ca="1">AC243+'SC-II'!AC157</f>
        <v>0</v>
      </c>
      <c r="AD245" s="329">
        <f ca="1">AD243+'SC-II'!AD157</f>
        <v>0</v>
      </c>
      <c r="AE245" s="329">
        <f ca="1">AE243+'SC-II'!AE157</f>
        <v>0</v>
      </c>
      <c r="AF245" s="329">
        <f ca="1">AF243+'SC-II'!AF157</f>
        <v>0</v>
      </c>
      <c r="AG245" s="329">
        <f ca="1">AG243+'SC-II'!AG157</f>
        <v>0</v>
      </c>
      <c r="AH245" s="329">
        <f ca="1">AH243+'SC-II'!AH157</f>
        <v>0</v>
      </c>
      <c r="AI245" s="329">
        <f ca="1">AI243+'SC-II'!AI157</f>
        <v>0</v>
      </c>
      <c r="AJ245" s="329">
        <f ca="1">AJ243+'SC-II'!AJ157</f>
        <v>0</v>
      </c>
      <c r="AK245" s="329">
        <f ca="1">AK243+'SC-II'!AK157</f>
        <v>0</v>
      </c>
      <c r="AL245" s="329">
        <f ca="1">AL243+'SC-II'!AL157</f>
        <v>54726467</v>
      </c>
      <c r="AM245" s="329">
        <f ca="1">AM243+'SC-II'!AM157</f>
        <v>0</v>
      </c>
      <c r="AN245" s="329">
        <f ca="1">AN243+'SC-II'!AN157</f>
        <v>0</v>
      </c>
      <c r="AO245" s="329">
        <f ca="1">AO243+'SC-II'!AO157</f>
        <v>0</v>
      </c>
      <c r="AP245" s="329">
        <f ca="1">AP243+'SC-II'!AP157</f>
        <v>0</v>
      </c>
      <c r="AQ245" s="329">
        <f ca="1">AQ243+'SC-II'!AQ157</f>
        <v>0</v>
      </c>
      <c r="AR245" s="329">
        <f ca="1">AR243+'SC-II'!AR157</f>
        <v>0</v>
      </c>
      <c r="AS245" s="329">
        <f ca="1">AS243+'SC-II'!AS157</f>
        <v>0</v>
      </c>
      <c r="AT245" s="329">
        <f ca="1">AT243+'SC-II'!AT157</f>
        <v>0</v>
      </c>
      <c r="AU245" s="329">
        <f ca="1">AU243+'SC-II'!AU157</f>
        <v>0</v>
      </c>
      <c r="AV245" s="329">
        <f ca="1">AV243+'SC-II'!AV157</f>
        <v>0</v>
      </c>
      <c r="AW245" s="329">
        <f ca="1">AW243+'SC-II'!AW157</f>
        <v>0</v>
      </c>
      <c r="AX245" s="329">
        <f ca="1">AX243+'SC-II'!AX157</f>
        <v>0</v>
      </c>
      <c r="AY245" s="329">
        <f ca="1">AY243+'SC-II'!AY157</f>
        <v>0</v>
      </c>
      <c r="AZ245" s="329">
        <f ca="1">AZ243+'SC-II'!AZ157</f>
        <v>0</v>
      </c>
      <c r="BA245" s="329">
        <f ca="1">BA243+'SC-II'!BA157</f>
        <v>54726467</v>
      </c>
    </row>
    <row r="246" spans="1:53" ht="12" customHeight="1">
      <c r="B246" s="334"/>
      <c r="C246" s="335"/>
      <c r="D246" s="335"/>
      <c r="E246" s="335"/>
      <c r="F246" s="335"/>
      <c r="G246" s="336"/>
      <c r="H246" s="336"/>
      <c r="I246" s="335"/>
      <c r="J246" s="335"/>
      <c r="K246" s="335"/>
      <c r="AR246" s="334"/>
      <c r="AS246" s="334"/>
      <c r="AT246" s="335"/>
      <c r="AU246" s="335"/>
      <c r="AV246" s="335"/>
      <c r="AW246" s="336"/>
      <c r="AX246" s="336"/>
      <c r="AY246" s="336"/>
      <c r="AZ246" s="336"/>
      <c r="BA246" s="352"/>
    </row>
    <row r="247" spans="1:53">
      <c r="F247" s="293"/>
      <c r="M247" s="337"/>
      <c r="O247" s="337"/>
      <c r="Q247" s="337"/>
      <c r="R247" s="337"/>
      <c r="S247" s="337"/>
      <c r="T247" s="337"/>
      <c r="U247" s="337"/>
      <c r="V247" s="337"/>
      <c r="AL247" s="338" t="s">
        <v>246</v>
      </c>
      <c r="AM247" s="339"/>
      <c r="AN247" s="339"/>
      <c r="AO247" s="339"/>
      <c r="AP247" s="339"/>
      <c r="AQ247" s="339"/>
      <c r="AR247" s="340"/>
      <c r="AS247" s="340"/>
      <c r="AT247" s="339"/>
    </row>
    <row r="248" spans="1:53">
      <c r="F248" s="293"/>
      <c r="M248" s="337"/>
      <c r="O248" s="337"/>
      <c r="Q248" s="337"/>
      <c r="R248" s="337"/>
      <c r="S248" s="337"/>
      <c r="T248" s="337"/>
      <c r="U248" s="337"/>
      <c r="V248" s="337"/>
      <c r="AL248" s="341" t="s">
        <v>236</v>
      </c>
      <c r="AM248" s="339"/>
      <c r="AN248" s="339"/>
      <c r="AO248" s="339"/>
      <c r="AP248" s="339"/>
      <c r="AQ248" s="339"/>
      <c r="AR248" s="340"/>
      <c r="AS248" s="340"/>
      <c r="AT248" s="339"/>
    </row>
    <row r="249" spans="1:53">
      <c r="F249" s="293"/>
      <c r="M249" s="337"/>
      <c r="O249" s="337"/>
      <c r="Q249" s="337"/>
      <c r="R249" s="337"/>
      <c r="S249" s="337"/>
      <c r="T249" s="337"/>
      <c r="U249" s="337"/>
      <c r="V249" s="337"/>
      <c r="AL249" s="339"/>
      <c r="AM249" s="339"/>
      <c r="AN249" s="339"/>
      <c r="AO249" s="339"/>
      <c r="AP249" s="339"/>
      <c r="AQ249" s="339"/>
      <c r="AR249" s="339"/>
      <c r="AS249" s="339"/>
      <c r="AT249" s="340"/>
    </row>
    <row r="250" spans="1:53">
      <c r="F250" s="293"/>
      <c r="M250" s="337"/>
      <c r="O250" s="337"/>
      <c r="Q250" s="337"/>
      <c r="R250" s="337"/>
      <c r="S250" s="337"/>
      <c r="T250" s="337"/>
      <c r="U250" s="337"/>
      <c r="V250" s="337"/>
      <c r="AL250" s="339"/>
      <c r="AM250" s="339"/>
      <c r="AN250" s="339"/>
      <c r="AO250" s="339"/>
      <c r="AP250" s="339"/>
      <c r="AQ250" s="339"/>
      <c r="AR250" s="339"/>
      <c r="AS250" s="339"/>
      <c r="AT250" s="340"/>
      <c r="AZ250" s="342" t="str">
        <f>"Ngày 30 tháng 09 năm 2015 "</f>
        <v xml:space="preserve">Ngày 30 tháng 09 năm 2015 </v>
      </c>
    </row>
    <row r="251" spans="1:53">
      <c r="F251" s="293"/>
      <c r="M251" s="337"/>
      <c r="O251" s="337"/>
      <c r="Q251" s="337"/>
      <c r="R251" s="337"/>
      <c r="S251" s="337"/>
      <c r="T251" s="337"/>
      <c r="U251" s="337"/>
      <c r="V251" s="337"/>
      <c r="AL251" s="339"/>
      <c r="AM251" s="343" t="s">
        <v>11</v>
      </c>
      <c r="AN251" s="339"/>
      <c r="AO251" s="339"/>
      <c r="AP251" s="339"/>
      <c r="AQ251" s="339"/>
      <c r="AR251" s="339"/>
      <c r="AS251" s="344" t="s">
        <v>12</v>
      </c>
      <c r="AT251" s="340"/>
      <c r="AZ251" s="343" t="s">
        <v>132</v>
      </c>
    </row>
    <row r="252" spans="1:53">
      <c r="F252" s="293"/>
      <c r="M252" s="337"/>
      <c r="O252" s="337"/>
      <c r="Q252" s="337"/>
      <c r="R252" s="337"/>
      <c r="S252" s="337"/>
      <c r="T252" s="337"/>
      <c r="U252" s="337"/>
      <c r="V252" s="337"/>
      <c r="AL252" s="339"/>
      <c r="AM252" s="345" t="s">
        <v>13</v>
      </c>
      <c r="AN252" s="339"/>
      <c r="AO252" s="339"/>
      <c r="AP252" s="339"/>
      <c r="AQ252" s="339"/>
      <c r="AR252" s="339"/>
      <c r="AS252" s="346" t="s">
        <v>13</v>
      </c>
      <c r="AT252" s="340"/>
      <c r="AZ252" s="345" t="s">
        <v>163</v>
      </c>
    </row>
    <row r="253" spans="1:53">
      <c r="F253" s="293"/>
      <c r="M253" s="337"/>
      <c r="O253" s="337"/>
      <c r="Q253" s="337"/>
      <c r="R253" s="337"/>
      <c r="S253" s="337"/>
      <c r="T253" s="337"/>
      <c r="U253" s="337"/>
      <c r="V253" s="337"/>
      <c r="AL253" s="339"/>
      <c r="AM253" s="339"/>
      <c r="AN253" s="339"/>
      <c r="AO253" s="339"/>
      <c r="AP253" s="339"/>
      <c r="AQ253" s="339"/>
      <c r="AR253" s="339"/>
      <c r="AS253" s="339"/>
      <c r="AT253" s="340"/>
      <c r="AZ253" s="339"/>
    </row>
    <row r="254" spans="1:53">
      <c r="F254" s="293"/>
      <c r="M254" s="337"/>
      <c r="O254" s="337"/>
      <c r="Q254" s="337"/>
      <c r="R254" s="337"/>
      <c r="S254" s="337"/>
      <c r="T254" s="337"/>
      <c r="U254" s="337"/>
      <c r="V254" s="337"/>
      <c r="AZ254" s="339"/>
    </row>
    <row r="255" spans="1:53">
      <c r="F255" s="293"/>
      <c r="M255" s="337"/>
      <c r="O255" s="337"/>
      <c r="Q255" s="337"/>
      <c r="R255" s="337"/>
      <c r="S255" s="337"/>
      <c r="T255" s="337"/>
      <c r="U255" s="337"/>
      <c r="V255" s="337"/>
    </row>
    <row r="256" spans="1:53">
      <c r="F256" s="293"/>
      <c r="M256" s="337"/>
      <c r="O256" s="337"/>
      <c r="Q256" s="337"/>
      <c r="R256" s="337"/>
      <c r="S256" s="337"/>
      <c r="T256" s="337"/>
      <c r="U256" s="337"/>
      <c r="V256" s="337"/>
    </row>
    <row r="257" spans="6:22">
      <c r="F257" s="293"/>
      <c r="M257" s="337"/>
      <c r="O257" s="337"/>
      <c r="Q257" s="337"/>
      <c r="R257" s="337"/>
      <c r="S257" s="337"/>
      <c r="T257" s="337"/>
      <c r="U257" s="337"/>
      <c r="V257" s="337"/>
    </row>
    <row r="258" spans="6:22">
      <c r="F258" s="293"/>
      <c r="M258" s="337"/>
      <c r="O258" s="337"/>
      <c r="Q258" s="337"/>
      <c r="R258" s="337"/>
      <c r="S258" s="337"/>
      <c r="T258" s="337"/>
      <c r="U258" s="337"/>
      <c r="V258" s="337"/>
    </row>
    <row r="259" spans="6:22">
      <c r="F259" s="293"/>
      <c r="M259" s="337"/>
      <c r="O259" s="337"/>
      <c r="Q259" s="337"/>
      <c r="R259" s="337"/>
      <c r="S259" s="337"/>
      <c r="T259" s="337"/>
      <c r="U259" s="337"/>
      <c r="V259" s="337"/>
    </row>
    <row r="260" spans="6:22">
      <c r="F260" s="293"/>
      <c r="M260" s="337"/>
      <c r="O260" s="337"/>
      <c r="Q260" s="337"/>
      <c r="R260" s="337"/>
      <c r="S260" s="337"/>
      <c r="T260" s="337"/>
      <c r="U260" s="337"/>
      <c r="V260" s="337"/>
    </row>
    <row r="269" spans="6:22">
      <c r="R269" s="337"/>
    </row>
    <row r="270" spans="6:22">
      <c r="R270" s="337"/>
    </row>
    <row r="271" spans="6:22">
      <c r="M271" s="337"/>
      <c r="O271" s="337"/>
      <c r="P271" s="337"/>
      <c r="Q271" s="337"/>
      <c r="R271" s="337"/>
    </row>
    <row r="272" spans="6:22">
      <c r="M272" s="337"/>
      <c r="O272" s="337"/>
      <c r="P272" s="337"/>
      <c r="Q272" s="337"/>
      <c r="R272" s="337"/>
    </row>
    <row r="273" spans="13:18">
      <c r="M273" s="337"/>
      <c r="O273" s="337"/>
      <c r="P273" s="337"/>
      <c r="Q273" s="337"/>
    </row>
    <row r="274" spans="13:18">
      <c r="M274" s="337"/>
      <c r="O274" s="337"/>
      <c r="P274" s="337"/>
      <c r="Q274" s="337"/>
    </row>
    <row r="276" spans="13:18">
      <c r="M276" s="337"/>
      <c r="O276" s="337"/>
      <c r="P276" s="337"/>
      <c r="Q276" s="337"/>
      <c r="R276" s="337"/>
    </row>
    <row r="277" spans="13:18">
      <c r="M277" s="337"/>
      <c r="O277" s="337"/>
      <c r="P277" s="337"/>
      <c r="Q277" s="337"/>
      <c r="R277" s="337"/>
    </row>
    <row r="284" spans="13:18">
      <c r="M284" s="337"/>
      <c r="O284" s="337"/>
      <c r="P284" s="337"/>
      <c r="Q284" s="337"/>
      <c r="R284" s="337"/>
    </row>
    <row r="285" spans="13:18">
      <c r="M285" s="337"/>
      <c r="O285" s="337"/>
      <c r="P285" s="337"/>
      <c r="Q285" s="337"/>
      <c r="R285" s="337"/>
    </row>
    <row r="286" spans="13:18">
      <c r="M286" s="337"/>
      <c r="O286" s="337"/>
      <c r="P286" s="337"/>
      <c r="Q286" s="337"/>
      <c r="R286" s="337"/>
    </row>
    <row r="290" spans="13:18">
      <c r="M290" s="337"/>
      <c r="O290" s="337"/>
      <c r="P290" s="337"/>
      <c r="Q290" s="337"/>
      <c r="R290" s="337"/>
    </row>
    <row r="291" spans="13:18">
      <c r="M291" s="337"/>
      <c r="O291" s="337"/>
      <c r="P291" s="337"/>
      <c r="Q291" s="337"/>
      <c r="R291" s="337"/>
    </row>
    <row r="292" spans="13:18">
      <c r="M292" s="337"/>
      <c r="O292" s="337"/>
      <c r="P292" s="337"/>
      <c r="Q292" s="337"/>
      <c r="R292" s="337"/>
    </row>
    <row r="293" spans="13:18">
      <c r="M293" s="337"/>
      <c r="O293" s="337"/>
      <c r="P293" s="337"/>
      <c r="Q293" s="337"/>
      <c r="R293" s="337"/>
    </row>
    <row r="294" spans="13:18">
      <c r="M294" s="337"/>
      <c r="O294" s="337"/>
      <c r="P294" s="337"/>
      <c r="Q294" s="337"/>
      <c r="R294" s="337"/>
    </row>
    <row r="295" spans="13:18">
      <c r="M295" s="337"/>
      <c r="O295" s="337"/>
      <c r="P295" s="337"/>
      <c r="Q295" s="337"/>
      <c r="R295" s="337"/>
    </row>
    <row r="296" spans="13:18">
      <c r="M296" s="337"/>
      <c r="O296" s="337"/>
      <c r="P296" s="337"/>
      <c r="Q296" s="337"/>
      <c r="R296" s="337"/>
    </row>
    <row r="297" spans="13:18">
      <c r="M297" s="337"/>
      <c r="O297" s="337"/>
      <c r="P297" s="337"/>
      <c r="Q297" s="337"/>
      <c r="R297" s="337"/>
    </row>
    <row r="298" spans="13:18">
      <c r="M298" s="337"/>
      <c r="O298" s="337"/>
      <c r="P298" s="337"/>
      <c r="Q298" s="337"/>
      <c r="R298" s="337"/>
    </row>
    <row r="299" spans="13:18">
      <c r="M299" s="337"/>
      <c r="O299" s="337"/>
      <c r="P299" s="337"/>
      <c r="Q299" s="337"/>
      <c r="R299" s="337"/>
    </row>
    <row r="300" spans="13:18">
      <c r="M300" s="337"/>
      <c r="O300" s="337"/>
      <c r="P300" s="337"/>
      <c r="Q300" s="337"/>
      <c r="R300" s="337"/>
    </row>
    <row r="301" spans="13:18">
      <c r="M301" s="337"/>
      <c r="O301" s="337"/>
      <c r="P301" s="337"/>
      <c r="Q301" s="337"/>
      <c r="R301" s="337"/>
    </row>
    <row r="302" spans="13:18">
      <c r="M302" s="337"/>
      <c r="O302" s="337"/>
      <c r="P302" s="337"/>
      <c r="Q302" s="337"/>
      <c r="R302" s="337"/>
    </row>
    <row r="303" spans="13:18">
      <c r="M303" s="337"/>
      <c r="O303" s="337"/>
      <c r="P303" s="337"/>
      <c r="Q303" s="337"/>
      <c r="R303" s="337"/>
    </row>
    <row r="304" spans="13:18">
      <c r="M304" s="337"/>
      <c r="O304" s="337"/>
      <c r="P304" s="337"/>
      <c r="Q304" s="337"/>
      <c r="R304" s="337"/>
    </row>
    <row r="305" spans="13:18">
      <c r="M305" s="337"/>
      <c r="O305" s="337"/>
      <c r="P305" s="337"/>
      <c r="Q305" s="337"/>
      <c r="R305" s="337"/>
    </row>
    <row r="306" spans="13:18">
      <c r="M306" s="337"/>
      <c r="O306" s="337"/>
      <c r="P306" s="337"/>
      <c r="Q306" s="337"/>
      <c r="R306" s="337"/>
    </row>
    <row r="307" spans="13:18">
      <c r="M307" s="337"/>
      <c r="O307" s="337"/>
      <c r="P307" s="337"/>
      <c r="Q307" s="337"/>
      <c r="R307" s="337"/>
    </row>
    <row r="308" spans="13:18">
      <c r="M308" s="337"/>
      <c r="O308" s="337"/>
      <c r="P308" s="337"/>
      <c r="Q308" s="337"/>
      <c r="R308" s="337"/>
    </row>
    <row r="309" spans="13:18">
      <c r="M309" s="337"/>
      <c r="O309" s="337"/>
      <c r="P309" s="337"/>
      <c r="Q309" s="337"/>
      <c r="R309" s="337"/>
    </row>
    <row r="310" spans="13:18">
      <c r="M310" s="337"/>
      <c r="O310" s="337"/>
      <c r="P310" s="337"/>
      <c r="Q310" s="337"/>
      <c r="R310" s="337"/>
    </row>
    <row r="311" spans="13:18">
      <c r="M311" s="337"/>
      <c r="O311" s="337"/>
      <c r="P311" s="337"/>
      <c r="Q311" s="337"/>
      <c r="R311" s="337"/>
    </row>
    <row r="312" spans="13:18">
      <c r="M312" s="337"/>
      <c r="O312" s="337"/>
      <c r="P312" s="337"/>
      <c r="Q312" s="337"/>
      <c r="R312" s="337"/>
    </row>
    <row r="313" spans="13:18">
      <c r="M313" s="337"/>
      <c r="O313" s="337"/>
      <c r="P313" s="337"/>
      <c r="Q313" s="337"/>
      <c r="R313" s="337"/>
    </row>
    <row r="314" spans="13:18">
      <c r="M314" s="337"/>
      <c r="O314" s="337"/>
      <c r="P314" s="337"/>
      <c r="Q314" s="337"/>
      <c r="R314" s="337"/>
    </row>
    <row r="315" spans="13:18">
      <c r="M315" s="337"/>
      <c r="O315" s="337"/>
      <c r="P315" s="337"/>
      <c r="Q315" s="337"/>
      <c r="R315" s="337"/>
    </row>
    <row r="316" spans="13:18">
      <c r="M316" s="337"/>
      <c r="O316" s="337"/>
      <c r="P316" s="337"/>
      <c r="Q316" s="337"/>
      <c r="R316" s="337"/>
    </row>
    <row r="317" spans="13:18">
      <c r="M317" s="337"/>
      <c r="O317" s="337"/>
      <c r="P317" s="337"/>
      <c r="Q317" s="337"/>
      <c r="R317" s="337"/>
    </row>
    <row r="318" spans="13:18">
      <c r="M318" s="337"/>
      <c r="O318" s="337"/>
      <c r="P318" s="337"/>
      <c r="Q318" s="337"/>
      <c r="R318" s="337"/>
    </row>
    <row r="319" spans="13:18">
      <c r="M319" s="337"/>
      <c r="O319" s="337"/>
      <c r="P319" s="337"/>
      <c r="Q319" s="337"/>
      <c r="R319" s="337"/>
    </row>
    <row r="320" spans="13:18">
      <c r="M320" s="337"/>
      <c r="O320" s="337"/>
      <c r="P320" s="337"/>
      <c r="Q320" s="337"/>
      <c r="R320" s="337"/>
    </row>
    <row r="321" spans="13:18">
      <c r="M321" s="337"/>
      <c r="O321" s="337"/>
      <c r="P321" s="337"/>
      <c r="Q321" s="337"/>
      <c r="R321" s="337"/>
    </row>
    <row r="322" spans="13:18">
      <c r="M322" s="337"/>
      <c r="O322" s="337"/>
      <c r="P322" s="337"/>
      <c r="Q322" s="337"/>
      <c r="R322" s="337"/>
    </row>
    <row r="323" spans="13:18">
      <c r="M323" s="337"/>
      <c r="O323" s="337"/>
      <c r="P323" s="337"/>
      <c r="Q323" s="337"/>
      <c r="R323" s="337"/>
    </row>
    <row r="324" spans="13:18">
      <c r="M324" s="337"/>
      <c r="O324" s="337"/>
      <c r="P324" s="337"/>
      <c r="Q324" s="337"/>
      <c r="R324" s="337"/>
    </row>
    <row r="325" spans="13:18">
      <c r="M325" s="337"/>
      <c r="O325" s="337"/>
      <c r="P325" s="337"/>
      <c r="Q325" s="337"/>
      <c r="R325" s="337"/>
    </row>
    <row r="326" spans="13:18">
      <c r="M326" s="337"/>
      <c r="O326" s="337"/>
      <c r="P326" s="337"/>
      <c r="Q326" s="337"/>
      <c r="R326" s="337"/>
    </row>
    <row r="327" spans="13:18">
      <c r="M327" s="337"/>
      <c r="O327" s="337"/>
      <c r="P327" s="337"/>
      <c r="Q327" s="337"/>
      <c r="R327" s="337"/>
    </row>
    <row r="328" spans="13:18">
      <c r="M328" s="337"/>
      <c r="O328" s="337"/>
      <c r="P328" s="337"/>
      <c r="Q328" s="337"/>
      <c r="R328" s="337"/>
    </row>
    <row r="329" spans="13:18">
      <c r="M329" s="337"/>
      <c r="O329" s="337"/>
      <c r="P329" s="337"/>
      <c r="Q329" s="337"/>
      <c r="R329" s="337"/>
    </row>
    <row r="330" spans="13:18">
      <c r="M330" s="337"/>
      <c r="O330" s="337"/>
      <c r="P330" s="337"/>
      <c r="Q330" s="337"/>
      <c r="R330" s="337"/>
    </row>
    <row r="331" spans="13:18">
      <c r="M331" s="337"/>
      <c r="O331" s="337"/>
      <c r="P331" s="337"/>
      <c r="Q331" s="337"/>
      <c r="R331" s="337"/>
    </row>
    <row r="332" spans="13:18">
      <c r="M332" s="337"/>
      <c r="O332" s="337"/>
      <c r="P332" s="337"/>
      <c r="Q332" s="337"/>
      <c r="R332" s="337"/>
    </row>
    <row r="333" spans="13:18">
      <c r="M333" s="337"/>
      <c r="O333" s="337"/>
      <c r="P333" s="337"/>
      <c r="Q333" s="337"/>
      <c r="R333" s="337"/>
    </row>
    <row r="334" spans="13:18">
      <c r="M334" s="337"/>
      <c r="O334" s="337"/>
      <c r="P334" s="337"/>
      <c r="Q334" s="337"/>
      <c r="R334" s="337"/>
    </row>
    <row r="335" spans="13:18">
      <c r="M335" s="337"/>
      <c r="O335" s="337"/>
      <c r="P335" s="337"/>
      <c r="Q335" s="337"/>
      <c r="R335" s="337"/>
    </row>
    <row r="336" spans="13:18">
      <c r="M336" s="337"/>
      <c r="O336" s="337"/>
      <c r="P336" s="337"/>
      <c r="Q336" s="337"/>
      <c r="R336" s="337"/>
    </row>
    <row r="337" spans="13:18">
      <c r="M337" s="337"/>
      <c r="O337" s="337"/>
      <c r="P337" s="337"/>
      <c r="Q337" s="337"/>
      <c r="R337" s="337"/>
    </row>
    <row r="338" spans="13:18">
      <c r="M338" s="337"/>
      <c r="O338" s="337"/>
      <c r="P338" s="337"/>
      <c r="Q338" s="337"/>
      <c r="R338" s="337"/>
    </row>
    <row r="339" spans="13:18">
      <c r="M339" s="337"/>
      <c r="O339" s="337"/>
      <c r="P339" s="337"/>
      <c r="Q339" s="337"/>
      <c r="R339" s="337"/>
    </row>
    <row r="340" spans="13:18">
      <c r="M340" s="337"/>
      <c r="O340" s="337"/>
      <c r="P340" s="337"/>
      <c r="Q340" s="337"/>
      <c r="R340" s="337"/>
    </row>
    <row r="341" spans="13:18">
      <c r="M341" s="337"/>
      <c r="O341" s="337"/>
      <c r="P341" s="337"/>
      <c r="Q341" s="337"/>
      <c r="R341" s="337"/>
    </row>
    <row r="342" spans="13:18">
      <c r="M342" s="337"/>
      <c r="O342" s="337"/>
      <c r="P342" s="337"/>
      <c r="Q342" s="337"/>
      <c r="R342" s="337"/>
    </row>
    <row r="343" spans="13:18">
      <c r="M343" s="337"/>
      <c r="O343" s="337"/>
      <c r="P343" s="337"/>
      <c r="Q343" s="337"/>
      <c r="R343" s="337"/>
    </row>
    <row r="344" spans="13:18">
      <c r="M344" s="337"/>
      <c r="O344" s="337"/>
      <c r="P344" s="337"/>
      <c r="Q344" s="337"/>
      <c r="R344" s="337"/>
    </row>
    <row r="345" spans="13:18">
      <c r="M345" s="337"/>
      <c r="O345" s="337"/>
      <c r="P345" s="337"/>
      <c r="Q345" s="337"/>
      <c r="R345" s="337"/>
    </row>
    <row r="346" spans="13:18">
      <c r="M346" s="337"/>
      <c r="O346" s="337"/>
      <c r="P346" s="337"/>
      <c r="Q346" s="337"/>
      <c r="R346" s="337"/>
    </row>
    <row r="347" spans="13:18">
      <c r="M347" s="337"/>
      <c r="O347" s="337"/>
      <c r="P347" s="337"/>
      <c r="Q347" s="337"/>
      <c r="R347" s="337"/>
    </row>
    <row r="348" spans="13:18">
      <c r="M348" s="337"/>
      <c r="O348" s="337"/>
      <c r="P348" s="337"/>
      <c r="Q348" s="337"/>
      <c r="R348" s="337"/>
    </row>
    <row r="349" spans="13:18">
      <c r="M349" s="337"/>
      <c r="O349" s="337"/>
      <c r="P349" s="337"/>
      <c r="Q349" s="337"/>
      <c r="R349" s="337"/>
    </row>
    <row r="350" spans="13:18">
      <c r="M350" s="337"/>
      <c r="O350" s="337"/>
      <c r="P350" s="337"/>
      <c r="Q350" s="337"/>
      <c r="R350" s="337"/>
    </row>
    <row r="351" spans="13:18">
      <c r="M351" s="337"/>
      <c r="O351" s="337"/>
      <c r="P351" s="337"/>
      <c r="Q351" s="337"/>
      <c r="R351" s="337"/>
    </row>
    <row r="352" spans="13:18">
      <c r="M352" s="337"/>
      <c r="O352" s="337"/>
      <c r="P352" s="337"/>
      <c r="Q352" s="337"/>
      <c r="R352" s="337"/>
    </row>
    <row r="353" spans="13:18">
      <c r="M353" s="337"/>
      <c r="O353" s="337"/>
      <c r="P353" s="337"/>
      <c r="Q353" s="337"/>
      <c r="R353" s="337"/>
    </row>
    <row r="354" spans="13:18">
      <c r="M354" s="337"/>
      <c r="O354" s="337"/>
      <c r="P354" s="337"/>
      <c r="Q354" s="337"/>
      <c r="R354" s="337"/>
    </row>
    <row r="355" spans="13:18">
      <c r="M355" s="337"/>
      <c r="O355" s="337"/>
      <c r="P355" s="337"/>
      <c r="Q355" s="337"/>
      <c r="R355" s="337"/>
    </row>
    <row r="356" spans="13:18">
      <c r="M356" s="337"/>
      <c r="O356" s="337"/>
      <c r="P356" s="337"/>
      <c r="Q356" s="337"/>
      <c r="R356" s="337"/>
    </row>
    <row r="357" spans="13:18">
      <c r="M357" s="337"/>
      <c r="O357" s="337"/>
      <c r="P357" s="337"/>
      <c r="Q357" s="337"/>
      <c r="R357" s="337"/>
    </row>
    <row r="358" spans="13:18">
      <c r="M358" s="337"/>
      <c r="O358" s="337"/>
      <c r="P358" s="337"/>
      <c r="Q358" s="337"/>
      <c r="R358" s="337"/>
    </row>
    <row r="359" spans="13:18">
      <c r="M359" s="337"/>
      <c r="O359" s="337"/>
      <c r="P359" s="337"/>
      <c r="Q359" s="337"/>
      <c r="R359" s="337"/>
    </row>
    <row r="360" spans="13:18">
      <c r="M360" s="337"/>
      <c r="O360" s="337"/>
      <c r="P360" s="337"/>
      <c r="Q360" s="337"/>
      <c r="R360" s="337"/>
    </row>
    <row r="361" spans="13:18">
      <c r="M361" s="337"/>
      <c r="O361" s="337"/>
      <c r="P361" s="337"/>
      <c r="Q361" s="337"/>
      <c r="R361" s="337"/>
    </row>
    <row r="362" spans="13:18">
      <c r="M362" s="337"/>
      <c r="O362" s="337"/>
      <c r="P362" s="337"/>
      <c r="Q362" s="337"/>
      <c r="R362" s="337"/>
    </row>
    <row r="363" spans="13:18">
      <c r="M363" s="337"/>
      <c r="O363" s="337"/>
      <c r="P363" s="337"/>
      <c r="Q363" s="337"/>
      <c r="R363" s="337"/>
    </row>
    <row r="364" spans="13:18">
      <c r="M364" s="337"/>
      <c r="O364" s="337"/>
      <c r="P364" s="337"/>
      <c r="Q364" s="337"/>
      <c r="R364" s="337"/>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3" customWidth="1"/>
    <col min="2" max="2" width="8.42578125" style="293" customWidth="1"/>
    <col min="3" max="3" width="7.85546875" style="293" customWidth="1"/>
    <col min="4" max="4" width="8.7109375" style="293" customWidth="1"/>
    <col min="5" max="5" width="44" style="293" customWidth="1"/>
    <col min="6" max="6" width="13.5703125" style="293" customWidth="1"/>
    <col min="7" max="8" width="5.85546875" style="294" customWidth="1"/>
    <col min="9" max="9" width="4.85546875" style="293" customWidth="1"/>
    <col min="10" max="10" width="13.140625" style="293" customWidth="1"/>
    <col min="11" max="11" width="13.28515625" style="293" customWidth="1"/>
    <col min="12" max="12" width="13.7109375" style="293" customWidth="1"/>
    <col min="13" max="13" width="14" style="293" customWidth="1"/>
    <col min="14" max="14" width="13.7109375" style="293" customWidth="1"/>
    <col min="15" max="15" width="14" style="293" customWidth="1"/>
    <col min="16" max="16" width="12.7109375" style="293" customWidth="1"/>
    <col min="17" max="17" width="14.5703125" style="293" customWidth="1"/>
    <col min="18" max="18" width="13.28515625" style="293" customWidth="1"/>
    <col min="19" max="19" width="13" style="293" customWidth="1"/>
    <col min="20" max="20" width="14" style="293" customWidth="1"/>
    <col min="21" max="21" width="5" style="293" customWidth="1"/>
    <col min="22" max="22" width="13.7109375" style="293" customWidth="1"/>
    <col min="23" max="23" width="13.42578125" style="293" customWidth="1"/>
    <col min="24" max="24" width="6.140625" style="293" customWidth="1"/>
    <col min="25" max="25" width="7.140625" style="293" customWidth="1"/>
    <col min="26" max="27" width="9.42578125" style="293" customWidth="1"/>
    <col min="28" max="28" width="11.140625" style="293" customWidth="1"/>
    <col min="29" max="29" width="13" style="293" customWidth="1"/>
    <col min="30" max="30" width="4.5703125" style="293" customWidth="1"/>
    <col min="31" max="31" width="13.5703125" style="293" customWidth="1"/>
    <col min="32" max="32" width="4.5703125" style="293" customWidth="1"/>
    <col min="33" max="33" width="13.5703125" style="293" customWidth="1"/>
    <col min="34" max="34" width="4.42578125" style="293" customWidth="1"/>
    <col min="35" max="35" width="12.7109375" style="293" customWidth="1"/>
    <col min="36" max="36" width="11.140625" style="293" customWidth="1"/>
    <col min="37" max="37" width="4.7109375" style="293" customWidth="1"/>
    <col min="38" max="38" width="12.28515625" style="293" customWidth="1"/>
    <col min="39" max="39" width="11.42578125" style="293" customWidth="1"/>
    <col min="40" max="40" width="11.28515625" style="293" customWidth="1"/>
    <col min="41" max="41" width="11.140625" style="293" customWidth="1"/>
    <col min="42" max="43" width="12.5703125" style="293" customWidth="1"/>
    <col min="44" max="44" width="13.42578125" style="293" customWidth="1"/>
    <col min="45" max="45" width="12.7109375" style="293" customWidth="1"/>
    <col min="46" max="46" width="11.85546875" style="293" customWidth="1"/>
    <col min="47" max="47" width="11.5703125" style="293" customWidth="1"/>
    <col min="48" max="48" width="7.5703125" style="293" customWidth="1"/>
    <col min="49" max="49" width="8.140625" style="293" customWidth="1"/>
    <col min="50" max="50" width="7.5703125" style="293" customWidth="1"/>
    <col min="51" max="51" width="7.42578125" style="293" customWidth="1"/>
    <col min="52" max="53" width="13.140625" style="293" customWidth="1"/>
    <col min="54" max="16384" width="9.140625" style="293"/>
  </cols>
  <sheetData>
    <row r="1" spans="1:53" ht="12.75" customHeight="1">
      <c r="A1" s="289"/>
      <c r="B1" s="290" t="s">
        <v>122</v>
      </c>
      <c r="C1" s="291"/>
      <c r="D1" s="291"/>
      <c r="E1" s="292"/>
      <c r="I1" s="291"/>
      <c r="L1" s="1093" t="s">
        <v>204</v>
      </c>
      <c r="M1" s="1093"/>
      <c r="N1" s="1093"/>
      <c r="O1" s="1093"/>
      <c r="P1" s="1093"/>
      <c r="Q1" s="1093"/>
      <c r="R1" s="422"/>
      <c r="T1" s="291"/>
      <c r="U1" s="291"/>
      <c r="V1" s="291"/>
      <c r="W1" s="291"/>
      <c r="X1" s="291"/>
      <c r="Y1" s="291"/>
      <c r="Z1" s="291"/>
      <c r="AA1" s="291"/>
      <c r="AB1" s="291"/>
      <c r="AC1" s="291"/>
      <c r="AD1" s="291"/>
      <c r="AE1" s="291"/>
      <c r="AF1" s="502"/>
      <c r="AG1" s="502"/>
      <c r="AH1" s="291"/>
      <c r="AI1" s="291"/>
      <c r="AJ1" s="291"/>
      <c r="AK1" s="291"/>
      <c r="AL1" s="291"/>
      <c r="AM1" s="291"/>
      <c r="AN1" s="291"/>
      <c r="AO1" s="291"/>
      <c r="AP1" s="291"/>
      <c r="AQ1" s="291"/>
      <c r="AR1" s="291"/>
      <c r="AS1" s="291"/>
      <c r="AT1" s="291"/>
      <c r="AU1" s="291"/>
      <c r="AV1" s="291"/>
      <c r="AW1" s="291"/>
      <c r="AX1" s="291"/>
      <c r="AY1" s="291"/>
      <c r="AZ1" s="291"/>
      <c r="BA1" s="291"/>
    </row>
    <row r="2" spans="1:53" ht="12.75" customHeight="1">
      <c r="A2" s="289"/>
      <c r="B2" s="290" t="s">
        <v>193</v>
      </c>
      <c r="C2" s="291"/>
      <c r="D2" s="291"/>
      <c r="E2" s="291"/>
      <c r="I2" s="295"/>
      <c r="L2" s="1094" t="s">
        <v>146</v>
      </c>
      <c r="M2" s="1094"/>
      <c r="N2" s="1094"/>
      <c r="O2" s="1094"/>
      <c r="P2" s="1094"/>
      <c r="Q2" s="1094"/>
      <c r="R2" s="423"/>
      <c r="T2" s="295"/>
      <c r="U2" s="295"/>
      <c r="V2" s="295"/>
      <c r="W2" s="295"/>
      <c r="X2" s="295"/>
      <c r="Y2" s="295"/>
      <c r="Z2" s="295"/>
      <c r="AA2" s="295"/>
      <c r="AB2" s="295"/>
      <c r="AC2" s="295"/>
      <c r="AD2" s="295"/>
      <c r="AE2" s="295"/>
      <c r="AF2" s="503"/>
      <c r="AG2" s="503"/>
      <c r="AH2" s="295"/>
      <c r="AI2" s="295"/>
      <c r="AJ2" s="295"/>
      <c r="AK2" s="295"/>
      <c r="AL2" s="295"/>
      <c r="AM2" s="295"/>
      <c r="AN2" s="295"/>
      <c r="AO2" s="295"/>
      <c r="AP2" s="295"/>
      <c r="AQ2" s="295"/>
      <c r="AR2" s="295"/>
      <c r="AS2" s="295"/>
      <c r="AT2" s="295"/>
      <c r="AU2" s="295"/>
      <c r="AV2" s="295"/>
      <c r="AW2" s="295"/>
      <c r="AX2" s="295"/>
      <c r="AY2" s="295"/>
      <c r="AZ2" s="295"/>
      <c r="BA2" s="295"/>
    </row>
    <row r="3" spans="1:53" ht="10.5" customHeight="1">
      <c r="A3" s="291"/>
      <c r="B3" s="291"/>
      <c r="C3" s="291"/>
      <c r="D3" s="291"/>
      <c r="E3" s="291"/>
      <c r="F3" s="295"/>
      <c r="G3" s="297"/>
      <c r="H3" s="297"/>
      <c r="I3" s="295"/>
      <c r="L3" s="1094"/>
      <c r="M3" s="1094"/>
      <c r="N3" s="1094"/>
      <c r="O3" s="1094"/>
      <c r="P3" s="1094"/>
      <c r="Q3" s="1094"/>
      <c r="R3" s="423"/>
      <c r="T3" s="295"/>
      <c r="U3" s="295"/>
      <c r="V3" s="295"/>
      <c r="W3" s="295"/>
      <c r="X3" s="295"/>
      <c r="Y3" s="295"/>
      <c r="Z3" s="295"/>
      <c r="AA3" s="295"/>
      <c r="AB3" s="295"/>
      <c r="AC3" s="295"/>
      <c r="AD3" s="295"/>
      <c r="AE3" s="295"/>
      <c r="AF3" s="503"/>
      <c r="AG3" s="503"/>
      <c r="AH3" s="295"/>
      <c r="AI3" s="295"/>
      <c r="AJ3" s="295"/>
      <c r="AK3" s="295"/>
      <c r="AL3" s="295"/>
      <c r="AM3" s="295"/>
      <c r="AN3" s="295"/>
      <c r="AO3" s="295"/>
      <c r="AP3" s="295"/>
      <c r="AQ3" s="295"/>
      <c r="AR3" s="295"/>
      <c r="AS3" s="295"/>
      <c r="AT3" s="295"/>
      <c r="AU3" s="295"/>
      <c r="AV3" s="295"/>
      <c r="AW3" s="295"/>
      <c r="AX3" s="295"/>
      <c r="AY3" s="295"/>
      <c r="AZ3" s="295"/>
      <c r="BA3" s="295"/>
    </row>
    <row r="4" spans="1:53" ht="19.5" customHeight="1">
      <c r="B4" s="1095" t="s">
        <v>112</v>
      </c>
      <c r="C4" s="1095"/>
      <c r="D4" s="1095"/>
      <c r="E4" s="1095"/>
      <c r="F4" s="1095"/>
      <c r="G4" s="1095"/>
      <c r="H4" s="1095"/>
      <c r="I4" s="1095"/>
      <c r="J4" s="1095"/>
      <c r="K4" s="1095"/>
      <c r="L4" s="1095"/>
      <c r="M4" s="1095"/>
      <c r="N4" s="1095"/>
      <c r="O4" s="1095"/>
      <c r="P4" s="1095"/>
      <c r="Q4" s="1095"/>
      <c r="R4" s="1095"/>
      <c r="S4" s="298"/>
      <c r="T4" s="300"/>
      <c r="U4" s="300"/>
      <c r="V4" s="300"/>
      <c r="W4" s="300"/>
      <c r="X4" s="300"/>
      <c r="Y4" s="300"/>
      <c r="Z4" s="300"/>
      <c r="AA4" s="300"/>
      <c r="AB4" s="300"/>
      <c r="AC4" s="300"/>
      <c r="AD4" s="300"/>
      <c r="AE4" s="300"/>
      <c r="AF4" s="300"/>
      <c r="AG4" s="300"/>
      <c r="AH4" s="300"/>
      <c r="AI4" s="300"/>
      <c r="AJ4" s="300"/>
      <c r="AK4" s="300"/>
      <c r="AL4" s="300"/>
      <c r="AM4" s="300"/>
      <c r="AN4" s="300"/>
      <c r="AO4" s="300"/>
      <c r="AP4" s="300"/>
      <c r="AQ4" s="300"/>
      <c r="AR4" s="300"/>
      <c r="AS4" s="300"/>
      <c r="AT4" s="300"/>
      <c r="AU4" s="300"/>
      <c r="AV4" s="300"/>
      <c r="AW4" s="300"/>
      <c r="AX4" s="300"/>
      <c r="AY4" s="300"/>
      <c r="AZ4" s="300"/>
      <c r="BA4" s="300"/>
    </row>
    <row r="5" spans="1:53" ht="15">
      <c r="B5" s="1096" t="s">
        <v>237</v>
      </c>
      <c r="C5" s="1096"/>
      <c r="D5" s="1096"/>
      <c r="E5" s="1096"/>
      <c r="F5" s="1096"/>
      <c r="G5" s="1096"/>
      <c r="H5" s="1096"/>
      <c r="I5" s="1096"/>
      <c r="J5" s="1096"/>
      <c r="K5" s="1096"/>
      <c r="L5" s="1096"/>
      <c r="M5" s="1096"/>
      <c r="N5" s="1096"/>
      <c r="O5" s="1096"/>
      <c r="P5" s="1096"/>
      <c r="Q5" s="1096"/>
      <c r="R5" s="1096"/>
      <c r="S5" s="301"/>
    </row>
    <row r="7" spans="1:53" ht="13.5" customHeight="1">
      <c r="A7" s="1097" t="s">
        <v>37</v>
      </c>
      <c r="B7" s="1099" t="s">
        <v>22</v>
      </c>
      <c r="C7" s="1100" t="s">
        <v>1</v>
      </c>
      <c r="D7" s="1101"/>
      <c r="E7" s="1099" t="s">
        <v>0</v>
      </c>
      <c r="F7" s="1099" t="s">
        <v>113</v>
      </c>
      <c r="G7" s="1102" t="s">
        <v>114</v>
      </c>
      <c r="H7" s="1102"/>
      <c r="I7" s="1103" t="s">
        <v>37</v>
      </c>
      <c r="J7" s="1099" t="s">
        <v>206</v>
      </c>
      <c r="K7" s="1099"/>
      <c r="L7" s="1099" t="s">
        <v>207</v>
      </c>
      <c r="M7" s="1099"/>
      <c r="N7" s="1099" t="s">
        <v>284</v>
      </c>
      <c r="O7" s="1099"/>
      <c r="P7" s="1099" t="s">
        <v>208</v>
      </c>
      <c r="Q7" s="1099"/>
      <c r="R7" s="1099" t="s">
        <v>209</v>
      </c>
      <c r="S7" s="1099"/>
      <c r="T7" s="1099" t="s">
        <v>210</v>
      </c>
      <c r="U7" s="1099"/>
      <c r="V7" s="1099" t="s">
        <v>211</v>
      </c>
      <c r="W7" s="1099"/>
      <c r="X7" s="1099" t="s">
        <v>212</v>
      </c>
      <c r="Y7" s="1099"/>
      <c r="Z7" s="1099" t="s">
        <v>213</v>
      </c>
      <c r="AA7" s="1099"/>
      <c r="AB7" s="1099" t="s">
        <v>214</v>
      </c>
      <c r="AC7" s="1099"/>
      <c r="AD7" s="1099" t="s">
        <v>215</v>
      </c>
      <c r="AE7" s="1099"/>
      <c r="AF7" s="1099" t="s">
        <v>279</v>
      </c>
      <c r="AG7" s="1099"/>
      <c r="AH7" s="1099" t="s">
        <v>216</v>
      </c>
      <c r="AI7" s="1099"/>
      <c r="AJ7" s="1099" t="s">
        <v>217</v>
      </c>
      <c r="AK7" s="1099"/>
      <c r="AL7" s="1099" t="s">
        <v>218</v>
      </c>
      <c r="AM7" s="1099"/>
      <c r="AN7" s="1099" t="s">
        <v>219</v>
      </c>
      <c r="AO7" s="1099"/>
      <c r="AP7" s="1099" t="s">
        <v>220</v>
      </c>
      <c r="AQ7" s="1099"/>
      <c r="AR7" s="1099" t="s">
        <v>221</v>
      </c>
      <c r="AS7" s="1099"/>
      <c r="AT7" s="1099" t="s">
        <v>222</v>
      </c>
      <c r="AU7" s="1099"/>
      <c r="AV7" s="1099" t="s">
        <v>223</v>
      </c>
      <c r="AW7" s="1099"/>
      <c r="AX7" s="1099" t="s">
        <v>224</v>
      </c>
      <c r="AY7" s="1099"/>
      <c r="AZ7" s="1099" t="s">
        <v>225</v>
      </c>
      <c r="BA7" s="1099"/>
    </row>
    <row r="8" spans="1:53" ht="22.5" customHeight="1">
      <c r="A8" s="1098"/>
      <c r="B8" s="1099"/>
      <c r="C8" s="424" t="s">
        <v>17</v>
      </c>
      <c r="D8" s="421" t="s">
        <v>34</v>
      </c>
      <c r="E8" s="1099"/>
      <c r="F8" s="1099"/>
      <c r="G8" s="425" t="s">
        <v>24</v>
      </c>
      <c r="H8" s="425" t="s">
        <v>25</v>
      </c>
      <c r="I8" s="1103"/>
      <c r="J8" s="421" t="s">
        <v>24</v>
      </c>
      <c r="K8" s="421" t="s">
        <v>25</v>
      </c>
      <c r="L8" s="421" t="s">
        <v>24</v>
      </c>
      <c r="M8" s="421" t="s">
        <v>25</v>
      </c>
      <c r="N8" s="505" t="s">
        <v>24</v>
      </c>
      <c r="O8" s="505" t="s">
        <v>25</v>
      </c>
      <c r="P8" s="421" t="s">
        <v>24</v>
      </c>
      <c r="Q8" s="421" t="s">
        <v>25</v>
      </c>
      <c r="R8" s="421" t="s">
        <v>24</v>
      </c>
      <c r="S8" s="421" t="s">
        <v>25</v>
      </c>
      <c r="T8" s="421" t="s">
        <v>24</v>
      </c>
      <c r="U8" s="421" t="s">
        <v>25</v>
      </c>
      <c r="V8" s="421" t="s">
        <v>24</v>
      </c>
      <c r="W8" s="421" t="s">
        <v>25</v>
      </c>
      <c r="X8" s="421" t="s">
        <v>24</v>
      </c>
      <c r="Y8" s="421" t="s">
        <v>25</v>
      </c>
      <c r="Z8" s="421" t="s">
        <v>24</v>
      </c>
      <c r="AA8" s="421" t="s">
        <v>25</v>
      </c>
      <c r="AB8" s="421" t="s">
        <v>24</v>
      </c>
      <c r="AC8" s="421" t="s">
        <v>25</v>
      </c>
      <c r="AD8" s="421" t="s">
        <v>24</v>
      </c>
      <c r="AE8" s="421" t="s">
        <v>25</v>
      </c>
      <c r="AF8" s="501" t="s">
        <v>24</v>
      </c>
      <c r="AG8" s="501" t="s">
        <v>25</v>
      </c>
      <c r="AH8" s="421" t="s">
        <v>24</v>
      </c>
      <c r="AI8" s="421" t="s">
        <v>25</v>
      </c>
      <c r="AJ8" s="421" t="s">
        <v>24</v>
      </c>
      <c r="AK8" s="421" t="s">
        <v>25</v>
      </c>
      <c r="AL8" s="421" t="s">
        <v>24</v>
      </c>
      <c r="AM8" s="421" t="s">
        <v>25</v>
      </c>
      <c r="AN8" s="421" t="s">
        <v>24</v>
      </c>
      <c r="AO8" s="421" t="s">
        <v>25</v>
      </c>
      <c r="AP8" s="421" t="s">
        <v>24</v>
      </c>
      <c r="AQ8" s="421" t="s">
        <v>25</v>
      </c>
      <c r="AR8" s="421" t="s">
        <v>24</v>
      </c>
      <c r="AS8" s="421" t="s">
        <v>25</v>
      </c>
      <c r="AT8" s="421" t="s">
        <v>24</v>
      </c>
      <c r="AU8" s="421" t="s">
        <v>25</v>
      </c>
      <c r="AV8" s="421" t="s">
        <v>24</v>
      </c>
      <c r="AW8" s="421" t="s">
        <v>25</v>
      </c>
      <c r="AX8" s="421" t="s">
        <v>24</v>
      </c>
      <c r="AY8" s="421" t="s">
        <v>25</v>
      </c>
      <c r="AZ8" s="421" t="s">
        <v>24</v>
      </c>
      <c r="BA8" s="421"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6.5" customHeight="1">
      <c r="A10" s="63" t="str">
        <f t="array" ref="A10">IF(C10&lt;&gt;0,SUM(($C10:C$15&lt;&gt;0)*1),"")</f>
        <v/>
      </c>
      <c r="B10" s="308"/>
      <c r="C10" s="309"/>
      <c r="D10" s="308"/>
      <c r="E10" s="310" t="s">
        <v>184</v>
      </c>
      <c r="F10" s="311"/>
      <c r="G10" s="312"/>
      <c r="H10" s="312"/>
      <c r="I10" s="313"/>
      <c r="J10" s="314">
        <f ca="1">'SC-III'!J244</f>
        <v>3705039095</v>
      </c>
      <c r="K10" s="314">
        <f ca="1">'SC-III'!K244</f>
        <v>0</v>
      </c>
      <c r="L10" s="314">
        <f ca="1">'SC-III'!L244</f>
        <v>19829295</v>
      </c>
      <c r="M10" s="314">
        <f ca="1">'SC-III'!M244</f>
        <v>0</v>
      </c>
      <c r="N10" s="314">
        <f ca="1">'SC-III'!N244</f>
        <v>2236796790</v>
      </c>
      <c r="O10" s="314">
        <f ca="1">'SC-III'!O244</f>
        <v>0</v>
      </c>
      <c r="P10" s="314">
        <f ca="1">'SC-III'!P244</f>
        <v>162420936</v>
      </c>
      <c r="Q10" s="314">
        <f ca="1">'SC-III'!Q244</f>
        <v>0</v>
      </c>
      <c r="R10" s="314">
        <f ca="1">'SC-III'!R244</f>
        <v>1500000000</v>
      </c>
      <c r="S10" s="314">
        <f ca="1">'SC-III'!S244</f>
        <v>0</v>
      </c>
      <c r="T10" s="314">
        <f ca="1">'SC-III'!T244</f>
        <v>0</v>
      </c>
      <c r="U10" s="314">
        <f ca="1">'SC-III'!U244</f>
        <v>0</v>
      </c>
      <c r="V10" s="314">
        <f ca="1">'SC-III'!V244</f>
        <v>0</v>
      </c>
      <c r="W10" s="314">
        <f ca="1">'SC-III'!W244</f>
        <v>476953252</v>
      </c>
      <c r="X10" s="314">
        <f ca="1">'SC-III'!X244</f>
        <v>0</v>
      </c>
      <c r="Y10" s="314">
        <f ca="1">'SC-III'!Y244</f>
        <v>3313435</v>
      </c>
      <c r="Z10" s="314">
        <f ca="1">'SC-III'!Z244</f>
        <v>0</v>
      </c>
      <c r="AA10" s="314">
        <f ca="1">'SC-III'!AA244</f>
        <v>0</v>
      </c>
      <c r="AB10" s="314">
        <f ca="1">'SC-III'!AB244</f>
        <v>0</v>
      </c>
      <c r="AC10" s="314">
        <f ca="1">'SC-III'!AC244</f>
        <v>0</v>
      </c>
      <c r="AD10" s="314">
        <f ca="1">'SC-III'!AD244</f>
        <v>0</v>
      </c>
      <c r="AE10" s="314">
        <f ca="1">'SC-III'!AE244</f>
        <v>2169121879</v>
      </c>
      <c r="AF10" s="314">
        <f ca="1">'SC-III'!AF244</f>
        <v>0</v>
      </c>
      <c r="AG10" s="314">
        <f ca="1">'SC-III'!AG244</f>
        <v>21202920500</v>
      </c>
      <c r="AH10" s="314">
        <f ca="1">'SC-III'!AH244</f>
        <v>0</v>
      </c>
      <c r="AI10" s="314">
        <f ca="1">'SC-III'!AI244</f>
        <v>10000000000</v>
      </c>
      <c r="AJ10" s="314">
        <f ca="1">'SC-III'!AJ244</f>
        <v>0</v>
      </c>
      <c r="AK10" s="314">
        <f ca="1">'SC-III'!AK244</f>
        <v>486535137</v>
      </c>
      <c r="AL10" s="314">
        <f ca="1">'SC-III'!AL244</f>
        <v>24565582.999999523</v>
      </c>
      <c r="AM10" s="314">
        <f ca="1">'SC-III'!AM244</f>
        <v>0</v>
      </c>
      <c r="AN10" s="314">
        <f ca="1">'SC-III'!AN244</f>
        <v>0</v>
      </c>
      <c r="AO10" s="314">
        <f ca="1">'SC-III'!AO244</f>
        <v>0</v>
      </c>
      <c r="AP10" s="314">
        <f ca="1">'SC-III'!AP244</f>
        <v>0</v>
      </c>
      <c r="AQ10" s="314">
        <f ca="1">'SC-III'!AQ244</f>
        <v>0</v>
      </c>
      <c r="AR10" s="314">
        <f ca="1">'SC-III'!AR244</f>
        <v>0</v>
      </c>
      <c r="AS10" s="314">
        <f ca="1">'SC-III'!AS244</f>
        <v>0</v>
      </c>
      <c r="AT10" s="314">
        <f ca="1">'SC-III'!AT244</f>
        <v>0</v>
      </c>
      <c r="AU10" s="314">
        <f ca="1">'SC-III'!AU244</f>
        <v>0</v>
      </c>
      <c r="AV10" s="314">
        <f ca="1">'SC-III'!AV244</f>
        <v>0</v>
      </c>
      <c r="AW10" s="314">
        <f ca="1">'SC-III'!AW244</f>
        <v>0</v>
      </c>
      <c r="AX10" s="314">
        <f ca="1">'SC-III'!AX244</f>
        <v>0</v>
      </c>
      <c r="AY10" s="314">
        <f ca="1">'SC-III'!AY244</f>
        <v>0</v>
      </c>
      <c r="AZ10" s="314">
        <f ca="1">'SC-III'!AZ244</f>
        <v>0</v>
      </c>
      <c r="BA10" s="314">
        <f ca="1">'SC-III'!BA244</f>
        <v>54726467</v>
      </c>
    </row>
    <row r="11" spans="1:53" s="315" customFormat="1" ht="16.5" customHeight="1">
      <c r="A11" s="63">
        <f t="array" aca="1" ref="A11" ca="1">IF(C11&lt;&gt;0,SUM(($C$11:C11&lt;&gt;0)*1),"")</f>
        <v>1</v>
      </c>
      <c r="B11" s="316" t="str">
        <f ca="1">IF(ROWS($1:1)&gt;COUNT(Dong9),"",OFFSET(TH!C$1,SMALL(Dong9,ROWS($1:1)),))</f>
        <v/>
      </c>
      <c r="C11" s="316" t="str">
        <f ca="1">IF(ROWS($1:1)&gt;COUNT(Dong9),"",OFFSET(TH!D$1,SMALL(Dong9,ROWS($1:1)),))</f>
        <v/>
      </c>
      <c r="D11" s="316" t="str">
        <f ca="1">IF(ROWS($1:1)&gt;COUNT(Dong9),"",OFFSET(TH!E$1,SMALL(Dong9,ROWS($1:1)),))</f>
        <v/>
      </c>
      <c r="E11" s="436" t="str">
        <f ca="1">IF(ROWS($1:1)&gt;COUNT(Dong9),"",OFFSET(TH!F$1,SMALL(Dong9,ROWS($1:1)),))</f>
        <v/>
      </c>
      <c r="F11" s="372" t="str">
        <f ca="1">IF(ROWS($1:1)&gt;COUNT(Dong9),"",OFFSET(TH!M$1,SMALL(Dong9,ROWS($1:1)),))</f>
        <v/>
      </c>
      <c r="G11" s="374" t="str">
        <f ca="1">IF(ROWS($1:1)&gt;COUNT(Dong9),"",OFFSET(TH!N$1,SMALL(Dong9,ROWS($1:1)),))</f>
        <v/>
      </c>
      <c r="H11" s="374" t="str">
        <f ca="1">IF(ROWS($1:1)&gt;COUNT(Dong9),"",OFFSET(TH!O$1,SMALL(Dong9,ROWS($1:1)),))</f>
        <v/>
      </c>
      <c r="I11" s="63">
        <f t="shared" ref="I11:I89" ca="1" si="0">A11</f>
        <v>1</v>
      </c>
      <c r="J11" s="318">
        <f t="shared" ref="J11:J74" ca="1" si="1">IF($G11="1111",$F11,0)</f>
        <v>0</v>
      </c>
      <c r="K11" s="318">
        <f t="shared" ref="K11:K74" ca="1" si="2">IF($H11="1111",$F11,0)</f>
        <v>0</v>
      </c>
      <c r="L11" s="318">
        <f t="shared" ref="L11:L74" ca="1" si="3">IF($G11="1121",$F11,0)</f>
        <v>0</v>
      </c>
      <c r="M11" s="318">
        <f t="shared" ref="M11:M74" ca="1" si="4">IF($H11="1121",$F11,0)</f>
        <v>0</v>
      </c>
      <c r="N11" s="318">
        <f ca="1">IF($G11="1122",$F11,0)</f>
        <v>0</v>
      </c>
      <c r="O11" s="318">
        <f ca="1">IF($H11="1122",$F11,0)</f>
        <v>0</v>
      </c>
      <c r="P11" s="318">
        <f t="shared" ref="P11:P74" ca="1" si="5">IF($G11="1331",$F11,0)</f>
        <v>0</v>
      </c>
      <c r="Q11" s="318">
        <f t="shared" ref="Q11:Q74" ca="1" si="6">IF($H11="1331",$F11,0)</f>
        <v>0</v>
      </c>
      <c r="R11" s="318">
        <f t="shared" ref="R11:R74" ca="1" si="7">IF($G11="1388",$F11,0)</f>
        <v>0</v>
      </c>
      <c r="S11" s="318">
        <f t="shared" ref="S11:S74" ca="1" si="8">IF($H11="1388",$F11,0)</f>
        <v>0</v>
      </c>
      <c r="T11" s="318">
        <f ca="1">IF($G11="2412",$F11,0)</f>
        <v>0</v>
      </c>
      <c r="U11" s="318">
        <f ca="1">IF($H11="2412",$F11,0)</f>
        <v>0</v>
      </c>
      <c r="V11" s="318">
        <f t="shared" ref="V11:V74" ca="1" si="9">IF($G11="331",$F11,0)</f>
        <v>0</v>
      </c>
      <c r="W11" s="318">
        <f t="shared" ref="W11:W74" ca="1" si="10">IF($H11="331",$F11,0)</f>
        <v>0</v>
      </c>
      <c r="X11" s="318">
        <f t="shared" ref="X11:X74" ca="1" si="11">IF($G11="3334",$F11,0)</f>
        <v>0</v>
      </c>
      <c r="Y11" s="318">
        <f t="shared" ref="Y11:Y74" ca="1" si="12">IF($H11="3334",$F11,0)</f>
        <v>0</v>
      </c>
      <c r="Z11" s="318">
        <f t="shared" ref="Z11:Z74" ca="1" si="13">IF($G11="33382",$F11,0)</f>
        <v>0</v>
      </c>
      <c r="AA11" s="318">
        <f t="shared" ref="AA11:AA74" ca="1" si="14">IF($H11="33382",$F11,0)</f>
        <v>0</v>
      </c>
      <c r="AB11" s="318">
        <f t="shared" ref="AB11:AB74" ca="1" si="15">IF($G11="3388",$F11,0)</f>
        <v>0</v>
      </c>
      <c r="AC11" s="318">
        <f t="shared" ref="AC11:AC74" ca="1" si="16">IF($H11="3388",$F11,0)</f>
        <v>0</v>
      </c>
      <c r="AD11" s="318">
        <f t="shared" ref="AD11:AD74" ca="1" si="17">IF($G11="3411",$F11,0)</f>
        <v>0</v>
      </c>
      <c r="AE11" s="318">
        <f t="shared" ref="AE11:AE74" ca="1" si="18">IF($H11="3411",$F11,0)</f>
        <v>0</v>
      </c>
      <c r="AF11" s="318">
        <f ca="1">IF($G11="3412",$F11,0)</f>
        <v>0</v>
      </c>
      <c r="AG11" s="318">
        <f ca="1">IF($H11="3412",$F11,0)</f>
        <v>0</v>
      </c>
      <c r="AH11" s="318">
        <f t="shared" ref="AH11:AH74" ca="1" si="19">IF($G11="4111",$F11,0)</f>
        <v>0</v>
      </c>
      <c r="AI11" s="318">
        <f t="shared" ref="AI11:AI74" ca="1" si="20">IF($H11="4111",$F11,0)</f>
        <v>0</v>
      </c>
      <c r="AJ11" s="318">
        <f t="shared" ref="AJ11:AJ74" ca="1" si="21">IF($G11="4211",$F11,0)</f>
        <v>0</v>
      </c>
      <c r="AK11" s="318">
        <f t="shared" ref="AK11:AK74" ca="1" si="22">IF($H11="4211",$F11,0)</f>
        <v>0</v>
      </c>
      <c r="AL11" s="318">
        <f t="shared" ref="AL11:AL74" ca="1" si="23">IF($G11="4212",$F11,0)</f>
        <v>0</v>
      </c>
      <c r="AM11" s="318">
        <f t="shared" ref="AM11:AM74" ca="1" si="24">IF($H11="4212",$F11,0)</f>
        <v>0</v>
      </c>
      <c r="AN11" s="318">
        <f t="shared" ref="AN11:AN74" ca="1" si="25">IF($G11="515",$F11,0)</f>
        <v>0</v>
      </c>
      <c r="AO11" s="318">
        <f t="shared" ref="AO11:AO74" ca="1" si="26">IF($H11="515",$F11,0)</f>
        <v>0</v>
      </c>
      <c r="AP11" s="318">
        <f t="shared" ref="AP11:AP74" ca="1" si="27">IF($G11="635",$F11,0)</f>
        <v>0</v>
      </c>
      <c r="AQ11" s="318">
        <f t="shared" ref="AQ11:AQ74" ca="1" si="28">IF($H11="635",$F11,0)</f>
        <v>0</v>
      </c>
      <c r="AR11" s="318">
        <f t="shared" ref="AR11:AR74" ca="1" si="29">IF($G11="642",$F11,0)</f>
        <v>0</v>
      </c>
      <c r="AS11" s="318">
        <f t="shared" ref="AS11:AS74" ca="1" si="30">IF($H11="642",$F11,0)</f>
        <v>0</v>
      </c>
      <c r="AT11" s="318">
        <f t="shared" ref="AT11:AT74" ca="1" si="31">IF($G11="711",$F11,0)</f>
        <v>0</v>
      </c>
      <c r="AU11" s="318">
        <f t="shared" ref="AU11:AU74" ca="1" si="32">IF($H11="711",$F11,0)</f>
        <v>0</v>
      </c>
      <c r="AV11" s="318">
        <f t="shared" ref="AV11:AV74" ca="1" si="33">IF($G11="811",$F11,0)</f>
        <v>0</v>
      </c>
      <c r="AW11" s="318">
        <f t="shared" ref="AW11:AW74" ca="1" si="34">IF($H11="811",$F11,0)</f>
        <v>0</v>
      </c>
      <c r="AX11" s="318">
        <f t="shared" ref="AX11:AX74" ca="1" si="35">IF($G11="821",$F11,0)</f>
        <v>0</v>
      </c>
      <c r="AY11" s="318">
        <f t="shared" ref="AY11:AY74" ca="1" si="36">IF($H11="821",$F11,0)</f>
        <v>0</v>
      </c>
      <c r="AZ11" s="318">
        <f t="shared" ref="AZ11:AZ74" ca="1" si="37">IF($G11="911",$F11,0)</f>
        <v>0</v>
      </c>
      <c r="BA11" s="318">
        <f t="shared" ref="BA11:BA74" ca="1" si="38">IF($H11="911",$F11,0)</f>
        <v>0</v>
      </c>
    </row>
    <row r="12" spans="1:53" s="315" customFormat="1" ht="16.5" customHeight="1">
      <c r="A12" s="63" t="str">
        <f t="array" ref="A12">IF(C12&lt;&gt;0,SUM(($C$11:C12&lt;&gt;0)*1),"")</f>
        <v/>
      </c>
      <c r="B12" s="316"/>
      <c r="C12" s="316"/>
      <c r="D12" s="316"/>
      <c r="E12" s="436"/>
      <c r="F12" s="372"/>
      <c r="G12" s="374"/>
      <c r="H12" s="374"/>
      <c r="I12" s="63" t="str">
        <f t="shared" si="0"/>
        <v/>
      </c>
      <c r="J12" s="318">
        <f t="shared" si="1"/>
        <v>0</v>
      </c>
      <c r="K12" s="318">
        <f t="shared" si="2"/>
        <v>0</v>
      </c>
      <c r="L12" s="318">
        <f t="shared" si="3"/>
        <v>0</v>
      </c>
      <c r="M12" s="318">
        <f t="shared" si="4"/>
        <v>0</v>
      </c>
      <c r="N12" s="318">
        <f t="shared" ref="N12:N75" si="39">IF($G12="1122",$F12,0)</f>
        <v>0</v>
      </c>
      <c r="O12" s="318">
        <f t="shared" ref="O12:O75" si="40">IF($H12="1122",$F12,0)</f>
        <v>0</v>
      </c>
      <c r="P12" s="318">
        <f t="shared" si="5"/>
        <v>0</v>
      </c>
      <c r="Q12" s="318">
        <f t="shared" si="6"/>
        <v>0</v>
      </c>
      <c r="R12" s="318">
        <f t="shared" si="7"/>
        <v>0</v>
      </c>
      <c r="S12" s="318">
        <f t="shared" si="8"/>
        <v>0</v>
      </c>
      <c r="T12" s="318">
        <f t="shared" ref="T12:T75" si="41">IF($G12="2412",$F12,0)</f>
        <v>0</v>
      </c>
      <c r="U12" s="318">
        <f t="shared" ref="U12:U75"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5" si="43">IF($G12="3412",$F12,0)</f>
        <v>0</v>
      </c>
      <c r="AG12" s="318">
        <f t="shared" ref="AG12:AG75"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6.5" customHeight="1">
      <c r="A13" s="63" t="str">
        <f t="array" ref="A13">IF(C13&lt;&gt;0,SUM(($C$11:C13&lt;&gt;0)*1),"")</f>
        <v/>
      </c>
      <c r="B13" s="316"/>
      <c r="C13" s="316"/>
      <c r="D13" s="316"/>
      <c r="E13" s="436"/>
      <c r="F13" s="372"/>
      <c r="G13" s="374"/>
      <c r="H13" s="374"/>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6.5" customHeight="1">
      <c r="A14" s="63" t="str">
        <f t="array" ref="A14">IF(C14&lt;&gt;0,SUM(($C$11:C14&lt;&gt;0)*1),"")</f>
        <v/>
      </c>
      <c r="B14" s="316"/>
      <c r="C14" s="316"/>
      <c r="D14" s="316"/>
      <c r="E14" s="436"/>
      <c r="F14" s="372"/>
      <c r="G14" s="374"/>
      <c r="H14" s="374"/>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6.5" customHeight="1">
      <c r="A15" s="63" t="str">
        <f t="array" ref="A15">IF(C15&lt;&gt;0,SUM(($C$11:C15&lt;&gt;0)*1),"")</f>
        <v/>
      </c>
      <c r="B15" s="316"/>
      <c r="C15" s="316"/>
      <c r="D15" s="316"/>
      <c r="E15" s="436"/>
      <c r="F15" s="372"/>
      <c r="G15" s="374"/>
      <c r="H15" s="374"/>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6.5" customHeight="1">
      <c r="A16" s="63" t="str">
        <f t="array" ref="A16">IF(C16&lt;&gt;0,SUM(($C$11:C16&lt;&gt;0)*1),"")</f>
        <v/>
      </c>
      <c r="B16" s="316"/>
      <c r="C16" s="316"/>
      <c r="D16" s="316"/>
      <c r="E16" s="436"/>
      <c r="F16" s="372"/>
      <c r="G16" s="374"/>
      <c r="H16" s="374"/>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6.5" customHeight="1">
      <c r="A17" s="63" t="str">
        <f t="array" ref="A17">IF(C17&lt;&gt;0,SUM(($C$11:C17&lt;&gt;0)*1),"")</f>
        <v/>
      </c>
      <c r="B17" s="316"/>
      <c r="C17" s="316"/>
      <c r="D17" s="316"/>
      <c r="E17" s="436"/>
      <c r="F17" s="372"/>
      <c r="G17" s="374"/>
      <c r="H17" s="374"/>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6.5" customHeight="1">
      <c r="A18" s="63" t="str">
        <f t="array" ref="A18">IF(C18&lt;&gt;0,SUM(($C$11:C18&lt;&gt;0)*1),"")</f>
        <v/>
      </c>
      <c r="B18" s="316"/>
      <c r="C18" s="316"/>
      <c r="D18" s="316"/>
      <c r="E18" s="436"/>
      <c r="F18" s="372"/>
      <c r="G18" s="374"/>
      <c r="H18" s="374"/>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6.5" customHeight="1">
      <c r="A19" s="63" t="str">
        <f t="array" ref="A19">IF(C19&lt;&gt;0,SUM(($C$11:C19&lt;&gt;0)*1),"")</f>
        <v/>
      </c>
      <c r="B19" s="316"/>
      <c r="C19" s="316"/>
      <c r="D19" s="316"/>
      <c r="E19" s="436"/>
      <c r="F19" s="372"/>
      <c r="G19" s="374"/>
      <c r="H19" s="374"/>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6.5" customHeight="1">
      <c r="A20" s="63" t="str">
        <f t="array" ref="A20">IF(C20&lt;&gt;0,SUM(($C$11:C20&lt;&gt;0)*1),"")</f>
        <v/>
      </c>
      <c r="B20" s="316"/>
      <c r="C20" s="316"/>
      <c r="D20" s="316"/>
      <c r="E20" s="436"/>
      <c r="F20" s="372"/>
      <c r="G20" s="374"/>
      <c r="H20" s="374"/>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6.5" customHeight="1">
      <c r="A21" s="63" t="str">
        <f t="array" ref="A21">IF(C21&lt;&gt;0,SUM(($C$11:C21&lt;&gt;0)*1),"")</f>
        <v/>
      </c>
      <c r="B21" s="316"/>
      <c r="C21" s="316"/>
      <c r="D21" s="316"/>
      <c r="E21" s="436"/>
      <c r="F21" s="372"/>
      <c r="G21" s="374"/>
      <c r="H21" s="374"/>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6.5" customHeight="1">
      <c r="A22" s="63" t="str">
        <f t="array" ref="A22">IF(C22&lt;&gt;0,SUM(($C$11:C22&lt;&gt;0)*1),"")</f>
        <v/>
      </c>
      <c r="B22" s="316"/>
      <c r="C22" s="316"/>
      <c r="D22" s="316"/>
      <c r="E22" s="436"/>
      <c r="F22" s="372"/>
      <c r="G22" s="374"/>
      <c r="H22" s="374"/>
      <c r="I22" s="63" t="str">
        <f t="shared" si="0"/>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6.5" customHeight="1">
      <c r="A23" s="63" t="str">
        <f t="array" ref="A23">IF(C23&lt;&gt;0,SUM(($C$11:C23&lt;&gt;0)*1),"")</f>
        <v/>
      </c>
      <c r="B23" s="316"/>
      <c r="C23" s="316"/>
      <c r="D23" s="316"/>
      <c r="E23" s="436"/>
      <c r="F23" s="372"/>
      <c r="G23" s="374"/>
      <c r="H23" s="374"/>
      <c r="I23" s="63" t="str">
        <f t="shared" si="0"/>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6.5" customHeight="1">
      <c r="A24" s="63" t="str">
        <f t="array" ref="A24">IF(C24&lt;&gt;0,SUM(($C$11:C24&lt;&gt;0)*1),"")</f>
        <v/>
      </c>
      <c r="B24" s="316"/>
      <c r="C24" s="316"/>
      <c r="D24" s="316"/>
      <c r="E24" s="436"/>
      <c r="F24" s="372"/>
      <c r="G24" s="374"/>
      <c r="H24" s="374"/>
      <c r="I24" s="63" t="str">
        <f t="shared" si="0"/>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6.5" customHeight="1">
      <c r="A25" s="63" t="str">
        <f t="array" ref="A25">IF(C25&lt;&gt;0,SUM(($C$11:C25&lt;&gt;0)*1),"")</f>
        <v/>
      </c>
      <c r="B25" s="316"/>
      <c r="C25" s="316"/>
      <c r="D25" s="316"/>
      <c r="E25" s="436"/>
      <c r="F25" s="372"/>
      <c r="G25" s="374"/>
      <c r="H25" s="374"/>
      <c r="I25" s="63" t="str">
        <f t="shared" si="0"/>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6.5" customHeight="1">
      <c r="A26" s="63" t="str">
        <f t="array" ref="A26">IF(C26&lt;&gt;0,SUM(($C$11:C26&lt;&gt;0)*1),"")</f>
        <v/>
      </c>
      <c r="B26" s="316"/>
      <c r="C26" s="316"/>
      <c r="D26" s="316"/>
      <c r="E26" s="436"/>
      <c r="F26" s="372"/>
      <c r="G26" s="374"/>
      <c r="H26" s="374"/>
      <c r="I26" s="63" t="str">
        <f t="shared" si="0"/>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6.5" customHeight="1">
      <c r="A27" s="63" t="str">
        <f t="array" ref="A27">IF(C27&lt;&gt;0,SUM(($C$11:C27&lt;&gt;0)*1),"")</f>
        <v/>
      </c>
      <c r="B27" s="316"/>
      <c r="C27" s="316"/>
      <c r="D27" s="316"/>
      <c r="E27" s="436"/>
      <c r="F27" s="372"/>
      <c r="G27" s="374"/>
      <c r="H27" s="374"/>
      <c r="I27" s="63" t="str">
        <f t="shared" si="0"/>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6.5" customHeight="1">
      <c r="A28" s="63" t="str">
        <f t="array" ref="A28">IF(C28&lt;&gt;0,SUM(($C$11:C28&lt;&gt;0)*1),"")</f>
        <v/>
      </c>
      <c r="B28" s="316"/>
      <c r="C28" s="316"/>
      <c r="D28" s="316"/>
      <c r="E28" s="436"/>
      <c r="F28" s="372"/>
      <c r="G28" s="374"/>
      <c r="H28" s="374"/>
      <c r="I28" s="63" t="str">
        <f t="shared" si="0"/>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6.5" customHeight="1">
      <c r="A29" s="63" t="str">
        <f t="array" ref="A29">IF(C29&lt;&gt;0,SUM(($C$11:C29&lt;&gt;0)*1),"")</f>
        <v/>
      </c>
      <c r="B29" s="316"/>
      <c r="C29" s="316"/>
      <c r="D29" s="316"/>
      <c r="E29" s="436"/>
      <c r="F29" s="372"/>
      <c r="G29" s="374"/>
      <c r="H29" s="374"/>
      <c r="I29" s="63" t="str">
        <f t="shared" si="0"/>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6.5" customHeight="1">
      <c r="A30" s="63" t="str">
        <f t="array" ref="A30">IF(C30&lt;&gt;0,SUM(($C$11:C30&lt;&gt;0)*1),"")</f>
        <v/>
      </c>
      <c r="B30" s="316"/>
      <c r="C30" s="316"/>
      <c r="D30" s="316"/>
      <c r="E30" s="436"/>
      <c r="F30" s="372"/>
      <c r="G30" s="374"/>
      <c r="H30" s="374"/>
      <c r="I30" s="63" t="str">
        <f t="shared" si="0"/>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6.5" customHeight="1">
      <c r="A31" s="63" t="str">
        <f t="array" ref="A31">IF(C31&lt;&gt;0,SUM(($C$11:C31&lt;&gt;0)*1),"")</f>
        <v/>
      </c>
      <c r="B31" s="316"/>
      <c r="C31" s="316"/>
      <c r="D31" s="316"/>
      <c r="E31" s="436"/>
      <c r="F31" s="372"/>
      <c r="G31" s="374"/>
      <c r="H31" s="374"/>
      <c r="I31" s="63" t="str">
        <f t="shared" si="0"/>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6.5" customHeight="1">
      <c r="A32" s="63" t="str">
        <f t="array" ref="A32">IF(C32&lt;&gt;0,SUM(($C$11:C32&lt;&gt;0)*1),"")</f>
        <v/>
      </c>
      <c r="B32" s="316"/>
      <c r="C32" s="316"/>
      <c r="D32" s="316"/>
      <c r="E32" s="436"/>
      <c r="F32" s="372"/>
      <c r="G32" s="374"/>
      <c r="H32" s="374"/>
      <c r="I32" s="63" t="str">
        <f t="shared" si="0"/>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6.5" customHeight="1">
      <c r="A33" s="63" t="str">
        <f t="array" ref="A33">IF(C33&lt;&gt;0,SUM(($C$11:C33&lt;&gt;0)*1),"")</f>
        <v/>
      </c>
      <c r="B33" s="316"/>
      <c r="C33" s="316"/>
      <c r="D33" s="316"/>
      <c r="E33" s="436"/>
      <c r="F33" s="372"/>
      <c r="G33" s="374"/>
      <c r="H33" s="374"/>
      <c r="I33" s="63" t="str">
        <f t="shared" si="0"/>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6.5" customHeight="1">
      <c r="A34" s="63" t="str">
        <f t="array" ref="A34">IF(C34&lt;&gt;0,SUM(($C$11:C34&lt;&gt;0)*1),"")</f>
        <v/>
      </c>
      <c r="B34" s="316"/>
      <c r="C34" s="316"/>
      <c r="D34" s="316"/>
      <c r="E34" s="436"/>
      <c r="F34" s="372"/>
      <c r="G34" s="374"/>
      <c r="H34" s="374"/>
      <c r="I34" s="63" t="str">
        <f t="shared" si="0"/>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6.5" customHeight="1">
      <c r="A35" s="63" t="str">
        <f t="array" ref="A35">IF(C35&lt;&gt;0,SUM(($C$11:C35&lt;&gt;0)*1),"")</f>
        <v/>
      </c>
      <c r="B35" s="316"/>
      <c r="C35" s="316"/>
      <c r="D35" s="316"/>
      <c r="E35" s="436"/>
      <c r="F35" s="372"/>
      <c r="G35" s="374"/>
      <c r="H35" s="374"/>
      <c r="I35" s="63" t="str">
        <f t="shared" si="0"/>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6.5" customHeight="1">
      <c r="A36" s="63" t="str">
        <f t="array" ref="A36">IF(C36&lt;&gt;0,SUM(($C$11:C36&lt;&gt;0)*1),"")</f>
        <v/>
      </c>
      <c r="B36" s="316"/>
      <c r="C36" s="316"/>
      <c r="D36" s="316"/>
      <c r="E36" s="436"/>
      <c r="F36" s="372"/>
      <c r="G36" s="374"/>
      <c r="H36" s="374"/>
      <c r="I36" s="63" t="str">
        <f t="shared" si="0"/>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6.5" customHeight="1">
      <c r="A37" s="63" t="str">
        <f t="array" ref="A37">IF(C37&lt;&gt;0,SUM(($C$11:C37&lt;&gt;0)*1),"")</f>
        <v/>
      </c>
      <c r="B37" s="316"/>
      <c r="C37" s="316"/>
      <c r="D37" s="316"/>
      <c r="E37" s="436"/>
      <c r="F37" s="372"/>
      <c r="G37" s="374"/>
      <c r="H37" s="374"/>
      <c r="I37" s="63" t="str">
        <f t="shared" si="0"/>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6.5" customHeight="1">
      <c r="A38" s="63" t="str">
        <f t="array" ref="A38">IF(C38&lt;&gt;0,SUM(($C$11:C38&lt;&gt;0)*1),"")</f>
        <v/>
      </c>
      <c r="B38" s="316"/>
      <c r="C38" s="316"/>
      <c r="D38" s="316"/>
      <c r="E38" s="436"/>
      <c r="F38" s="372"/>
      <c r="G38" s="374"/>
      <c r="H38" s="374"/>
      <c r="I38" s="63" t="str">
        <f t="shared" si="0"/>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6.5" customHeight="1">
      <c r="A39" s="63" t="str">
        <f t="array" ref="A39">IF(C39&lt;&gt;0,SUM(($C$11:C39&lt;&gt;0)*1),"")</f>
        <v/>
      </c>
      <c r="B39" s="316"/>
      <c r="C39" s="316"/>
      <c r="D39" s="316"/>
      <c r="E39" s="436"/>
      <c r="F39" s="372"/>
      <c r="G39" s="374"/>
      <c r="H39" s="374"/>
      <c r="I39" s="63" t="str">
        <f t="shared" si="0"/>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6.5" customHeight="1">
      <c r="A40" s="63" t="str">
        <f t="array" ref="A40">IF(C40&lt;&gt;0,SUM(($C$11:C40&lt;&gt;0)*1),"")</f>
        <v/>
      </c>
      <c r="B40" s="316"/>
      <c r="C40" s="316"/>
      <c r="D40" s="316"/>
      <c r="E40" s="436"/>
      <c r="F40" s="372"/>
      <c r="G40" s="374"/>
      <c r="H40" s="374"/>
      <c r="I40" s="63" t="str">
        <f t="shared" si="0"/>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6.5" customHeight="1">
      <c r="A41" s="63" t="str">
        <f t="array" ref="A41">IF(C41&lt;&gt;0,SUM(($C$11:C41&lt;&gt;0)*1),"")</f>
        <v/>
      </c>
      <c r="B41" s="316"/>
      <c r="C41" s="316"/>
      <c r="D41" s="316"/>
      <c r="E41" s="436"/>
      <c r="F41" s="372"/>
      <c r="G41" s="374"/>
      <c r="H41" s="374"/>
      <c r="I41" s="63" t="str">
        <f t="shared" si="0"/>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6.5" customHeight="1">
      <c r="A42" s="63" t="str">
        <f t="array" ref="A42">IF(C42&lt;&gt;0,SUM(($C$11:C42&lt;&gt;0)*1),"")</f>
        <v/>
      </c>
      <c r="B42" s="316"/>
      <c r="C42" s="316"/>
      <c r="D42" s="316"/>
      <c r="E42" s="436"/>
      <c r="F42" s="372"/>
      <c r="G42" s="374"/>
      <c r="H42" s="374"/>
      <c r="I42" s="63" t="str">
        <f t="shared" si="0"/>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6.5" customHeight="1">
      <c r="A43" s="63" t="str">
        <f t="array" ref="A43">IF(C43&lt;&gt;0,SUM(($C$11:C43&lt;&gt;0)*1),"")</f>
        <v/>
      </c>
      <c r="B43" s="316"/>
      <c r="C43" s="316"/>
      <c r="D43" s="316"/>
      <c r="E43" s="436"/>
      <c r="F43" s="372"/>
      <c r="G43" s="374"/>
      <c r="H43" s="374"/>
      <c r="I43" s="63" t="str">
        <f t="shared" si="0"/>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6.5" customHeight="1">
      <c r="A44" s="63" t="str">
        <f t="array" ref="A44">IF(C44&lt;&gt;0,SUM(($C$11:C44&lt;&gt;0)*1),"")</f>
        <v/>
      </c>
      <c r="B44" s="316"/>
      <c r="C44" s="316"/>
      <c r="D44" s="316"/>
      <c r="E44" s="436"/>
      <c r="F44" s="372"/>
      <c r="G44" s="374"/>
      <c r="H44" s="374"/>
      <c r="I44" s="63" t="str">
        <f t="shared" si="0"/>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6.5" customHeight="1">
      <c r="A45" s="63" t="str">
        <f t="array" ref="A45">IF(C45&lt;&gt;0,SUM(($C$11:C45&lt;&gt;0)*1),"")</f>
        <v/>
      </c>
      <c r="B45" s="316"/>
      <c r="C45" s="316"/>
      <c r="D45" s="316"/>
      <c r="E45" s="436"/>
      <c r="F45" s="372"/>
      <c r="G45" s="374"/>
      <c r="H45" s="374"/>
      <c r="I45" s="63" t="str">
        <f t="shared" si="0"/>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6.5" customHeight="1">
      <c r="A46" s="63" t="str">
        <f t="array" ref="A46">IF(C46&lt;&gt;0,SUM(($C$11:C46&lt;&gt;0)*1),"")</f>
        <v/>
      </c>
      <c r="B46" s="316"/>
      <c r="C46" s="316"/>
      <c r="D46" s="316"/>
      <c r="E46" s="436"/>
      <c r="F46" s="372"/>
      <c r="G46" s="374"/>
      <c r="H46" s="374"/>
      <c r="I46" s="63" t="str">
        <f t="shared" si="0"/>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6.5" customHeight="1">
      <c r="A47" s="63" t="str">
        <f t="array" ref="A47">IF(C47&lt;&gt;0,SUM(($C$11:C47&lt;&gt;0)*1),"")</f>
        <v/>
      </c>
      <c r="B47" s="316"/>
      <c r="C47" s="316"/>
      <c r="D47" s="316"/>
      <c r="E47" s="436"/>
      <c r="F47" s="372"/>
      <c r="G47" s="374"/>
      <c r="H47" s="374"/>
      <c r="I47" s="63" t="str">
        <f t="shared" si="0"/>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6.5" customHeight="1">
      <c r="A48" s="63" t="str">
        <f t="array" ref="A48">IF(C48&lt;&gt;0,SUM(($C$11:C48&lt;&gt;0)*1),"")</f>
        <v/>
      </c>
      <c r="B48" s="316"/>
      <c r="C48" s="316"/>
      <c r="D48" s="316"/>
      <c r="E48" s="436"/>
      <c r="F48" s="372"/>
      <c r="G48" s="374"/>
      <c r="H48" s="374"/>
      <c r="I48" s="63" t="str">
        <f t="shared" si="0"/>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6.5" customHeight="1">
      <c r="A49" s="63" t="str">
        <f t="array" ref="A49">IF(C49&lt;&gt;0,SUM(($C$11:C49&lt;&gt;0)*1),"")</f>
        <v/>
      </c>
      <c r="B49" s="316"/>
      <c r="C49" s="316"/>
      <c r="D49" s="316"/>
      <c r="E49" s="436"/>
      <c r="F49" s="372"/>
      <c r="G49" s="374"/>
      <c r="H49" s="374"/>
      <c r="I49" s="63" t="str">
        <f t="shared" si="0"/>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6.5" customHeight="1">
      <c r="A50" s="63" t="str">
        <f t="array" ref="A50">IF(C50&lt;&gt;0,SUM(($C$11:C50&lt;&gt;0)*1),"")</f>
        <v/>
      </c>
      <c r="B50" s="316"/>
      <c r="C50" s="316"/>
      <c r="D50" s="316"/>
      <c r="E50" s="436"/>
      <c r="F50" s="372"/>
      <c r="G50" s="374"/>
      <c r="H50" s="374"/>
      <c r="I50" s="63" t="str">
        <f t="shared" si="0"/>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6.5" customHeight="1">
      <c r="A51" s="63" t="str">
        <f t="array" ref="A51">IF(C51&lt;&gt;0,SUM(($C$11:C51&lt;&gt;0)*1),"")</f>
        <v/>
      </c>
      <c r="B51" s="316"/>
      <c r="C51" s="316"/>
      <c r="D51" s="316"/>
      <c r="E51" s="436"/>
      <c r="F51" s="372"/>
      <c r="G51" s="374"/>
      <c r="H51" s="374"/>
      <c r="I51" s="63" t="str">
        <f t="shared" si="0"/>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6.5" customHeight="1">
      <c r="A52" s="63" t="str">
        <f t="array" ref="A52">IF(C52&lt;&gt;0,SUM(($C$11:C52&lt;&gt;0)*1),"")</f>
        <v/>
      </c>
      <c r="B52" s="316"/>
      <c r="C52" s="316"/>
      <c r="D52" s="316"/>
      <c r="E52" s="436"/>
      <c r="F52" s="372"/>
      <c r="G52" s="374"/>
      <c r="H52" s="374"/>
      <c r="I52" s="63" t="str">
        <f t="shared" si="0"/>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6.5" customHeight="1">
      <c r="A53" s="63" t="str">
        <f t="array" ref="A53">IF(C53&lt;&gt;0,SUM(($C$11:C53&lt;&gt;0)*1),"")</f>
        <v/>
      </c>
      <c r="B53" s="316"/>
      <c r="C53" s="316"/>
      <c r="D53" s="316"/>
      <c r="E53" s="436"/>
      <c r="F53" s="372"/>
      <c r="G53" s="374"/>
      <c r="H53" s="374"/>
      <c r="I53" s="63" t="str">
        <f t="shared" si="0"/>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6.5" customHeight="1">
      <c r="A54" s="63" t="str">
        <f t="array" ref="A54">IF(C54&lt;&gt;0,SUM(($C$11:C54&lt;&gt;0)*1),"")</f>
        <v/>
      </c>
      <c r="B54" s="316"/>
      <c r="C54" s="316"/>
      <c r="D54" s="316"/>
      <c r="E54" s="436"/>
      <c r="F54" s="372"/>
      <c r="G54" s="374"/>
      <c r="H54" s="374"/>
      <c r="I54" s="63" t="str">
        <f t="shared" si="0"/>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6.5" customHeight="1">
      <c r="A55" s="63" t="str">
        <f t="array" ref="A55">IF(C55&lt;&gt;0,SUM(($C$11:C55&lt;&gt;0)*1),"")</f>
        <v/>
      </c>
      <c r="B55" s="316"/>
      <c r="C55" s="316"/>
      <c r="D55" s="316"/>
      <c r="E55" s="436"/>
      <c r="F55" s="372"/>
      <c r="G55" s="374"/>
      <c r="H55" s="374"/>
      <c r="I55" s="63" t="str">
        <f t="shared" si="0"/>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6.5" customHeight="1">
      <c r="A56" s="63" t="str">
        <f t="array" ref="A56">IF(C56&lt;&gt;0,SUM(($C$11:C56&lt;&gt;0)*1),"")</f>
        <v/>
      </c>
      <c r="B56" s="316"/>
      <c r="C56" s="316"/>
      <c r="D56" s="316"/>
      <c r="E56" s="436"/>
      <c r="F56" s="372"/>
      <c r="G56" s="374"/>
      <c r="H56" s="374"/>
      <c r="I56" s="63" t="str">
        <f t="shared" si="0"/>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6.5" customHeight="1">
      <c r="A57" s="63" t="str">
        <f t="array" ref="A57">IF(C57&lt;&gt;0,SUM(($C$11:C57&lt;&gt;0)*1),"")</f>
        <v/>
      </c>
      <c r="B57" s="316"/>
      <c r="C57" s="316"/>
      <c r="D57" s="316"/>
      <c r="E57" s="436"/>
      <c r="F57" s="372"/>
      <c r="G57" s="374"/>
      <c r="H57" s="374"/>
      <c r="I57" s="63" t="str">
        <f t="shared" si="0"/>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6.5" customHeight="1">
      <c r="A58" s="63" t="str">
        <f t="array" ref="A58">IF(C58&lt;&gt;0,SUM(($C$11:C58&lt;&gt;0)*1),"")</f>
        <v/>
      </c>
      <c r="B58" s="316"/>
      <c r="C58" s="316"/>
      <c r="D58" s="316"/>
      <c r="E58" s="436"/>
      <c r="F58" s="372"/>
      <c r="G58" s="374"/>
      <c r="H58" s="374"/>
      <c r="I58" s="63" t="str">
        <f t="shared" si="0"/>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6.5" customHeight="1">
      <c r="A59" s="63" t="str">
        <f t="array" ref="A59">IF(C59&lt;&gt;0,SUM(($C$11:C59&lt;&gt;0)*1),"")</f>
        <v/>
      </c>
      <c r="B59" s="316"/>
      <c r="C59" s="316"/>
      <c r="D59" s="316"/>
      <c r="E59" s="436"/>
      <c r="F59" s="372"/>
      <c r="G59" s="374"/>
      <c r="H59" s="374"/>
      <c r="I59" s="63" t="str">
        <f t="shared" si="0"/>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6.5" customHeight="1">
      <c r="A60" s="63" t="str">
        <f t="array" ref="A60">IF(C60&lt;&gt;0,SUM(($C$11:C60&lt;&gt;0)*1),"")</f>
        <v/>
      </c>
      <c r="B60" s="316"/>
      <c r="C60" s="316"/>
      <c r="D60" s="316"/>
      <c r="E60" s="436"/>
      <c r="F60" s="372"/>
      <c r="G60" s="374"/>
      <c r="H60" s="374"/>
      <c r="I60" s="63" t="str">
        <f t="shared" si="0"/>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6.5" customHeight="1">
      <c r="A61" s="63" t="str">
        <f t="array" ref="A61">IF(C61&lt;&gt;0,SUM(($C$11:C61&lt;&gt;0)*1),"")</f>
        <v/>
      </c>
      <c r="B61" s="316"/>
      <c r="C61" s="316"/>
      <c r="D61" s="316"/>
      <c r="E61" s="436"/>
      <c r="F61" s="372"/>
      <c r="G61" s="374"/>
      <c r="H61" s="374"/>
      <c r="I61" s="63" t="str">
        <f t="shared" si="0"/>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6.5" customHeight="1">
      <c r="A62" s="63" t="str">
        <f t="array" ref="A62">IF(C62&lt;&gt;0,SUM(($C$11:C62&lt;&gt;0)*1),"")</f>
        <v/>
      </c>
      <c r="B62" s="316"/>
      <c r="C62" s="316"/>
      <c r="D62" s="316"/>
      <c r="E62" s="436"/>
      <c r="F62" s="372"/>
      <c r="G62" s="374"/>
      <c r="H62" s="374"/>
      <c r="I62" s="63" t="str">
        <f t="shared" si="0"/>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6.5" customHeight="1">
      <c r="A63" s="63" t="str">
        <f t="array" ref="A63">IF(C63&lt;&gt;0,SUM(($C$11:C63&lt;&gt;0)*1),"")</f>
        <v/>
      </c>
      <c r="B63" s="316"/>
      <c r="C63" s="316"/>
      <c r="D63" s="316"/>
      <c r="E63" s="436"/>
      <c r="F63" s="372"/>
      <c r="G63" s="374"/>
      <c r="H63" s="374"/>
      <c r="I63" s="63" t="str">
        <f t="shared" si="0"/>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6.5" customHeight="1">
      <c r="A64" s="63" t="str">
        <f t="array" ref="A64">IF(C64&lt;&gt;0,SUM(($C$11:C64&lt;&gt;0)*1),"")</f>
        <v/>
      </c>
      <c r="B64" s="316"/>
      <c r="C64" s="316"/>
      <c r="D64" s="316"/>
      <c r="E64" s="436"/>
      <c r="F64" s="372"/>
      <c r="G64" s="374"/>
      <c r="H64" s="374"/>
      <c r="I64" s="63" t="str">
        <f t="shared" si="0"/>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6.5" customHeight="1">
      <c r="A65" s="63" t="str">
        <f t="array" ref="A65">IF(C65&lt;&gt;0,SUM(($C$11:C65&lt;&gt;0)*1),"")</f>
        <v/>
      </c>
      <c r="B65" s="316"/>
      <c r="C65" s="316"/>
      <c r="D65" s="316"/>
      <c r="E65" s="436"/>
      <c r="F65" s="372"/>
      <c r="G65" s="374"/>
      <c r="H65" s="374"/>
      <c r="I65" s="63" t="str">
        <f t="shared" si="0"/>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6.5" customHeight="1">
      <c r="A66" s="63" t="str">
        <f t="array" ref="A66">IF(C66&lt;&gt;0,SUM(($C$11:C66&lt;&gt;0)*1),"")</f>
        <v/>
      </c>
      <c r="B66" s="316"/>
      <c r="C66" s="316"/>
      <c r="D66" s="316"/>
      <c r="E66" s="436"/>
      <c r="F66" s="372"/>
      <c r="G66" s="374"/>
      <c r="H66" s="374"/>
      <c r="I66" s="63" t="str">
        <f t="shared" si="0"/>
        <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6.5" customHeight="1">
      <c r="A67" s="63" t="str">
        <f t="array" ref="A67">IF(C67&lt;&gt;0,SUM(($C$11:C67&lt;&gt;0)*1),"")</f>
        <v/>
      </c>
      <c r="B67" s="316"/>
      <c r="C67" s="316"/>
      <c r="D67" s="316"/>
      <c r="E67" s="436"/>
      <c r="F67" s="372"/>
      <c r="G67" s="374"/>
      <c r="H67" s="374"/>
      <c r="I67" s="63" t="str">
        <f t="shared" si="0"/>
        <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6.5" customHeight="1">
      <c r="A68" s="63" t="str">
        <f t="array" ref="A68">IF(C68&lt;&gt;0,SUM(($C$11:C68&lt;&gt;0)*1),"")</f>
        <v/>
      </c>
      <c r="B68" s="316"/>
      <c r="C68" s="316"/>
      <c r="D68" s="316"/>
      <c r="E68" s="436"/>
      <c r="F68" s="372"/>
      <c r="G68" s="374"/>
      <c r="H68" s="374"/>
      <c r="I68" s="63" t="str">
        <f t="shared" si="0"/>
        <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si="30"/>
        <v>0</v>
      </c>
      <c r="AT68" s="318">
        <f t="shared" si="31"/>
        <v>0</v>
      </c>
      <c r="AU68" s="318">
        <f t="shared" si="32"/>
        <v>0</v>
      </c>
      <c r="AV68" s="318">
        <f t="shared" si="33"/>
        <v>0</v>
      </c>
      <c r="AW68" s="318">
        <f t="shared" si="34"/>
        <v>0</v>
      </c>
      <c r="AX68" s="318">
        <f t="shared" si="35"/>
        <v>0</v>
      </c>
      <c r="AY68" s="318">
        <f t="shared" si="36"/>
        <v>0</v>
      </c>
      <c r="AZ68" s="318">
        <f t="shared" si="37"/>
        <v>0</v>
      </c>
      <c r="BA68" s="318">
        <f t="shared" si="38"/>
        <v>0</v>
      </c>
    </row>
    <row r="69" spans="1:53" s="315" customFormat="1" ht="16.5" customHeight="1">
      <c r="A69" s="63" t="str">
        <f t="array" ref="A69">IF(C69&lt;&gt;0,SUM(($C$11:C69&lt;&gt;0)*1),"")</f>
        <v/>
      </c>
      <c r="B69" s="316"/>
      <c r="C69" s="316"/>
      <c r="D69" s="316"/>
      <c r="E69" s="436"/>
      <c r="F69" s="372"/>
      <c r="G69" s="374"/>
      <c r="H69" s="374"/>
      <c r="I69" s="63" t="str">
        <f t="shared" si="0"/>
        <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0</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0</v>
      </c>
    </row>
    <row r="70" spans="1:53" s="315" customFormat="1" ht="16.5" customHeight="1">
      <c r="A70" s="63" t="str">
        <f t="array" ref="A70">IF(C70&lt;&gt;0,SUM(($C$11:C70&lt;&gt;0)*1),"")</f>
        <v/>
      </c>
      <c r="B70" s="316"/>
      <c r="C70" s="316"/>
      <c r="D70" s="316"/>
      <c r="E70" s="436"/>
      <c r="F70" s="372"/>
      <c r="G70" s="374"/>
      <c r="H70" s="374"/>
      <c r="I70" s="63" t="str">
        <f t="shared" si="0"/>
        <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si="38"/>
        <v>0</v>
      </c>
    </row>
    <row r="71" spans="1:53" s="315" customFormat="1" ht="16.5" customHeight="1">
      <c r="A71" s="63" t="str">
        <f t="array" ref="A71">IF(C71&lt;&gt;0,SUM(($C$11:C71&lt;&gt;0)*1),"")</f>
        <v/>
      </c>
      <c r="B71" s="316"/>
      <c r="C71" s="316"/>
      <c r="D71" s="316"/>
      <c r="E71" s="436"/>
      <c r="F71" s="372"/>
      <c r="G71" s="374"/>
      <c r="H71" s="374"/>
      <c r="I71" s="63" t="str">
        <f t="shared" si="0"/>
        <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si="31"/>
        <v>0</v>
      </c>
      <c r="AU71" s="318">
        <f t="shared" si="32"/>
        <v>0</v>
      </c>
      <c r="AV71" s="318">
        <f t="shared" si="33"/>
        <v>0</v>
      </c>
      <c r="AW71" s="318">
        <f t="shared" si="34"/>
        <v>0</v>
      </c>
      <c r="AX71" s="318">
        <f t="shared" si="35"/>
        <v>0</v>
      </c>
      <c r="AY71" s="318">
        <f t="shared" si="36"/>
        <v>0</v>
      </c>
      <c r="AZ71" s="318">
        <f t="shared" si="37"/>
        <v>0</v>
      </c>
      <c r="BA71" s="318">
        <f t="shared" si="38"/>
        <v>0</v>
      </c>
    </row>
    <row r="72" spans="1:53" s="315" customFormat="1" ht="16.5" customHeight="1">
      <c r="A72" s="63" t="str">
        <f t="array" ref="A72">IF(C72&lt;&gt;0,SUM(($C$11:C72&lt;&gt;0)*1),"")</f>
        <v/>
      </c>
      <c r="B72" s="316"/>
      <c r="C72" s="316"/>
      <c r="D72" s="316"/>
      <c r="E72" s="436"/>
      <c r="F72" s="372"/>
      <c r="G72" s="374"/>
      <c r="H72" s="374"/>
      <c r="I72" s="63" t="str">
        <f t="shared" si="0"/>
        <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si="34"/>
        <v>0</v>
      </c>
      <c r="AX72" s="318">
        <f t="shared" si="35"/>
        <v>0</v>
      </c>
      <c r="AY72" s="318">
        <f t="shared" si="36"/>
        <v>0</v>
      </c>
      <c r="AZ72" s="318">
        <f t="shared" si="37"/>
        <v>0</v>
      </c>
      <c r="BA72" s="318">
        <f t="shared" si="38"/>
        <v>0</v>
      </c>
    </row>
    <row r="73" spans="1:53" s="315" customFormat="1" ht="16.5" customHeight="1">
      <c r="A73" s="63" t="str">
        <f t="array" ref="A73">IF(C73&lt;&gt;0,SUM(($C$11:C73&lt;&gt;0)*1),"")</f>
        <v/>
      </c>
      <c r="B73" s="316"/>
      <c r="C73" s="316"/>
      <c r="D73" s="316"/>
      <c r="E73" s="436"/>
      <c r="F73" s="372"/>
      <c r="G73" s="374"/>
      <c r="H73" s="374"/>
      <c r="I73" s="63" t="str">
        <f t="shared" si="0"/>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6.5" customHeight="1">
      <c r="A74" s="63" t="str">
        <f t="array" ref="A74">IF(C74&lt;&gt;0,SUM(($C$11:C74&lt;&gt;0)*1),"")</f>
        <v/>
      </c>
      <c r="B74" s="316"/>
      <c r="C74" s="316"/>
      <c r="D74" s="316"/>
      <c r="E74" s="436"/>
      <c r="F74" s="372"/>
      <c r="G74" s="374"/>
      <c r="H74" s="374"/>
      <c r="I74" s="63" t="str">
        <f t="shared" si="0"/>
        <v/>
      </c>
      <c r="J74" s="318">
        <f t="shared" si="1"/>
        <v>0</v>
      </c>
      <c r="K74" s="318">
        <f t="shared" si="2"/>
        <v>0</v>
      </c>
      <c r="L74" s="318">
        <f t="shared" si="3"/>
        <v>0</v>
      </c>
      <c r="M74" s="318">
        <f t="shared" si="4"/>
        <v>0</v>
      </c>
      <c r="N74" s="318">
        <f t="shared" si="39"/>
        <v>0</v>
      </c>
      <c r="O74" s="318">
        <f t="shared" si="40"/>
        <v>0</v>
      </c>
      <c r="P74" s="318">
        <f t="shared" si="5"/>
        <v>0</v>
      </c>
      <c r="Q74" s="318">
        <f t="shared" si="6"/>
        <v>0</v>
      </c>
      <c r="R74" s="318">
        <f t="shared" si="7"/>
        <v>0</v>
      </c>
      <c r="S74" s="318">
        <f t="shared" si="8"/>
        <v>0</v>
      </c>
      <c r="T74" s="318">
        <f t="shared" si="41"/>
        <v>0</v>
      </c>
      <c r="U74" s="318">
        <f t="shared" si="42"/>
        <v>0</v>
      </c>
      <c r="V74" s="318">
        <f t="shared" si="9"/>
        <v>0</v>
      </c>
      <c r="W74" s="318">
        <f t="shared" si="10"/>
        <v>0</v>
      </c>
      <c r="X74" s="318">
        <f t="shared" si="11"/>
        <v>0</v>
      </c>
      <c r="Y74" s="318">
        <f t="shared" si="12"/>
        <v>0</v>
      </c>
      <c r="Z74" s="318">
        <f t="shared" si="13"/>
        <v>0</v>
      </c>
      <c r="AA74" s="318">
        <f t="shared" si="14"/>
        <v>0</v>
      </c>
      <c r="AB74" s="318">
        <f t="shared" si="15"/>
        <v>0</v>
      </c>
      <c r="AC74" s="318">
        <f t="shared" si="16"/>
        <v>0</v>
      </c>
      <c r="AD74" s="318">
        <f t="shared" si="17"/>
        <v>0</v>
      </c>
      <c r="AE74" s="318">
        <f t="shared" si="18"/>
        <v>0</v>
      </c>
      <c r="AF74" s="318">
        <f t="shared" si="43"/>
        <v>0</v>
      </c>
      <c r="AG74" s="318">
        <f t="shared" si="44"/>
        <v>0</v>
      </c>
      <c r="AH74" s="318">
        <f t="shared" si="19"/>
        <v>0</v>
      </c>
      <c r="AI74" s="318">
        <f t="shared" si="20"/>
        <v>0</v>
      </c>
      <c r="AJ74" s="318">
        <f t="shared" si="21"/>
        <v>0</v>
      </c>
      <c r="AK74" s="318">
        <f t="shared" si="22"/>
        <v>0</v>
      </c>
      <c r="AL74" s="318">
        <f t="shared" si="23"/>
        <v>0</v>
      </c>
      <c r="AM74" s="318">
        <f t="shared" si="24"/>
        <v>0</v>
      </c>
      <c r="AN74" s="318">
        <f t="shared" si="25"/>
        <v>0</v>
      </c>
      <c r="AO74" s="318">
        <f t="shared" si="26"/>
        <v>0</v>
      </c>
      <c r="AP74" s="318">
        <f t="shared" si="27"/>
        <v>0</v>
      </c>
      <c r="AQ74" s="318">
        <f t="shared" si="28"/>
        <v>0</v>
      </c>
      <c r="AR74" s="318">
        <f t="shared" si="29"/>
        <v>0</v>
      </c>
      <c r="AS74" s="318">
        <f t="shared" si="30"/>
        <v>0</v>
      </c>
      <c r="AT74" s="318">
        <f t="shared" si="31"/>
        <v>0</v>
      </c>
      <c r="AU74" s="318">
        <f t="shared" si="32"/>
        <v>0</v>
      </c>
      <c r="AV74" s="318">
        <f t="shared" si="33"/>
        <v>0</v>
      </c>
      <c r="AW74" s="318">
        <f t="shared" si="34"/>
        <v>0</v>
      </c>
      <c r="AX74" s="318">
        <f t="shared" si="35"/>
        <v>0</v>
      </c>
      <c r="AY74" s="318">
        <f t="shared" si="36"/>
        <v>0</v>
      </c>
      <c r="AZ74" s="318">
        <f t="shared" si="37"/>
        <v>0</v>
      </c>
      <c r="BA74" s="318">
        <f t="shared" si="38"/>
        <v>0</v>
      </c>
    </row>
    <row r="75" spans="1:53" s="315" customFormat="1" ht="16.5" customHeight="1">
      <c r="A75" s="63" t="str">
        <f t="array" ref="A75">IF(C75&lt;&gt;0,SUM(($C$11:C75&lt;&gt;0)*1),"")</f>
        <v/>
      </c>
      <c r="B75" s="316"/>
      <c r="C75" s="316"/>
      <c r="D75" s="316"/>
      <c r="E75" s="436"/>
      <c r="F75" s="372"/>
      <c r="G75" s="374"/>
      <c r="H75" s="374"/>
      <c r="I75" s="63" t="str">
        <f t="shared" si="0"/>
        <v/>
      </c>
      <c r="J75" s="318">
        <f t="shared" ref="J75:J113" si="45">IF($G75="1111",$F75,0)</f>
        <v>0</v>
      </c>
      <c r="K75" s="318">
        <f t="shared" ref="K75:K113" si="46">IF($H75="1111",$F75,0)</f>
        <v>0</v>
      </c>
      <c r="L75" s="318">
        <f t="shared" ref="L75:L113" si="47">IF($G75="1121",$F75,0)</f>
        <v>0</v>
      </c>
      <c r="M75" s="318">
        <f t="shared" ref="M75:M113" si="48">IF($H75="1121",$F75,0)</f>
        <v>0</v>
      </c>
      <c r="N75" s="318">
        <f t="shared" si="39"/>
        <v>0</v>
      </c>
      <c r="O75" s="318">
        <f t="shared" si="40"/>
        <v>0</v>
      </c>
      <c r="P75" s="318">
        <f t="shared" ref="P75:P113" si="49">IF($G75="1331",$F75,0)</f>
        <v>0</v>
      </c>
      <c r="Q75" s="318">
        <f t="shared" ref="Q75:Q113" si="50">IF($H75="1331",$F75,0)</f>
        <v>0</v>
      </c>
      <c r="R75" s="318">
        <f t="shared" ref="R75:R113" si="51">IF($G75="1388",$F75,0)</f>
        <v>0</v>
      </c>
      <c r="S75" s="318">
        <f t="shared" ref="S75:S113" si="52">IF($H75="1388",$F75,0)</f>
        <v>0</v>
      </c>
      <c r="T75" s="318">
        <f t="shared" si="41"/>
        <v>0</v>
      </c>
      <c r="U75" s="318">
        <f t="shared" si="42"/>
        <v>0</v>
      </c>
      <c r="V75" s="318">
        <f t="shared" ref="V75:V113" si="53">IF($G75="331",$F75,0)</f>
        <v>0</v>
      </c>
      <c r="W75" s="318">
        <f t="shared" ref="W75:W113" si="54">IF($H75="331",$F75,0)</f>
        <v>0</v>
      </c>
      <c r="X75" s="318">
        <f t="shared" ref="X75:X113" si="55">IF($G75="3334",$F75,0)</f>
        <v>0</v>
      </c>
      <c r="Y75" s="318">
        <f t="shared" ref="Y75:Y113" si="56">IF($H75="3334",$F75,0)</f>
        <v>0</v>
      </c>
      <c r="Z75" s="318">
        <f t="shared" ref="Z75:Z113" si="57">IF($G75="33382",$F75,0)</f>
        <v>0</v>
      </c>
      <c r="AA75" s="318">
        <f t="shared" ref="AA75:AA113" si="58">IF($H75="33382",$F75,0)</f>
        <v>0</v>
      </c>
      <c r="AB75" s="318">
        <f t="shared" ref="AB75:AB113" si="59">IF($G75="3388",$F75,0)</f>
        <v>0</v>
      </c>
      <c r="AC75" s="318">
        <f t="shared" ref="AC75:AC113" si="60">IF($H75="3388",$F75,0)</f>
        <v>0</v>
      </c>
      <c r="AD75" s="318">
        <f t="shared" ref="AD75:AD113" si="61">IF($G75="3411",$F75,0)</f>
        <v>0</v>
      </c>
      <c r="AE75" s="318">
        <f t="shared" ref="AE75:AE113" si="62">IF($H75="3411",$F75,0)</f>
        <v>0</v>
      </c>
      <c r="AF75" s="318">
        <f t="shared" si="43"/>
        <v>0</v>
      </c>
      <c r="AG75" s="318">
        <f t="shared" si="44"/>
        <v>0</v>
      </c>
      <c r="AH75" s="318">
        <f t="shared" ref="AH75:AH113" si="63">IF($G75="4111",$F75,0)</f>
        <v>0</v>
      </c>
      <c r="AI75" s="318">
        <f t="shared" ref="AI75:AI113" si="64">IF($H75="4111",$F75,0)</f>
        <v>0</v>
      </c>
      <c r="AJ75" s="318">
        <f t="shared" ref="AJ75:AJ113" si="65">IF($G75="4211",$F75,0)</f>
        <v>0</v>
      </c>
      <c r="AK75" s="318">
        <f t="shared" ref="AK75:AK113" si="66">IF($H75="4211",$F75,0)</f>
        <v>0</v>
      </c>
      <c r="AL75" s="318">
        <f t="shared" ref="AL75:AL113" si="67">IF($G75="4212",$F75,0)</f>
        <v>0</v>
      </c>
      <c r="AM75" s="318">
        <f t="shared" ref="AM75:AM113" si="68">IF($H75="4212",$F75,0)</f>
        <v>0</v>
      </c>
      <c r="AN75" s="318">
        <f t="shared" ref="AN75:AN113" si="69">IF($G75="515",$F75,0)</f>
        <v>0</v>
      </c>
      <c r="AO75" s="318">
        <f t="shared" ref="AO75:AO113" si="70">IF($H75="515",$F75,0)</f>
        <v>0</v>
      </c>
      <c r="AP75" s="318">
        <f t="shared" ref="AP75:AP113" si="71">IF($G75="635",$F75,0)</f>
        <v>0</v>
      </c>
      <c r="AQ75" s="318">
        <f t="shared" ref="AQ75:AQ113" si="72">IF($H75="635",$F75,0)</f>
        <v>0</v>
      </c>
      <c r="AR75" s="318">
        <f t="shared" ref="AR75:AR113" si="73">IF($G75="642",$F75,0)</f>
        <v>0</v>
      </c>
      <c r="AS75" s="318">
        <f t="shared" ref="AS75:AS113" si="74">IF($H75="642",$F75,0)</f>
        <v>0</v>
      </c>
      <c r="AT75" s="318">
        <f t="shared" ref="AT75:AT113" si="75">IF($G75="711",$F75,0)</f>
        <v>0</v>
      </c>
      <c r="AU75" s="318">
        <f t="shared" ref="AU75:AU113" si="76">IF($H75="711",$F75,0)</f>
        <v>0</v>
      </c>
      <c r="AV75" s="318">
        <f t="shared" ref="AV75:AV113" si="77">IF($G75="811",$F75,0)</f>
        <v>0</v>
      </c>
      <c r="AW75" s="318">
        <f t="shared" ref="AW75:AW113" si="78">IF($H75="811",$F75,0)</f>
        <v>0</v>
      </c>
      <c r="AX75" s="318">
        <f t="shared" ref="AX75:AX113" si="79">IF($G75="821",$F75,0)</f>
        <v>0</v>
      </c>
      <c r="AY75" s="318">
        <f t="shared" ref="AY75:AY113" si="80">IF($H75="821",$F75,0)</f>
        <v>0</v>
      </c>
      <c r="AZ75" s="318">
        <f t="shared" ref="AZ75:AZ113" si="81">IF($G75="911",$F75,0)</f>
        <v>0</v>
      </c>
      <c r="BA75" s="318">
        <f t="shared" ref="BA75:BA113" si="82">IF($H75="911",$F75,0)</f>
        <v>0</v>
      </c>
    </row>
    <row r="76" spans="1:53" s="315" customFormat="1" ht="16.5" customHeight="1">
      <c r="A76" s="63" t="str">
        <f t="array" ref="A76">IF(C76&lt;&gt;0,SUM(($C$11:C76&lt;&gt;0)*1),"")</f>
        <v/>
      </c>
      <c r="B76" s="316"/>
      <c r="C76" s="316"/>
      <c r="D76" s="316"/>
      <c r="E76" s="436"/>
      <c r="F76" s="372"/>
      <c r="G76" s="374"/>
      <c r="H76" s="374"/>
      <c r="I76" s="63" t="str">
        <f t="shared" si="0"/>
        <v/>
      </c>
      <c r="J76" s="318">
        <f t="shared" si="45"/>
        <v>0</v>
      </c>
      <c r="K76" s="318">
        <f t="shared" si="46"/>
        <v>0</v>
      </c>
      <c r="L76" s="318">
        <f t="shared" si="47"/>
        <v>0</v>
      </c>
      <c r="M76" s="318">
        <f t="shared" si="48"/>
        <v>0</v>
      </c>
      <c r="N76" s="318">
        <f t="shared" ref="N76:N139" si="83">IF($G76="1122",$F76,0)</f>
        <v>0</v>
      </c>
      <c r="O76" s="318">
        <f t="shared" ref="O76:O139" si="84">IF($H76="1122",$F76,0)</f>
        <v>0</v>
      </c>
      <c r="P76" s="318">
        <f t="shared" si="49"/>
        <v>0</v>
      </c>
      <c r="Q76" s="318">
        <f t="shared" si="50"/>
        <v>0</v>
      </c>
      <c r="R76" s="318">
        <f t="shared" si="51"/>
        <v>0</v>
      </c>
      <c r="S76" s="318">
        <f t="shared" si="52"/>
        <v>0</v>
      </c>
      <c r="T76" s="318">
        <f t="shared" ref="T76:T139" si="85">IF($G76="2412",$F76,0)</f>
        <v>0</v>
      </c>
      <c r="U76" s="318">
        <f t="shared" ref="U76:U139" si="86">IF($H76="2412",$F76,0)</f>
        <v>0</v>
      </c>
      <c r="V76" s="318">
        <f t="shared" si="53"/>
        <v>0</v>
      </c>
      <c r="W76" s="318">
        <f t="shared" si="54"/>
        <v>0</v>
      </c>
      <c r="X76" s="318">
        <f t="shared" si="55"/>
        <v>0</v>
      </c>
      <c r="Y76" s="318">
        <f t="shared" si="56"/>
        <v>0</v>
      </c>
      <c r="Z76" s="318">
        <f t="shared" si="57"/>
        <v>0</v>
      </c>
      <c r="AA76" s="318">
        <f t="shared" si="58"/>
        <v>0</v>
      </c>
      <c r="AB76" s="318">
        <f t="shared" si="59"/>
        <v>0</v>
      </c>
      <c r="AC76" s="318">
        <f t="shared" si="60"/>
        <v>0</v>
      </c>
      <c r="AD76" s="318">
        <f t="shared" si="61"/>
        <v>0</v>
      </c>
      <c r="AE76" s="318">
        <f t="shared" si="62"/>
        <v>0</v>
      </c>
      <c r="AF76" s="318">
        <f t="shared" ref="AF76:AF139" si="87">IF($G76="3412",$F76,0)</f>
        <v>0</v>
      </c>
      <c r="AG76" s="318">
        <f t="shared" ref="AG76:AG139" si="88">IF($H76="3412",$F76,0)</f>
        <v>0</v>
      </c>
      <c r="AH76" s="318">
        <f t="shared" si="63"/>
        <v>0</v>
      </c>
      <c r="AI76" s="318">
        <f t="shared" si="64"/>
        <v>0</v>
      </c>
      <c r="AJ76" s="318">
        <f t="shared" si="65"/>
        <v>0</v>
      </c>
      <c r="AK76" s="318">
        <f t="shared" si="66"/>
        <v>0</v>
      </c>
      <c r="AL76" s="318">
        <f t="shared" si="67"/>
        <v>0</v>
      </c>
      <c r="AM76" s="318">
        <f t="shared" si="68"/>
        <v>0</v>
      </c>
      <c r="AN76" s="318">
        <f t="shared" si="69"/>
        <v>0</v>
      </c>
      <c r="AO76" s="318">
        <f t="shared" si="70"/>
        <v>0</v>
      </c>
      <c r="AP76" s="318">
        <f t="shared" si="71"/>
        <v>0</v>
      </c>
      <c r="AQ76" s="318">
        <f t="shared" si="72"/>
        <v>0</v>
      </c>
      <c r="AR76" s="318">
        <f t="shared" si="73"/>
        <v>0</v>
      </c>
      <c r="AS76" s="318">
        <f t="shared" si="74"/>
        <v>0</v>
      </c>
      <c r="AT76" s="318">
        <f t="shared" si="75"/>
        <v>0</v>
      </c>
      <c r="AU76" s="318">
        <f t="shared" si="76"/>
        <v>0</v>
      </c>
      <c r="AV76" s="318">
        <f t="shared" si="77"/>
        <v>0</v>
      </c>
      <c r="AW76" s="318">
        <f t="shared" si="78"/>
        <v>0</v>
      </c>
      <c r="AX76" s="318">
        <f t="shared" si="79"/>
        <v>0</v>
      </c>
      <c r="AY76" s="318">
        <f t="shared" si="80"/>
        <v>0</v>
      </c>
      <c r="AZ76" s="318">
        <f t="shared" si="81"/>
        <v>0</v>
      </c>
      <c r="BA76" s="318">
        <f t="shared" si="82"/>
        <v>0</v>
      </c>
    </row>
    <row r="77" spans="1:53" s="315" customFormat="1" ht="16.5" customHeight="1">
      <c r="A77" s="63" t="str">
        <f t="array" ref="A77">IF(C77&lt;&gt;0,SUM(($C$11:C77&lt;&gt;0)*1),"")</f>
        <v/>
      </c>
      <c r="B77" s="316"/>
      <c r="C77" s="316"/>
      <c r="D77" s="316"/>
      <c r="E77" s="436"/>
      <c r="F77" s="372"/>
      <c r="G77" s="374"/>
      <c r="H77" s="374"/>
      <c r="I77" s="63" t="str">
        <f t="shared" si="0"/>
        <v/>
      </c>
      <c r="J77" s="318">
        <f t="shared" si="45"/>
        <v>0</v>
      </c>
      <c r="K77" s="318">
        <f t="shared" si="46"/>
        <v>0</v>
      </c>
      <c r="L77" s="318">
        <f t="shared" si="47"/>
        <v>0</v>
      </c>
      <c r="M77" s="318">
        <f t="shared" si="48"/>
        <v>0</v>
      </c>
      <c r="N77" s="318">
        <f t="shared" si="83"/>
        <v>0</v>
      </c>
      <c r="O77" s="318">
        <f t="shared" si="84"/>
        <v>0</v>
      </c>
      <c r="P77" s="318">
        <f t="shared" si="49"/>
        <v>0</v>
      </c>
      <c r="Q77" s="318">
        <f t="shared" si="50"/>
        <v>0</v>
      </c>
      <c r="R77" s="318">
        <f t="shared" si="51"/>
        <v>0</v>
      </c>
      <c r="S77" s="318">
        <f t="shared" si="52"/>
        <v>0</v>
      </c>
      <c r="T77" s="318">
        <f t="shared" si="85"/>
        <v>0</v>
      </c>
      <c r="U77" s="318">
        <f t="shared" si="86"/>
        <v>0</v>
      </c>
      <c r="V77" s="318">
        <f t="shared" si="53"/>
        <v>0</v>
      </c>
      <c r="W77" s="318">
        <f t="shared" si="54"/>
        <v>0</v>
      </c>
      <c r="X77" s="318">
        <f t="shared" si="55"/>
        <v>0</v>
      </c>
      <c r="Y77" s="318">
        <f t="shared" si="56"/>
        <v>0</v>
      </c>
      <c r="Z77" s="318">
        <f t="shared" si="57"/>
        <v>0</v>
      </c>
      <c r="AA77" s="318">
        <f t="shared" si="58"/>
        <v>0</v>
      </c>
      <c r="AB77" s="318">
        <f t="shared" si="59"/>
        <v>0</v>
      </c>
      <c r="AC77" s="318">
        <f t="shared" si="60"/>
        <v>0</v>
      </c>
      <c r="AD77" s="318">
        <f t="shared" si="61"/>
        <v>0</v>
      </c>
      <c r="AE77" s="318">
        <f t="shared" si="62"/>
        <v>0</v>
      </c>
      <c r="AF77" s="318">
        <f t="shared" si="87"/>
        <v>0</v>
      </c>
      <c r="AG77" s="318">
        <f t="shared" si="88"/>
        <v>0</v>
      </c>
      <c r="AH77" s="318">
        <f t="shared" si="63"/>
        <v>0</v>
      </c>
      <c r="AI77" s="318">
        <f t="shared" si="64"/>
        <v>0</v>
      </c>
      <c r="AJ77" s="318">
        <f t="shared" si="65"/>
        <v>0</v>
      </c>
      <c r="AK77" s="318">
        <f t="shared" si="66"/>
        <v>0</v>
      </c>
      <c r="AL77" s="318">
        <f t="shared" si="67"/>
        <v>0</v>
      </c>
      <c r="AM77" s="318">
        <f t="shared" si="68"/>
        <v>0</v>
      </c>
      <c r="AN77" s="318">
        <f t="shared" si="69"/>
        <v>0</v>
      </c>
      <c r="AO77" s="318">
        <f t="shared" si="70"/>
        <v>0</v>
      </c>
      <c r="AP77" s="318">
        <f t="shared" si="71"/>
        <v>0</v>
      </c>
      <c r="AQ77" s="318">
        <f t="shared" si="72"/>
        <v>0</v>
      </c>
      <c r="AR77" s="318">
        <f t="shared" si="73"/>
        <v>0</v>
      </c>
      <c r="AS77" s="318">
        <f t="shared" si="74"/>
        <v>0</v>
      </c>
      <c r="AT77" s="318">
        <f t="shared" si="75"/>
        <v>0</v>
      </c>
      <c r="AU77" s="318">
        <f t="shared" si="76"/>
        <v>0</v>
      </c>
      <c r="AV77" s="318">
        <f t="shared" si="77"/>
        <v>0</v>
      </c>
      <c r="AW77" s="318">
        <f t="shared" si="78"/>
        <v>0</v>
      </c>
      <c r="AX77" s="318">
        <f t="shared" si="79"/>
        <v>0</v>
      </c>
      <c r="AY77" s="318">
        <f t="shared" si="80"/>
        <v>0</v>
      </c>
      <c r="AZ77" s="318">
        <f t="shared" si="81"/>
        <v>0</v>
      </c>
      <c r="BA77" s="318">
        <f t="shared" si="82"/>
        <v>0</v>
      </c>
    </row>
    <row r="78" spans="1:53" s="315" customFormat="1" ht="16.5" customHeight="1">
      <c r="A78" s="63" t="str">
        <f t="array" ref="A78">IF(C78&lt;&gt;0,SUM(($C$11:C78&lt;&gt;0)*1),"")</f>
        <v/>
      </c>
      <c r="B78" s="316"/>
      <c r="C78" s="316"/>
      <c r="D78" s="316"/>
      <c r="E78" s="436"/>
      <c r="F78" s="372"/>
      <c r="G78" s="374"/>
      <c r="H78" s="374"/>
      <c r="I78" s="63" t="str">
        <f t="shared" si="0"/>
        <v/>
      </c>
      <c r="J78" s="318">
        <f t="shared" si="45"/>
        <v>0</v>
      </c>
      <c r="K78" s="318">
        <f t="shared" si="46"/>
        <v>0</v>
      </c>
      <c r="L78" s="318">
        <f t="shared" si="47"/>
        <v>0</v>
      </c>
      <c r="M78" s="318">
        <f t="shared" si="48"/>
        <v>0</v>
      </c>
      <c r="N78" s="318">
        <f t="shared" si="83"/>
        <v>0</v>
      </c>
      <c r="O78" s="318">
        <f t="shared" si="84"/>
        <v>0</v>
      </c>
      <c r="P78" s="318">
        <f t="shared" si="49"/>
        <v>0</v>
      </c>
      <c r="Q78" s="318">
        <f t="shared" si="50"/>
        <v>0</v>
      </c>
      <c r="R78" s="318">
        <f t="shared" si="51"/>
        <v>0</v>
      </c>
      <c r="S78" s="318">
        <f t="shared" si="52"/>
        <v>0</v>
      </c>
      <c r="T78" s="318">
        <f t="shared" si="85"/>
        <v>0</v>
      </c>
      <c r="U78" s="318">
        <f t="shared" si="86"/>
        <v>0</v>
      </c>
      <c r="V78" s="318">
        <f t="shared" si="53"/>
        <v>0</v>
      </c>
      <c r="W78" s="318">
        <f t="shared" si="54"/>
        <v>0</v>
      </c>
      <c r="X78" s="318">
        <f t="shared" si="55"/>
        <v>0</v>
      </c>
      <c r="Y78" s="318">
        <f t="shared" si="56"/>
        <v>0</v>
      </c>
      <c r="Z78" s="318">
        <f t="shared" si="57"/>
        <v>0</v>
      </c>
      <c r="AA78" s="318">
        <f t="shared" si="58"/>
        <v>0</v>
      </c>
      <c r="AB78" s="318">
        <f t="shared" si="59"/>
        <v>0</v>
      </c>
      <c r="AC78" s="318">
        <f t="shared" si="60"/>
        <v>0</v>
      </c>
      <c r="AD78" s="318">
        <f t="shared" si="61"/>
        <v>0</v>
      </c>
      <c r="AE78" s="318">
        <f t="shared" si="62"/>
        <v>0</v>
      </c>
      <c r="AF78" s="318">
        <f t="shared" si="87"/>
        <v>0</v>
      </c>
      <c r="AG78" s="318">
        <f t="shared" si="88"/>
        <v>0</v>
      </c>
      <c r="AH78" s="318">
        <f t="shared" si="63"/>
        <v>0</v>
      </c>
      <c r="AI78" s="318">
        <f t="shared" si="64"/>
        <v>0</v>
      </c>
      <c r="AJ78" s="318">
        <f t="shared" si="65"/>
        <v>0</v>
      </c>
      <c r="AK78" s="318">
        <f t="shared" si="66"/>
        <v>0</v>
      </c>
      <c r="AL78" s="318">
        <f t="shared" si="67"/>
        <v>0</v>
      </c>
      <c r="AM78" s="318">
        <f t="shared" si="68"/>
        <v>0</v>
      </c>
      <c r="AN78" s="318">
        <f t="shared" si="69"/>
        <v>0</v>
      </c>
      <c r="AO78" s="318">
        <f t="shared" si="70"/>
        <v>0</v>
      </c>
      <c r="AP78" s="318">
        <f t="shared" si="71"/>
        <v>0</v>
      </c>
      <c r="AQ78" s="318">
        <f t="shared" si="72"/>
        <v>0</v>
      </c>
      <c r="AR78" s="318">
        <f t="shared" si="73"/>
        <v>0</v>
      </c>
      <c r="AS78" s="318">
        <f t="shared" si="74"/>
        <v>0</v>
      </c>
      <c r="AT78" s="318">
        <f t="shared" si="75"/>
        <v>0</v>
      </c>
      <c r="AU78" s="318">
        <f t="shared" si="76"/>
        <v>0</v>
      </c>
      <c r="AV78" s="318">
        <f t="shared" si="77"/>
        <v>0</v>
      </c>
      <c r="AW78" s="318">
        <f t="shared" si="78"/>
        <v>0</v>
      </c>
      <c r="AX78" s="318">
        <f t="shared" si="79"/>
        <v>0</v>
      </c>
      <c r="AY78" s="318">
        <f t="shared" si="80"/>
        <v>0</v>
      </c>
      <c r="AZ78" s="318">
        <f t="shared" si="81"/>
        <v>0</v>
      </c>
      <c r="BA78" s="318">
        <f t="shared" si="82"/>
        <v>0</v>
      </c>
    </row>
    <row r="79" spans="1:53" s="315" customFormat="1" ht="16.5" customHeight="1">
      <c r="A79" s="63" t="str">
        <f t="array" ref="A79">IF(C79&lt;&gt;0,SUM(($C$11:C79&lt;&gt;0)*1),"")</f>
        <v/>
      </c>
      <c r="B79" s="316"/>
      <c r="C79" s="316"/>
      <c r="D79" s="316"/>
      <c r="E79" s="436"/>
      <c r="F79" s="372"/>
      <c r="G79" s="374"/>
      <c r="H79" s="374"/>
      <c r="I79" s="63" t="str">
        <f t="shared" si="0"/>
        <v/>
      </c>
      <c r="J79" s="318">
        <f t="shared" si="45"/>
        <v>0</v>
      </c>
      <c r="K79" s="318">
        <f t="shared" si="46"/>
        <v>0</v>
      </c>
      <c r="L79" s="318">
        <f t="shared" si="47"/>
        <v>0</v>
      </c>
      <c r="M79" s="318">
        <f t="shared" si="48"/>
        <v>0</v>
      </c>
      <c r="N79" s="318">
        <f t="shared" si="83"/>
        <v>0</v>
      </c>
      <c r="O79" s="318">
        <f t="shared" si="84"/>
        <v>0</v>
      </c>
      <c r="P79" s="318">
        <f t="shared" si="49"/>
        <v>0</v>
      </c>
      <c r="Q79" s="318">
        <f t="shared" si="50"/>
        <v>0</v>
      </c>
      <c r="R79" s="318">
        <f t="shared" si="51"/>
        <v>0</v>
      </c>
      <c r="S79" s="318">
        <f t="shared" si="52"/>
        <v>0</v>
      </c>
      <c r="T79" s="318">
        <f t="shared" si="85"/>
        <v>0</v>
      </c>
      <c r="U79" s="318">
        <f t="shared" si="86"/>
        <v>0</v>
      </c>
      <c r="V79" s="318">
        <f t="shared" si="53"/>
        <v>0</v>
      </c>
      <c r="W79" s="318">
        <f t="shared" si="54"/>
        <v>0</v>
      </c>
      <c r="X79" s="318">
        <f t="shared" si="55"/>
        <v>0</v>
      </c>
      <c r="Y79" s="318">
        <f t="shared" si="56"/>
        <v>0</v>
      </c>
      <c r="Z79" s="318">
        <f t="shared" si="57"/>
        <v>0</v>
      </c>
      <c r="AA79" s="318">
        <f t="shared" si="58"/>
        <v>0</v>
      </c>
      <c r="AB79" s="318">
        <f t="shared" si="59"/>
        <v>0</v>
      </c>
      <c r="AC79" s="318">
        <f t="shared" si="60"/>
        <v>0</v>
      </c>
      <c r="AD79" s="318">
        <f t="shared" si="61"/>
        <v>0</v>
      </c>
      <c r="AE79" s="318">
        <f t="shared" si="62"/>
        <v>0</v>
      </c>
      <c r="AF79" s="318">
        <f t="shared" si="87"/>
        <v>0</v>
      </c>
      <c r="AG79" s="318">
        <f t="shared" si="88"/>
        <v>0</v>
      </c>
      <c r="AH79" s="318">
        <f t="shared" si="63"/>
        <v>0</v>
      </c>
      <c r="AI79" s="318">
        <f t="shared" si="64"/>
        <v>0</v>
      </c>
      <c r="AJ79" s="318">
        <f t="shared" si="65"/>
        <v>0</v>
      </c>
      <c r="AK79" s="318">
        <f t="shared" si="66"/>
        <v>0</v>
      </c>
      <c r="AL79" s="318">
        <f t="shared" si="67"/>
        <v>0</v>
      </c>
      <c r="AM79" s="318">
        <f t="shared" si="68"/>
        <v>0</v>
      </c>
      <c r="AN79" s="318">
        <f t="shared" si="69"/>
        <v>0</v>
      </c>
      <c r="AO79" s="318">
        <f t="shared" si="70"/>
        <v>0</v>
      </c>
      <c r="AP79" s="318">
        <f t="shared" si="71"/>
        <v>0</v>
      </c>
      <c r="AQ79" s="318">
        <f t="shared" si="72"/>
        <v>0</v>
      </c>
      <c r="AR79" s="318">
        <f t="shared" si="73"/>
        <v>0</v>
      </c>
      <c r="AS79" s="318">
        <f t="shared" si="74"/>
        <v>0</v>
      </c>
      <c r="AT79" s="318">
        <f t="shared" si="75"/>
        <v>0</v>
      </c>
      <c r="AU79" s="318">
        <f t="shared" si="76"/>
        <v>0</v>
      </c>
      <c r="AV79" s="318">
        <f t="shared" si="77"/>
        <v>0</v>
      </c>
      <c r="AW79" s="318">
        <f t="shared" si="78"/>
        <v>0</v>
      </c>
      <c r="AX79" s="318">
        <f t="shared" si="79"/>
        <v>0</v>
      </c>
      <c r="AY79" s="318">
        <f t="shared" si="80"/>
        <v>0</v>
      </c>
      <c r="AZ79" s="318">
        <f t="shared" si="81"/>
        <v>0</v>
      </c>
      <c r="BA79" s="318">
        <f t="shared" si="82"/>
        <v>0</v>
      </c>
    </row>
    <row r="80" spans="1:53" s="315" customFormat="1" ht="16.5" customHeight="1">
      <c r="A80" s="63" t="str">
        <f t="array" ref="A80">IF(C80&lt;&gt;0,SUM(($C$11:C80&lt;&gt;0)*1),"")</f>
        <v/>
      </c>
      <c r="B80" s="316"/>
      <c r="C80" s="316"/>
      <c r="D80" s="316"/>
      <c r="E80" s="436"/>
      <c r="F80" s="372"/>
      <c r="G80" s="374"/>
      <c r="H80" s="374"/>
      <c r="I80" s="63" t="str">
        <f t="shared" si="0"/>
        <v/>
      </c>
      <c r="J80" s="318">
        <f t="shared" si="45"/>
        <v>0</v>
      </c>
      <c r="K80" s="318">
        <f t="shared" si="46"/>
        <v>0</v>
      </c>
      <c r="L80" s="318">
        <f t="shared" si="47"/>
        <v>0</v>
      </c>
      <c r="M80" s="318">
        <f t="shared" si="48"/>
        <v>0</v>
      </c>
      <c r="N80" s="318">
        <f t="shared" si="83"/>
        <v>0</v>
      </c>
      <c r="O80" s="318">
        <f t="shared" si="84"/>
        <v>0</v>
      </c>
      <c r="P80" s="318">
        <f t="shared" si="49"/>
        <v>0</v>
      </c>
      <c r="Q80" s="318">
        <f t="shared" si="50"/>
        <v>0</v>
      </c>
      <c r="R80" s="318">
        <f t="shared" si="51"/>
        <v>0</v>
      </c>
      <c r="S80" s="318">
        <f t="shared" si="52"/>
        <v>0</v>
      </c>
      <c r="T80" s="318">
        <f t="shared" si="85"/>
        <v>0</v>
      </c>
      <c r="U80" s="318">
        <f t="shared" si="86"/>
        <v>0</v>
      </c>
      <c r="V80" s="318">
        <f t="shared" si="53"/>
        <v>0</v>
      </c>
      <c r="W80" s="318">
        <f t="shared" si="54"/>
        <v>0</v>
      </c>
      <c r="X80" s="318">
        <f t="shared" si="55"/>
        <v>0</v>
      </c>
      <c r="Y80" s="318">
        <f t="shared" si="56"/>
        <v>0</v>
      </c>
      <c r="Z80" s="318">
        <f t="shared" si="57"/>
        <v>0</v>
      </c>
      <c r="AA80" s="318">
        <f t="shared" si="58"/>
        <v>0</v>
      </c>
      <c r="AB80" s="318">
        <f t="shared" si="59"/>
        <v>0</v>
      </c>
      <c r="AC80" s="318">
        <f t="shared" si="60"/>
        <v>0</v>
      </c>
      <c r="AD80" s="318">
        <f t="shared" si="61"/>
        <v>0</v>
      </c>
      <c r="AE80" s="318">
        <f t="shared" si="62"/>
        <v>0</v>
      </c>
      <c r="AF80" s="318">
        <f t="shared" si="87"/>
        <v>0</v>
      </c>
      <c r="AG80" s="318">
        <f t="shared" si="88"/>
        <v>0</v>
      </c>
      <c r="AH80" s="318">
        <f t="shared" si="63"/>
        <v>0</v>
      </c>
      <c r="AI80" s="318">
        <f t="shared" si="64"/>
        <v>0</v>
      </c>
      <c r="AJ80" s="318">
        <f t="shared" si="65"/>
        <v>0</v>
      </c>
      <c r="AK80" s="318">
        <f t="shared" si="66"/>
        <v>0</v>
      </c>
      <c r="AL80" s="318">
        <f t="shared" si="67"/>
        <v>0</v>
      </c>
      <c r="AM80" s="318">
        <f t="shared" si="68"/>
        <v>0</v>
      </c>
      <c r="AN80" s="318">
        <f t="shared" si="69"/>
        <v>0</v>
      </c>
      <c r="AO80" s="318">
        <f t="shared" si="70"/>
        <v>0</v>
      </c>
      <c r="AP80" s="318">
        <f t="shared" si="71"/>
        <v>0</v>
      </c>
      <c r="AQ80" s="318">
        <f t="shared" si="72"/>
        <v>0</v>
      </c>
      <c r="AR80" s="318">
        <f t="shared" si="73"/>
        <v>0</v>
      </c>
      <c r="AS80" s="318">
        <f t="shared" si="74"/>
        <v>0</v>
      </c>
      <c r="AT80" s="318">
        <f t="shared" si="75"/>
        <v>0</v>
      </c>
      <c r="AU80" s="318">
        <f t="shared" si="76"/>
        <v>0</v>
      </c>
      <c r="AV80" s="318">
        <f t="shared" si="77"/>
        <v>0</v>
      </c>
      <c r="AW80" s="318">
        <f t="shared" si="78"/>
        <v>0</v>
      </c>
      <c r="AX80" s="318">
        <f t="shared" si="79"/>
        <v>0</v>
      </c>
      <c r="AY80" s="318">
        <f t="shared" si="80"/>
        <v>0</v>
      </c>
      <c r="AZ80" s="318">
        <f t="shared" si="81"/>
        <v>0</v>
      </c>
      <c r="BA80" s="318">
        <f t="shared" si="82"/>
        <v>0</v>
      </c>
    </row>
    <row r="81" spans="1:53" s="315" customFormat="1" ht="16.5" customHeight="1">
      <c r="A81" s="63" t="str">
        <f t="array" ref="A81">IF(C81&lt;&gt;0,SUM(($C$11:C81&lt;&gt;0)*1),"")</f>
        <v/>
      </c>
      <c r="B81" s="316"/>
      <c r="C81" s="316"/>
      <c r="D81" s="316"/>
      <c r="E81" s="436"/>
      <c r="F81" s="372"/>
      <c r="G81" s="374"/>
      <c r="H81" s="374"/>
      <c r="I81" s="63" t="str">
        <f t="shared" si="0"/>
        <v/>
      </c>
      <c r="J81" s="318">
        <f t="shared" si="45"/>
        <v>0</v>
      </c>
      <c r="K81" s="318">
        <f t="shared" si="46"/>
        <v>0</v>
      </c>
      <c r="L81" s="318">
        <f t="shared" si="47"/>
        <v>0</v>
      </c>
      <c r="M81" s="318">
        <f t="shared" si="48"/>
        <v>0</v>
      </c>
      <c r="N81" s="318">
        <f t="shared" si="83"/>
        <v>0</v>
      </c>
      <c r="O81" s="318">
        <f t="shared" si="84"/>
        <v>0</v>
      </c>
      <c r="P81" s="318">
        <f t="shared" si="49"/>
        <v>0</v>
      </c>
      <c r="Q81" s="318">
        <f t="shared" si="50"/>
        <v>0</v>
      </c>
      <c r="R81" s="318">
        <f t="shared" si="51"/>
        <v>0</v>
      </c>
      <c r="S81" s="318">
        <f t="shared" si="52"/>
        <v>0</v>
      </c>
      <c r="T81" s="318">
        <f t="shared" si="85"/>
        <v>0</v>
      </c>
      <c r="U81" s="318">
        <f t="shared" si="86"/>
        <v>0</v>
      </c>
      <c r="V81" s="318">
        <f t="shared" si="53"/>
        <v>0</v>
      </c>
      <c r="W81" s="318">
        <f t="shared" si="54"/>
        <v>0</v>
      </c>
      <c r="X81" s="318">
        <f t="shared" si="55"/>
        <v>0</v>
      </c>
      <c r="Y81" s="318">
        <f t="shared" si="56"/>
        <v>0</v>
      </c>
      <c r="Z81" s="318">
        <f t="shared" si="57"/>
        <v>0</v>
      </c>
      <c r="AA81" s="318">
        <f t="shared" si="58"/>
        <v>0</v>
      </c>
      <c r="AB81" s="318">
        <f t="shared" si="59"/>
        <v>0</v>
      </c>
      <c r="AC81" s="318">
        <f t="shared" si="60"/>
        <v>0</v>
      </c>
      <c r="AD81" s="318">
        <f t="shared" si="61"/>
        <v>0</v>
      </c>
      <c r="AE81" s="318">
        <f t="shared" si="62"/>
        <v>0</v>
      </c>
      <c r="AF81" s="318">
        <f t="shared" si="87"/>
        <v>0</v>
      </c>
      <c r="AG81" s="318">
        <f t="shared" si="88"/>
        <v>0</v>
      </c>
      <c r="AH81" s="318">
        <f t="shared" si="63"/>
        <v>0</v>
      </c>
      <c r="AI81" s="318">
        <f t="shared" si="64"/>
        <v>0</v>
      </c>
      <c r="AJ81" s="318">
        <f t="shared" si="65"/>
        <v>0</v>
      </c>
      <c r="AK81" s="318">
        <f t="shared" si="66"/>
        <v>0</v>
      </c>
      <c r="AL81" s="318">
        <f t="shared" si="67"/>
        <v>0</v>
      </c>
      <c r="AM81" s="318">
        <f t="shared" si="68"/>
        <v>0</v>
      </c>
      <c r="AN81" s="318">
        <f t="shared" si="69"/>
        <v>0</v>
      </c>
      <c r="AO81" s="318">
        <f t="shared" si="70"/>
        <v>0</v>
      </c>
      <c r="AP81" s="318">
        <f t="shared" si="71"/>
        <v>0</v>
      </c>
      <c r="AQ81" s="318">
        <f t="shared" si="72"/>
        <v>0</v>
      </c>
      <c r="AR81" s="318">
        <f t="shared" si="73"/>
        <v>0</v>
      </c>
      <c r="AS81" s="318">
        <f t="shared" si="74"/>
        <v>0</v>
      </c>
      <c r="AT81" s="318">
        <f t="shared" si="75"/>
        <v>0</v>
      </c>
      <c r="AU81" s="318">
        <f t="shared" si="76"/>
        <v>0</v>
      </c>
      <c r="AV81" s="318">
        <f t="shared" si="77"/>
        <v>0</v>
      </c>
      <c r="AW81" s="318">
        <f t="shared" si="78"/>
        <v>0</v>
      </c>
      <c r="AX81" s="318">
        <f t="shared" si="79"/>
        <v>0</v>
      </c>
      <c r="AY81" s="318">
        <f t="shared" si="80"/>
        <v>0</v>
      </c>
      <c r="AZ81" s="318">
        <f t="shared" si="81"/>
        <v>0</v>
      </c>
      <c r="BA81" s="318">
        <f t="shared" si="82"/>
        <v>0</v>
      </c>
    </row>
    <row r="82" spans="1:53" s="315" customFormat="1" ht="16.5" customHeight="1">
      <c r="A82" s="63" t="str">
        <f t="array" ref="A82">IF(C82&lt;&gt;0,SUM(($C$11:C82&lt;&gt;0)*1),"")</f>
        <v/>
      </c>
      <c r="B82" s="316"/>
      <c r="C82" s="316"/>
      <c r="D82" s="316"/>
      <c r="E82" s="436"/>
      <c r="F82" s="372"/>
      <c r="G82" s="374"/>
      <c r="H82" s="374"/>
      <c r="I82" s="63" t="str">
        <f t="shared" si="0"/>
        <v/>
      </c>
      <c r="J82" s="318">
        <f t="shared" si="45"/>
        <v>0</v>
      </c>
      <c r="K82" s="318">
        <f t="shared" si="46"/>
        <v>0</v>
      </c>
      <c r="L82" s="318">
        <f t="shared" si="47"/>
        <v>0</v>
      </c>
      <c r="M82" s="318">
        <f t="shared" si="48"/>
        <v>0</v>
      </c>
      <c r="N82" s="318">
        <f t="shared" si="83"/>
        <v>0</v>
      </c>
      <c r="O82" s="318">
        <f t="shared" si="84"/>
        <v>0</v>
      </c>
      <c r="P82" s="318">
        <f t="shared" si="49"/>
        <v>0</v>
      </c>
      <c r="Q82" s="318">
        <f t="shared" si="50"/>
        <v>0</v>
      </c>
      <c r="R82" s="318">
        <f t="shared" si="51"/>
        <v>0</v>
      </c>
      <c r="S82" s="318">
        <f t="shared" si="52"/>
        <v>0</v>
      </c>
      <c r="T82" s="318">
        <f t="shared" si="85"/>
        <v>0</v>
      </c>
      <c r="U82" s="318">
        <f t="shared" si="86"/>
        <v>0</v>
      </c>
      <c r="V82" s="318">
        <f t="shared" si="53"/>
        <v>0</v>
      </c>
      <c r="W82" s="318">
        <f t="shared" si="54"/>
        <v>0</v>
      </c>
      <c r="X82" s="318">
        <f t="shared" si="55"/>
        <v>0</v>
      </c>
      <c r="Y82" s="318">
        <f t="shared" si="56"/>
        <v>0</v>
      </c>
      <c r="Z82" s="318">
        <f t="shared" si="57"/>
        <v>0</v>
      </c>
      <c r="AA82" s="318">
        <f t="shared" si="58"/>
        <v>0</v>
      </c>
      <c r="AB82" s="318">
        <f t="shared" si="59"/>
        <v>0</v>
      </c>
      <c r="AC82" s="318">
        <f t="shared" si="60"/>
        <v>0</v>
      </c>
      <c r="AD82" s="318">
        <f t="shared" si="61"/>
        <v>0</v>
      </c>
      <c r="AE82" s="318">
        <f t="shared" si="62"/>
        <v>0</v>
      </c>
      <c r="AF82" s="318">
        <f t="shared" si="87"/>
        <v>0</v>
      </c>
      <c r="AG82" s="318">
        <f t="shared" si="88"/>
        <v>0</v>
      </c>
      <c r="AH82" s="318">
        <f t="shared" si="63"/>
        <v>0</v>
      </c>
      <c r="AI82" s="318">
        <f t="shared" si="64"/>
        <v>0</v>
      </c>
      <c r="AJ82" s="318">
        <f t="shared" si="65"/>
        <v>0</v>
      </c>
      <c r="AK82" s="318">
        <f t="shared" si="66"/>
        <v>0</v>
      </c>
      <c r="AL82" s="318">
        <f t="shared" si="67"/>
        <v>0</v>
      </c>
      <c r="AM82" s="318">
        <f t="shared" si="68"/>
        <v>0</v>
      </c>
      <c r="AN82" s="318">
        <f t="shared" si="69"/>
        <v>0</v>
      </c>
      <c r="AO82" s="318">
        <f t="shared" si="70"/>
        <v>0</v>
      </c>
      <c r="AP82" s="318">
        <f t="shared" si="71"/>
        <v>0</v>
      </c>
      <c r="AQ82" s="318">
        <f t="shared" si="72"/>
        <v>0</v>
      </c>
      <c r="AR82" s="318">
        <f t="shared" si="73"/>
        <v>0</v>
      </c>
      <c r="AS82" s="318">
        <f t="shared" si="74"/>
        <v>0</v>
      </c>
      <c r="AT82" s="318">
        <f t="shared" si="75"/>
        <v>0</v>
      </c>
      <c r="AU82" s="318">
        <f t="shared" si="76"/>
        <v>0</v>
      </c>
      <c r="AV82" s="318">
        <f t="shared" si="77"/>
        <v>0</v>
      </c>
      <c r="AW82" s="318">
        <f t="shared" si="78"/>
        <v>0</v>
      </c>
      <c r="AX82" s="318">
        <f t="shared" si="79"/>
        <v>0</v>
      </c>
      <c r="AY82" s="318">
        <f t="shared" si="80"/>
        <v>0</v>
      </c>
      <c r="AZ82" s="318">
        <f t="shared" si="81"/>
        <v>0</v>
      </c>
      <c r="BA82" s="318">
        <f t="shared" si="82"/>
        <v>0</v>
      </c>
    </row>
    <row r="83" spans="1:53" s="315" customFormat="1" ht="16.5" customHeight="1">
      <c r="A83" s="63" t="str">
        <f t="array" ref="A83">IF(C83&lt;&gt;0,SUM(($C$11:C83&lt;&gt;0)*1),"")</f>
        <v/>
      </c>
      <c r="B83" s="316"/>
      <c r="C83" s="316"/>
      <c r="D83" s="316"/>
      <c r="E83" s="436"/>
      <c r="F83" s="372"/>
      <c r="G83" s="374"/>
      <c r="H83" s="374"/>
      <c r="I83" s="63" t="str">
        <f t="shared" si="0"/>
        <v/>
      </c>
      <c r="J83" s="318">
        <f t="shared" si="45"/>
        <v>0</v>
      </c>
      <c r="K83" s="318">
        <f t="shared" si="46"/>
        <v>0</v>
      </c>
      <c r="L83" s="318">
        <f t="shared" si="47"/>
        <v>0</v>
      </c>
      <c r="M83" s="318">
        <f t="shared" si="48"/>
        <v>0</v>
      </c>
      <c r="N83" s="318">
        <f t="shared" si="83"/>
        <v>0</v>
      </c>
      <c r="O83" s="318">
        <f t="shared" si="84"/>
        <v>0</v>
      </c>
      <c r="P83" s="318">
        <f t="shared" si="49"/>
        <v>0</v>
      </c>
      <c r="Q83" s="318">
        <f t="shared" si="50"/>
        <v>0</v>
      </c>
      <c r="R83" s="318">
        <f t="shared" si="51"/>
        <v>0</v>
      </c>
      <c r="S83" s="318">
        <f t="shared" si="52"/>
        <v>0</v>
      </c>
      <c r="T83" s="318">
        <f t="shared" si="85"/>
        <v>0</v>
      </c>
      <c r="U83" s="318">
        <f t="shared" si="86"/>
        <v>0</v>
      </c>
      <c r="V83" s="318">
        <f t="shared" si="53"/>
        <v>0</v>
      </c>
      <c r="W83" s="318">
        <f t="shared" si="54"/>
        <v>0</v>
      </c>
      <c r="X83" s="318">
        <f t="shared" si="55"/>
        <v>0</v>
      </c>
      <c r="Y83" s="318">
        <f t="shared" si="56"/>
        <v>0</v>
      </c>
      <c r="Z83" s="318">
        <f t="shared" si="57"/>
        <v>0</v>
      </c>
      <c r="AA83" s="318">
        <f t="shared" si="58"/>
        <v>0</v>
      </c>
      <c r="AB83" s="318">
        <f t="shared" si="59"/>
        <v>0</v>
      </c>
      <c r="AC83" s="318">
        <f t="shared" si="60"/>
        <v>0</v>
      </c>
      <c r="AD83" s="318">
        <f t="shared" si="61"/>
        <v>0</v>
      </c>
      <c r="AE83" s="318">
        <f t="shared" si="62"/>
        <v>0</v>
      </c>
      <c r="AF83" s="318">
        <f t="shared" si="87"/>
        <v>0</v>
      </c>
      <c r="AG83" s="318">
        <f t="shared" si="88"/>
        <v>0</v>
      </c>
      <c r="AH83" s="318">
        <f t="shared" si="63"/>
        <v>0</v>
      </c>
      <c r="AI83" s="318">
        <f t="shared" si="64"/>
        <v>0</v>
      </c>
      <c r="AJ83" s="318">
        <f t="shared" si="65"/>
        <v>0</v>
      </c>
      <c r="AK83" s="318">
        <f t="shared" si="66"/>
        <v>0</v>
      </c>
      <c r="AL83" s="318">
        <f t="shared" si="67"/>
        <v>0</v>
      </c>
      <c r="AM83" s="318">
        <f t="shared" si="68"/>
        <v>0</v>
      </c>
      <c r="AN83" s="318">
        <f t="shared" si="69"/>
        <v>0</v>
      </c>
      <c r="AO83" s="318">
        <f t="shared" si="70"/>
        <v>0</v>
      </c>
      <c r="AP83" s="318">
        <f t="shared" si="71"/>
        <v>0</v>
      </c>
      <c r="AQ83" s="318">
        <f t="shared" si="72"/>
        <v>0</v>
      </c>
      <c r="AR83" s="318">
        <f t="shared" si="73"/>
        <v>0</v>
      </c>
      <c r="AS83" s="318">
        <f t="shared" si="74"/>
        <v>0</v>
      </c>
      <c r="AT83" s="318">
        <f t="shared" si="75"/>
        <v>0</v>
      </c>
      <c r="AU83" s="318">
        <f t="shared" si="76"/>
        <v>0</v>
      </c>
      <c r="AV83" s="318">
        <f t="shared" si="77"/>
        <v>0</v>
      </c>
      <c r="AW83" s="318">
        <f t="shared" si="78"/>
        <v>0</v>
      </c>
      <c r="AX83" s="318">
        <f t="shared" si="79"/>
        <v>0</v>
      </c>
      <c r="AY83" s="318">
        <f t="shared" si="80"/>
        <v>0</v>
      </c>
      <c r="AZ83" s="318">
        <f t="shared" si="81"/>
        <v>0</v>
      </c>
      <c r="BA83" s="318">
        <f t="shared" si="82"/>
        <v>0</v>
      </c>
    </row>
    <row r="84" spans="1:53" s="315" customFormat="1" ht="16.5" customHeight="1">
      <c r="A84" s="63" t="str">
        <f t="array" ref="A84">IF(C84&lt;&gt;0,SUM(($C$11:C84&lt;&gt;0)*1),"")</f>
        <v/>
      </c>
      <c r="B84" s="316"/>
      <c r="C84" s="316"/>
      <c r="D84" s="316"/>
      <c r="E84" s="436"/>
      <c r="F84" s="372"/>
      <c r="G84" s="374"/>
      <c r="H84" s="374"/>
      <c r="I84" s="63" t="str">
        <f t="shared" si="0"/>
        <v/>
      </c>
      <c r="J84" s="318">
        <f t="shared" si="45"/>
        <v>0</v>
      </c>
      <c r="K84" s="318">
        <f t="shared" si="46"/>
        <v>0</v>
      </c>
      <c r="L84" s="318">
        <f t="shared" si="47"/>
        <v>0</v>
      </c>
      <c r="M84" s="318">
        <f t="shared" si="48"/>
        <v>0</v>
      </c>
      <c r="N84" s="318">
        <f t="shared" si="83"/>
        <v>0</v>
      </c>
      <c r="O84" s="318">
        <f t="shared" si="84"/>
        <v>0</v>
      </c>
      <c r="P84" s="318">
        <f t="shared" si="49"/>
        <v>0</v>
      </c>
      <c r="Q84" s="318">
        <f t="shared" si="50"/>
        <v>0</v>
      </c>
      <c r="R84" s="318">
        <f t="shared" si="51"/>
        <v>0</v>
      </c>
      <c r="S84" s="318">
        <f t="shared" si="52"/>
        <v>0</v>
      </c>
      <c r="T84" s="318">
        <f t="shared" si="85"/>
        <v>0</v>
      </c>
      <c r="U84" s="318">
        <f t="shared" si="86"/>
        <v>0</v>
      </c>
      <c r="V84" s="318">
        <f t="shared" si="53"/>
        <v>0</v>
      </c>
      <c r="W84" s="318">
        <f t="shared" si="54"/>
        <v>0</v>
      </c>
      <c r="X84" s="318">
        <f t="shared" si="55"/>
        <v>0</v>
      </c>
      <c r="Y84" s="318">
        <f t="shared" si="56"/>
        <v>0</v>
      </c>
      <c r="Z84" s="318">
        <f t="shared" si="57"/>
        <v>0</v>
      </c>
      <c r="AA84" s="318">
        <f t="shared" si="58"/>
        <v>0</v>
      </c>
      <c r="AB84" s="318">
        <f t="shared" si="59"/>
        <v>0</v>
      </c>
      <c r="AC84" s="318">
        <f t="shared" si="60"/>
        <v>0</v>
      </c>
      <c r="AD84" s="318">
        <f t="shared" si="61"/>
        <v>0</v>
      </c>
      <c r="AE84" s="318">
        <f t="shared" si="62"/>
        <v>0</v>
      </c>
      <c r="AF84" s="318">
        <f t="shared" si="87"/>
        <v>0</v>
      </c>
      <c r="AG84" s="318">
        <f t="shared" si="88"/>
        <v>0</v>
      </c>
      <c r="AH84" s="318">
        <f t="shared" si="63"/>
        <v>0</v>
      </c>
      <c r="AI84" s="318">
        <f t="shared" si="64"/>
        <v>0</v>
      </c>
      <c r="AJ84" s="318">
        <f t="shared" si="65"/>
        <v>0</v>
      </c>
      <c r="AK84" s="318">
        <f t="shared" si="66"/>
        <v>0</v>
      </c>
      <c r="AL84" s="318">
        <f t="shared" si="67"/>
        <v>0</v>
      </c>
      <c r="AM84" s="318">
        <f t="shared" si="68"/>
        <v>0</v>
      </c>
      <c r="AN84" s="318">
        <f t="shared" si="69"/>
        <v>0</v>
      </c>
      <c r="AO84" s="318">
        <f t="shared" si="70"/>
        <v>0</v>
      </c>
      <c r="AP84" s="318">
        <f t="shared" si="71"/>
        <v>0</v>
      </c>
      <c r="AQ84" s="318">
        <f t="shared" si="72"/>
        <v>0</v>
      </c>
      <c r="AR84" s="318">
        <f t="shared" si="73"/>
        <v>0</v>
      </c>
      <c r="AS84" s="318">
        <f t="shared" si="74"/>
        <v>0</v>
      </c>
      <c r="AT84" s="318">
        <f t="shared" si="75"/>
        <v>0</v>
      </c>
      <c r="AU84" s="318">
        <f t="shared" si="76"/>
        <v>0</v>
      </c>
      <c r="AV84" s="318">
        <f t="shared" si="77"/>
        <v>0</v>
      </c>
      <c r="AW84" s="318">
        <f t="shared" si="78"/>
        <v>0</v>
      </c>
      <c r="AX84" s="318">
        <f t="shared" si="79"/>
        <v>0</v>
      </c>
      <c r="AY84" s="318">
        <f t="shared" si="80"/>
        <v>0</v>
      </c>
      <c r="AZ84" s="318">
        <f t="shared" si="81"/>
        <v>0</v>
      </c>
      <c r="BA84" s="318">
        <f t="shared" si="82"/>
        <v>0</v>
      </c>
    </row>
    <row r="85" spans="1:53" s="315" customFormat="1" ht="16.5" customHeight="1">
      <c r="A85" s="63" t="str">
        <f t="array" ref="A85">IF(C85&lt;&gt;0,SUM(($C$11:C85&lt;&gt;0)*1),"")</f>
        <v/>
      </c>
      <c r="B85" s="316"/>
      <c r="C85" s="316"/>
      <c r="D85" s="316"/>
      <c r="E85" s="436"/>
      <c r="F85" s="372"/>
      <c r="G85" s="374"/>
      <c r="H85" s="374"/>
      <c r="I85" s="63" t="str">
        <f t="shared" si="0"/>
        <v/>
      </c>
      <c r="J85" s="318">
        <f t="shared" si="45"/>
        <v>0</v>
      </c>
      <c r="K85" s="318">
        <f t="shared" si="46"/>
        <v>0</v>
      </c>
      <c r="L85" s="318">
        <f t="shared" si="47"/>
        <v>0</v>
      </c>
      <c r="M85" s="318">
        <f t="shared" si="48"/>
        <v>0</v>
      </c>
      <c r="N85" s="318">
        <f t="shared" si="83"/>
        <v>0</v>
      </c>
      <c r="O85" s="318">
        <f t="shared" si="84"/>
        <v>0</v>
      </c>
      <c r="P85" s="318">
        <f t="shared" si="49"/>
        <v>0</v>
      </c>
      <c r="Q85" s="318">
        <f t="shared" si="50"/>
        <v>0</v>
      </c>
      <c r="R85" s="318">
        <f t="shared" si="51"/>
        <v>0</v>
      </c>
      <c r="S85" s="318">
        <f t="shared" si="52"/>
        <v>0</v>
      </c>
      <c r="T85" s="318">
        <f t="shared" si="85"/>
        <v>0</v>
      </c>
      <c r="U85" s="318">
        <f t="shared" si="86"/>
        <v>0</v>
      </c>
      <c r="V85" s="318">
        <f t="shared" si="53"/>
        <v>0</v>
      </c>
      <c r="W85" s="318">
        <f t="shared" si="54"/>
        <v>0</v>
      </c>
      <c r="X85" s="318">
        <f t="shared" si="55"/>
        <v>0</v>
      </c>
      <c r="Y85" s="318">
        <f t="shared" si="56"/>
        <v>0</v>
      </c>
      <c r="Z85" s="318">
        <f t="shared" si="57"/>
        <v>0</v>
      </c>
      <c r="AA85" s="318">
        <f t="shared" si="58"/>
        <v>0</v>
      </c>
      <c r="AB85" s="318">
        <f t="shared" si="59"/>
        <v>0</v>
      </c>
      <c r="AC85" s="318">
        <f t="shared" si="60"/>
        <v>0</v>
      </c>
      <c r="AD85" s="318">
        <f t="shared" si="61"/>
        <v>0</v>
      </c>
      <c r="AE85" s="318">
        <f t="shared" si="62"/>
        <v>0</v>
      </c>
      <c r="AF85" s="318">
        <f t="shared" si="87"/>
        <v>0</v>
      </c>
      <c r="AG85" s="318">
        <f t="shared" si="88"/>
        <v>0</v>
      </c>
      <c r="AH85" s="318">
        <f t="shared" si="63"/>
        <v>0</v>
      </c>
      <c r="AI85" s="318">
        <f t="shared" si="64"/>
        <v>0</v>
      </c>
      <c r="AJ85" s="318">
        <f t="shared" si="65"/>
        <v>0</v>
      </c>
      <c r="AK85" s="318">
        <f t="shared" si="66"/>
        <v>0</v>
      </c>
      <c r="AL85" s="318">
        <f t="shared" si="67"/>
        <v>0</v>
      </c>
      <c r="AM85" s="318">
        <f t="shared" si="68"/>
        <v>0</v>
      </c>
      <c r="AN85" s="318">
        <f t="shared" si="69"/>
        <v>0</v>
      </c>
      <c r="AO85" s="318">
        <f t="shared" si="70"/>
        <v>0</v>
      </c>
      <c r="AP85" s="318">
        <f t="shared" si="71"/>
        <v>0</v>
      </c>
      <c r="AQ85" s="318">
        <f t="shared" si="72"/>
        <v>0</v>
      </c>
      <c r="AR85" s="318">
        <f t="shared" si="73"/>
        <v>0</v>
      </c>
      <c r="AS85" s="318">
        <f t="shared" si="74"/>
        <v>0</v>
      </c>
      <c r="AT85" s="318">
        <f t="shared" si="75"/>
        <v>0</v>
      </c>
      <c r="AU85" s="318">
        <f t="shared" si="76"/>
        <v>0</v>
      </c>
      <c r="AV85" s="318">
        <f t="shared" si="77"/>
        <v>0</v>
      </c>
      <c r="AW85" s="318">
        <f t="shared" si="78"/>
        <v>0</v>
      </c>
      <c r="AX85" s="318">
        <f t="shared" si="79"/>
        <v>0</v>
      </c>
      <c r="AY85" s="318">
        <f t="shared" si="80"/>
        <v>0</v>
      </c>
      <c r="AZ85" s="318">
        <f t="shared" si="81"/>
        <v>0</v>
      </c>
      <c r="BA85" s="318">
        <f t="shared" si="82"/>
        <v>0</v>
      </c>
    </row>
    <row r="86" spans="1:53" s="315" customFormat="1" ht="16.5" customHeight="1">
      <c r="A86" s="63" t="str">
        <f t="array" ref="A86">IF(C86&lt;&gt;0,SUM(($C$11:C86&lt;&gt;0)*1),"")</f>
        <v/>
      </c>
      <c r="B86" s="316"/>
      <c r="C86" s="316"/>
      <c r="D86" s="316"/>
      <c r="E86" s="436"/>
      <c r="F86" s="372"/>
      <c r="G86" s="374"/>
      <c r="H86" s="374"/>
      <c r="I86" s="63" t="str">
        <f t="shared" si="0"/>
        <v/>
      </c>
      <c r="J86" s="318">
        <f t="shared" si="45"/>
        <v>0</v>
      </c>
      <c r="K86" s="318">
        <f t="shared" si="46"/>
        <v>0</v>
      </c>
      <c r="L86" s="318">
        <f t="shared" si="47"/>
        <v>0</v>
      </c>
      <c r="M86" s="318">
        <f t="shared" si="48"/>
        <v>0</v>
      </c>
      <c r="N86" s="318">
        <f t="shared" si="83"/>
        <v>0</v>
      </c>
      <c r="O86" s="318">
        <f t="shared" si="84"/>
        <v>0</v>
      </c>
      <c r="P86" s="318">
        <f t="shared" si="49"/>
        <v>0</v>
      </c>
      <c r="Q86" s="318">
        <f t="shared" si="50"/>
        <v>0</v>
      </c>
      <c r="R86" s="318">
        <f t="shared" si="51"/>
        <v>0</v>
      </c>
      <c r="S86" s="318">
        <f t="shared" si="52"/>
        <v>0</v>
      </c>
      <c r="T86" s="318">
        <f t="shared" si="85"/>
        <v>0</v>
      </c>
      <c r="U86" s="318">
        <f t="shared" si="86"/>
        <v>0</v>
      </c>
      <c r="V86" s="318">
        <f t="shared" si="53"/>
        <v>0</v>
      </c>
      <c r="W86" s="318">
        <f t="shared" si="54"/>
        <v>0</v>
      </c>
      <c r="X86" s="318">
        <f t="shared" si="55"/>
        <v>0</v>
      </c>
      <c r="Y86" s="318">
        <f t="shared" si="56"/>
        <v>0</v>
      </c>
      <c r="Z86" s="318">
        <f t="shared" si="57"/>
        <v>0</v>
      </c>
      <c r="AA86" s="318">
        <f t="shared" si="58"/>
        <v>0</v>
      </c>
      <c r="AB86" s="318">
        <f t="shared" si="59"/>
        <v>0</v>
      </c>
      <c r="AC86" s="318">
        <f t="shared" si="60"/>
        <v>0</v>
      </c>
      <c r="AD86" s="318">
        <f t="shared" si="61"/>
        <v>0</v>
      </c>
      <c r="AE86" s="318">
        <f t="shared" si="62"/>
        <v>0</v>
      </c>
      <c r="AF86" s="318">
        <f t="shared" si="87"/>
        <v>0</v>
      </c>
      <c r="AG86" s="318">
        <f t="shared" si="88"/>
        <v>0</v>
      </c>
      <c r="AH86" s="318">
        <f t="shared" si="63"/>
        <v>0</v>
      </c>
      <c r="AI86" s="318">
        <f t="shared" si="64"/>
        <v>0</v>
      </c>
      <c r="AJ86" s="318">
        <f t="shared" si="65"/>
        <v>0</v>
      </c>
      <c r="AK86" s="318">
        <f t="shared" si="66"/>
        <v>0</v>
      </c>
      <c r="AL86" s="318">
        <f t="shared" si="67"/>
        <v>0</v>
      </c>
      <c r="AM86" s="318">
        <f t="shared" si="68"/>
        <v>0</v>
      </c>
      <c r="AN86" s="318">
        <f t="shared" si="69"/>
        <v>0</v>
      </c>
      <c r="AO86" s="318">
        <f t="shared" si="70"/>
        <v>0</v>
      </c>
      <c r="AP86" s="318">
        <f t="shared" si="71"/>
        <v>0</v>
      </c>
      <c r="AQ86" s="318">
        <f t="shared" si="72"/>
        <v>0</v>
      </c>
      <c r="AR86" s="318">
        <f t="shared" si="73"/>
        <v>0</v>
      </c>
      <c r="AS86" s="318">
        <f t="shared" si="74"/>
        <v>0</v>
      </c>
      <c r="AT86" s="318">
        <f t="shared" si="75"/>
        <v>0</v>
      </c>
      <c r="AU86" s="318">
        <f t="shared" si="76"/>
        <v>0</v>
      </c>
      <c r="AV86" s="318">
        <f t="shared" si="77"/>
        <v>0</v>
      </c>
      <c r="AW86" s="318">
        <f t="shared" si="78"/>
        <v>0</v>
      </c>
      <c r="AX86" s="318">
        <f t="shared" si="79"/>
        <v>0</v>
      </c>
      <c r="AY86" s="318">
        <f t="shared" si="80"/>
        <v>0</v>
      </c>
      <c r="AZ86" s="318">
        <f t="shared" si="81"/>
        <v>0</v>
      </c>
      <c r="BA86" s="318">
        <f t="shared" si="82"/>
        <v>0</v>
      </c>
    </row>
    <row r="87" spans="1:53" s="315" customFormat="1" ht="16.5" customHeight="1">
      <c r="A87" s="63" t="str">
        <f t="array" ref="A87">IF(C87&lt;&gt;0,SUM(($C$11:C87&lt;&gt;0)*1),"")</f>
        <v/>
      </c>
      <c r="B87" s="316"/>
      <c r="C87" s="316"/>
      <c r="D87" s="316"/>
      <c r="E87" s="436"/>
      <c r="F87" s="372"/>
      <c r="G87" s="374"/>
      <c r="H87" s="374"/>
      <c r="I87" s="63" t="str">
        <f t="shared" si="0"/>
        <v/>
      </c>
      <c r="J87" s="318">
        <f t="shared" si="45"/>
        <v>0</v>
      </c>
      <c r="K87" s="318">
        <f t="shared" si="46"/>
        <v>0</v>
      </c>
      <c r="L87" s="318">
        <f t="shared" si="47"/>
        <v>0</v>
      </c>
      <c r="M87" s="318">
        <f t="shared" si="48"/>
        <v>0</v>
      </c>
      <c r="N87" s="318">
        <f t="shared" si="83"/>
        <v>0</v>
      </c>
      <c r="O87" s="318">
        <f t="shared" si="84"/>
        <v>0</v>
      </c>
      <c r="P87" s="318">
        <f t="shared" si="49"/>
        <v>0</v>
      </c>
      <c r="Q87" s="318">
        <f t="shared" si="50"/>
        <v>0</v>
      </c>
      <c r="R87" s="318">
        <f t="shared" si="51"/>
        <v>0</v>
      </c>
      <c r="S87" s="318">
        <f t="shared" si="52"/>
        <v>0</v>
      </c>
      <c r="T87" s="318">
        <f t="shared" si="85"/>
        <v>0</v>
      </c>
      <c r="U87" s="318">
        <f t="shared" si="86"/>
        <v>0</v>
      </c>
      <c r="V87" s="318">
        <f t="shared" si="53"/>
        <v>0</v>
      </c>
      <c r="W87" s="318">
        <f t="shared" si="54"/>
        <v>0</v>
      </c>
      <c r="X87" s="318">
        <f t="shared" si="55"/>
        <v>0</v>
      </c>
      <c r="Y87" s="318">
        <f t="shared" si="56"/>
        <v>0</v>
      </c>
      <c r="Z87" s="318">
        <f t="shared" si="57"/>
        <v>0</v>
      </c>
      <c r="AA87" s="318">
        <f t="shared" si="58"/>
        <v>0</v>
      </c>
      <c r="AB87" s="318">
        <f t="shared" si="59"/>
        <v>0</v>
      </c>
      <c r="AC87" s="318">
        <f t="shared" si="60"/>
        <v>0</v>
      </c>
      <c r="AD87" s="318">
        <f t="shared" si="61"/>
        <v>0</v>
      </c>
      <c r="AE87" s="318">
        <f t="shared" si="62"/>
        <v>0</v>
      </c>
      <c r="AF87" s="318">
        <f t="shared" si="87"/>
        <v>0</v>
      </c>
      <c r="AG87" s="318">
        <f t="shared" si="88"/>
        <v>0</v>
      </c>
      <c r="AH87" s="318">
        <f t="shared" si="63"/>
        <v>0</v>
      </c>
      <c r="AI87" s="318">
        <f t="shared" si="64"/>
        <v>0</v>
      </c>
      <c r="AJ87" s="318">
        <f t="shared" si="65"/>
        <v>0</v>
      </c>
      <c r="AK87" s="318">
        <f t="shared" si="66"/>
        <v>0</v>
      </c>
      <c r="AL87" s="318">
        <f t="shared" si="67"/>
        <v>0</v>
      </c>
      <c r="AM87" s="318">
        <f t="shared" si="68"/>
        <v>0</v>
      </c>
      <c r="AN87" s="318">
        <f t="shared" si="69"/>
        <v>0</v>
      </c>
      <c r="AO87" s="318">
        <f t="shared" si="70"/>
        <v>0</v>
      </c>
      <c r="AP87" s="318">
        <f t="shared" si="71"/>
        <v>0</v>
      </c>
      <c r="AQ87" s="318">
        <f t="shared" si="72"/>
        <v>0</v>
      </c>
      <c r="AR87" s="318">
        <f t="shared" si="73"/>
        <v>0</v>
      </c>
      <c r="AS87" s="318">
        <f t="shared" si="74"/>
        <v>0</v>
      </c>
      <c r="AT87" s="318">
        <f t="shared" si="75"/>
        <v>0</v>
      </c>
      <c r="AU87" s="318">
        <f t="shared" si="76"/>
        <v>0</v>
      </c>
      <c r="AV87" s="318">
        <f t="shared" si="77"/>
        <v>0</v>
      </c>
      <c r="AW87" s="318">
        <f t="shared" si="78"/>
        <v>0</v>
      </c>
      <c r="AX87" s="318">
        <f t="shared" si="79"/>
        <v>0</v>
      </c>
      <c r="AY87" s="318">
        <f t="shared" si="80"/>
        <v>0</v>
      </c>
      <c r="AZ87" s="318">
        <f t="shared" si="81"/>
        <v>0</v>
      </c>
      <c r="BA87" s="318">
        <f t="shared" si="82"/>
        <v>0</v>
      </c>
    </row>
    <row r="88" spans="1:53" s="315" customFormat="1" ht="16.5" customHeight="1">
      <c r="A88" s="63" t="str">
        <f t="array" ref="A88">IF(C88&lt;&gt;0,SUM(($C$11:C88&lt;&gt;0)*1),"")</f>
        <v/>
      </c>
      <c r="B88" s="316"/>
      <c r="C88" s="316"/>
      <c r="D88" s="316"/>
      <c r="E88" s="436"/>
      <c r="F88" s="372"/>
      <c r="G88" s="374"/>
      <c r="H88" s="374"/>
      <c r="I88" s="63" t="str">
        <f t="shared" si="0"/>
        <v/>
      </c>
      <c r="J88" s="318">
        <f t="shared" si="45"/>
        <v>0</v>
      </c>
      <c r="K88" s="318">
        <f t="shared" si="46"/>
        <v>0</v>
      </c>
      <c r="L88" s="318">
        <f t="shared" si="47"/>
        <v>0</v>
      </c>
      <c r="M88" s="318">
        <f t="shared" si="48"/>
        <v>0</v>
      </c>
      <c r="N88" s="318">
        <f t="shared" si="83"/>
        <v>0</v>
      </c>
      <c r="O88" s="318">
        <f t="shared" si="84"/>
        <v>0</v>
      </c>
      <c r="P88" s="318">
        <f t="shared" si="49"/>
        <v>0</v>
      </c>
      <c r="Q88" s="318">
        <f t="shared" si="50"/>
        <v>0</v>
      </c>
      <c r="R88" s="318">
        <f t="shared" si="51"/>
        <v>0</v>
      </c>
      <c r="S88" s="318">
        <f t="shared" si="52"/>
        <v>0</v>
      </c>
      <c r="T88" s="318">
        <f t="shared" si="85"/>
        <v>0</v>
      </c>
      <c r="U88" s="318">
        <f t="shared" si="86"/>
        <v>0</v>
      </c>
      <c r="V88" s="318">
        <f t="shared" si="53"/>
        <v>0</v>
      </c>
      <c r="W88" s="318">
        <f t="shared" si="54"/>
        <v>0</v>
      </c>
      <c r="X88" s="318">
        <f t="shared" si="55"/>
        <v>0</v>
      </c>
      <c r="Y88" s="318">
        <f t="shared" si="56"/>
        <v>0</v>
      </c>
      <c r="Z88" s="318">
        <f t="shared" si="57"/>
        <v>0</v>
      </c>
      <c r="AA88" s="318">
        <f t="shared" si="58"/>
        <v>0</v>
      </c>
      <c r="AB88" s="318">
        <f t="shared" si="59"/>
        <v>0</v>
      </c>
      <c r="AC88" s="318">
        <f t="shared" si="60"/>
        <v>0</v>
      </c>
      <c r="AD88" s="318">
        <f t="shared" si="61"/>
        <v>0</v>
      </c>
      <c r="AE88" s="318">
        <f t="shared" si="62"/>
        <v>0</v>
      </c>
      <c r="AF88" s="318">
        <f t="shared" si="87"/>
        <v>0</v>
      </c>
      <c r="AG88" s="318">
        <f t="shared" si="88"/>
        <v>0</v>
      </c>
      <c r="AH88" s="318">
        <f t="shared" si="63"/>
        <v>0</v>
      </c>
      <c r="AI88" s="318">
        <f t="shared" si="64"/>
        <v>0</v>
      </c>
      <c r="AJ88" s="318">
        <f t="shared" si="65"/>
        <v>0</v>
      </c>
      <c r="AK88" s="318">
        <f t="shared" si="66"/>
        <v>0</v>
      </c>
      <c r="AL88" s="318">
        <f t="shared" si="67"/>
        <v>0</v>
      </c>
      <c r="AM88" s="318">
        <f t="shared" si="68"/>
        <v>0</v>
      </c>
      <c r="AN88" s="318">
        <f t="shared" si="69"/>
        <v>0</v>
      </c>
      <c r="AO88" s="318">
        <f t="shared" si="70"/>
        <v>0</v>
      </c>
      <c r="AP88" s="318">
        <f t="shared" si="71"/>
        <v>0</v>
      </c>
      <c r="AQ88" s="318">
        <f t="shared" si="72"/>
        <v>0</v>
      </c>
      <c r="AR88" s="318">
        <f t="shared" si="73"/>
        <v>0</v>
      </c>
      <c r="AS88" s="318">
        <f t="shared" si="74"/>
        <v>0</v>
      </c>
      <c r="AT88" s="318">
        <f t="shared" si="75"/>
        <v>0</v>
      </c>
      <c r="AU88" s="318">
        <f t="shared" si="76"/>
        <v>0</v>
      </c>
      <c r="AV88" s="318">
        <f t="shared" si="77"/>
        <v>0</v>
      </c>
      <c r="AW88" s="318">
        <f t="shared" si="78"/>
        <v>0</v>
      </c>
      <c r="AX88" s="318">
        <f t="shared" si="79"/>
        <v>0</v>
      </c>
      <c r="AY88" s="318">
        <f t="shared" si="80"/>
        <v>0</v>
      </c>
      <c r="AZ88" s="318">
        <f t="shared" si="81"/>
        <v>0</v>
      </c>
      <c r="BA88" s="318">
        <f t="shared" si="82"/>
        <v>0</v>
      </c>
    </row>
    <row r="89" spans="1:53" s="315" customFormat="1" ht="16.5" customHeight="1">
      <c r="A89" s="63" t="str">
        <f t="array" ref="A89">IF(C89&lt;&gt;0,SUM(($C$11:C89&lt;&gt;0)*1),"")</f>
        <v/>
      </c>
      <c r="B89" s="316"/>
      <c r="C89" s="316"/>
      <c r="D89" s="316"/>
      <c r="E89" s="436"/>
      <c r="F89" s="372"/>
      <c r="G89" s="374"/>
      <c r="H89" s="374"/>
      <c r="I89" s="63" t="str">
        <f t="shared" si="0"/>
        <v/>
      </c>
      <c r="J89" s="318">
        <f t="shared" si="45"/>
        <v>0</v>
      </c>
      <c r="K89" s="318">
        <f t="shared" si="46"/>
        <v>0</v>
      </c>
      <c r="L89" s="318">
        <f t="shared" si="47"/>
        <v>0</v>
      </c>
      <c r="M89" s="318">
        <f t="shared" si="48"/>
        <v>0</v>
      </c>
      <c r="N89" s="318">
        <f t="shared" si="83"/>
        <v>0</v>
      </c>
      <c r="O89" s="318">
        <f t="shared" si="84"/>
        <v>0</v>
      </c>
      <c r="P89" s="318">
        <f t="shared" si="49"/>
        <v>0</v>
      </c>
      <c r="Q89" s="318">
        <f t="shared" si="50"/>
        <v>0</v>
      </c>
      <c r="R89" s="318">
        <f t="shared" si="51"/>
        <v>0</v>
      </c>
      <c r="S89" s="318">
        <f t="shared" si="52"/>
        <v>0</v>
      </c>
      <c r="T89" s="318">
        <f t="shared" si="85"/>
        <v>0</v>
      </c>
      <c r="U89" s="318">
        <f t="shared" si="86"/>
        <v>0</v>
      </c>
      <c r="V89" s="318">
        <f t="shared" si="53"/>
        <v>0</v>
      </c>
      <c r="W89" s="318">
        <f t="shared" si="54"/>
        <v>0</v>
      </c>
      <c r="X89" s="318">
        <f t="shared" si="55"/>
        <v>0</v>
      </c>
      <c r="Y89" s="318">
        <f t="shared" si="56"/>
        <v>0</v>
      </c>
      <c r="Z89" s="318">
        <f t="shared" si="57"/>
        <v>0</v>
      </c>
      <c r="AA89" s="318">
        <f t="shared" si="58"/>
        <v>0</v>
      </c>
      <c r="AB89" s="318">
        <f t="shared" si="59"/>
        <v>0</v>
      </c>
      <c r="AC89" s="318">
        <f t="shared" si="60"/>
        <v>0</v>
      </c>
      <c r="AD89" s="318">
        <f t="shared" si="61"/>
        <v>0</v>
      </c>
      <c r="AE89" s="318">
        <f t="shared" si="62"/>
        <v>0</v>
      </c>
      <c r="AF89" s="318">
        <f t="shared" si="87"/>
        <v>0</v>
      </c>
      <c r="AG89" s="318">
        <f t="shared" si="88"/>
        <v>0</v>
      </c>
      <c r="AH89" s="318">
        <f t="shared" si="63"/>
        <v>0</v>
      </c>
      <c r="AI89" s="318">
        <f t="shared" si="64"/>
        <v>0</v>
      </c>
      <c r="AJ89" s="318">
        <f t="shared" si="65"/>
        <v>0</v>
      </c>
      <c r="AK89" s="318">
        <f t="shared" si="66"/>
        <v>0</v>
      </c>
      <c r="AL89" s="318">
        <f t="shared" si="67"/>
        <v>0</v>
      </c>
      <c r="AM89" s="318">
        <f t="shared" si="68"/>
        <v>0</v>
      </c>
      <c r="AN89" s="318">
        <f t="shared" si="69"/>
        <v>0</v>
      </c>
      <c r="AO89" s="318">
        <f t="shared" si="70"/>
        <v>0</v>
      </c>
      <c r="AP89" s="318">
        <f t="shared" si="71"/>
        <v>0</v>
      </c>
      <c r="AQ89" s="318">
        <f t="shared" si="72"/>
        <v>0</v>
      </c>
      <c r="AR89" s="318">
        <f t="shared" si="73"/>
        <v>0</v>
      </c>
      <c r="AS89" s="318">
        <f t="shared" si="74"/>
        <v>0</v>
      </c>
      <c r="AT89" s="318">
        <f t="shared" si="75"/>
        <v>0</v>
      </c>
      <c r="AU89" s="318">
        <f t="shared" si="76"/>
        <v>0</v>
      </c>
      <c r="AV89" s="318">
        <f t="shared" si="77"/>
        <v>0</v>
      </c>
      <c r="AW89" s="318">
        <f t="shared" si="78"/>
        <v>0</v>
      </c>
      <c r="AX89" s="318">
        <f t="shared" si="79"/>
        <v>0</v>
      </c>
      <c r="AY89" s="318">
        <f t="shared" si="80"/>
        <v>0</v>
      </c>
      <c r="AZ89" s="318">
        <f t="shared" si="81"/>
        <v>0</v>
      </c>
      <c r="BA89" s="318">
        <f t="shared" si="82"/>
        <v>0</v>
      </c>
    </row>
    <row r="90" spans="1:53" s="315" customFormat="1" ht="16.5" customHeight="1">
      <c r="A90" s="63" t="str">
        <f t="array" ref="A90">IF(C90&lt;&gt;0,SUM(($C$11:C90&lt;&gt;0)*1),"")</f>
        <v/>
      </c>
      <c r="B90" s="316"/>
      <c r="C90" s="316"/>
      <c r="D90" s="316"/>
      <c r="E90" s="436"/>
      <c r="F90" s="372"/>
      <c r="G90" s="374"/>
      <c r="H90" s="374"/>
      <c r="I90" s="63" t="str">
        <f>A90</f>
        <v/>
      </c>
      <c r="J90" s="318">
        <f t="shared" si="45"/>
        <v>0</v>
      </c>
      <c r="K90" s="318">
        <f t="shared" si="46"/>
        <v>0</v>
      </c>
      <c r="L90" s="318">
        <f t="shared" si="47"/>
        <v>0</v>
      </c>
      <c r="M90" s="318">
        <f t="shared" si="48"/>
        <v>0</v>
      </c>
      <c r="N90" s="318">
        <f t="shared" si="83"/>
        <v>0</v>
      </c>
      <c r="O90" s="318">
        <f t="shared" si="84"/>
        <v>0</v>
      </c>
      <c r="P90" s="318">
        <f t="shared" si="49"/>
        <v>0</v>
      </c>
      <c r="Q90" s="318">
        <f t="shared" si="50"/>
        <v>0</v>
      </c>
      <c r="R90" s="318">
        <f t="shared" si="51"/>
        <v>0</v>
      </c>
      <c r="S90" s="318">
        <f t="shared" si="52"/>
        <v>0</v>
      </c>
      <c r="T90" s="318">
        <f t="shared" si="85"/>
        <v>0</v>
      </c>
      <c r="U90" s="318">
        <f t="shared" si="86"/>
        <v>0</v>
      </c>
      <c r="V90" s="318">
        <f t="shared" si="53"/>
        <v>0</v>
      </c>
      <c r="W90" s="318">
        <f t="shared" si="54"/>
        <v>0</v>
      </c>
      <c r="X90" s="318">
        <f t="shared" si="55"/>
        <v>0</v>
      </c>
      <c r="Y90" s="318">
        <f t="shared" si="56"/>
        <v>0</v>
      </c>
      <c r="Z90" s="318">
        <f t="shared" si="57"/>
        <v>0</v>
      </c>
      <c r="AA90" s="318">
        <f t="shared" si="58"/>
        <v>0</v>
      </c>
      <c r="AB90" s="318">
        <f t="shared" si="59"/>
        <v>0</v>
      </c>
      <c r="AC90" s="318">
        <f t="shared" si="60"/>
        <v>0</v>
      </c>
      <c r="AD90" s="318">
        <f t="shared" si="61"/>
        <v>0</v>
      </c>
      <c r="AE90" s="318">
        <f t="shared" si="62"/>
        <v>0</v>
      </c>
      <c r="AF90" s="318">
        <f t="shared" si="87"/>
        <v>0</v>
      </c>
      <c r="AG90" s="318">
        <f t="shared" si="88"/>
        <v>0</v>
      </c>
      <c r="AH90" s="318">
        <f t="shared" si="63"/>
        <v>0</v>
      </c>
      <c r="AI90" s="318">
        <f t="shared" si="64"/>
        <v>0</v>
      </c>
      <c r="AJ90" s="318">
        <f t="shared" si="65"/>
        <v>0</v>
      </c>
      <c r="AK90" s="318">
        <f t="shared" si="66"/>
        <v>0</v>
      </c>
      <c r="AL90" s="318">
        <f t="shared" si="67"/>
        <v>0</v>
      </c>
      <c r="AM90" s="318">
        <f t="shared" si="68"/>
        <v>0</v>
      </c>
      <c r="AN90" s="318">
        <f t="shared" si="69"/>
        <v>0</v>
      </c>
      <c r="AO90" s="318">
        <f t="shared" si="70"/>
        <v>0</v>
      </c>
      <c r="AP90" s="318">
        <f t="shared" si="71"/>
        <v>0</v>
      </c>
      <c r="AQ90" s="318">
        <f t="shared" si="72"/>
        <v>0</v>
      </c>
      <c r="AR90" s="318">
        <f t="shared" si="73"/>
        <v>0</v>
      </c>
      <c r="AS90" s="318">
        <f t="shared" si="74"/>
        <v>0</v>
      </c>
      <c r="AT90" s="318">
        <f t="shared" si="75"/>
        <v>0</v>
      </c>
      <c r="AU90" s="318">
        <f t="shared" si="76"/>
        <v>0</v>
      </c>
      <c r="AV90" s="318">
        <f t="shared" si="77"/>
        <v>0</v>
      </c>
      <c r="AW90" s="318">
        <f t="shared" si="78"/>
        <v>0</v>
      </c>
      <c r="AX90" s="318">
        <f t="shared" si="79"/>
        <v>0</v>
      </c>
      <c r="AY90" s="318">
        <f t="shared" si="80"/>
        <v>0</v>
      </c>
      <c r="AZ90" s="318">
        <f t="shared" si="81"/>
        <v>0</v>
      </c>
      <c r="BA90" s="318">
        <f t="shared" si="82"/>
        <v>0</v>
      </c>
    </row>
    <row r="91" spans="1:53" s="315" customFormat="1" ht="16.5" customHeight="1">
      <c r="A91" s="63" t="str">
        <f t="array" ref="A91">IF(C91&lt;&gt;0,SUM(($C$11:C91&lt;&gt;0)*1),"")</f>
        <v/>
      </c>
      <c r="B91" s="316"/>
      <c r="C91" s="316"/>
      <c r="D91" s="316"/>
      <c r="E91" s="436"/>
      <c r="F91" s="372"/>
      <c r="G91" s="374"/>
      <c r="H91" s="374"/>
      <c r="I91" s="63" t="str">
        <f>A91</f>
        <v/>
      </c>
      <c r="J91" s="318">
        <f t="shared" si="45"/>
        <v>0</v>
      </c>
      <c r="K91" s="318">
        <f t="shared" si="46"/>
        <v>0</v>
      </c>
      <c r="L91" s="318">
        <f t="shared" si="47"/>
        <v>0</v>
      </c>
      <c r="M91" s="318">
        <f t="shared" si="48"/>
        <v>0</v>
      </c>
      <c r="N91" s="318">
        <f t="shared" si="83"/>
        <v>0</v>
      </c>
      <c r="O91" s="318">
        <f t="shared" si="84"/>
        <v>0</v>
      </c>
      <c r="P91" s="318">
        <f t="shared" si="49"/>
        <v>0</v>
      </c>
      <c r="Q91" s="318">
        <f t="shared" si="50"/>
        <v>0</v>
      </c>
      <c r="R91" s="318">
        <f t="shared" si="51"/>
        <v>0</v>
      </c>
      <c r="S91" s="318">
        <f t="shared" si="52"/>
        <v>0</v>
      </c>
      <c r="T91" s="318">
        <f t="shared" si="85"/>
        <v>0</v>
      </c>
      <c r="U91" s="318">
        <f t="shared" si="86"/>
        <v>0</v>
      </c>
      <c r="V91" s="318">
        <f t="shared" si="53"/>
        <v>0</v>
      </c>
      <c r="W91" s="318">
        <f t="shared" si="54"/>
        <v>0</v>
      </c>
      <c r="X91" s="318">
        <f t="shared" si="55"/>
        <v>0</v>
      </c>
      <c r="Y91" s="318">
        <f t="shared" si="56"/>
        <v>0</v>
      </c>
      <c r="Z91" s="318">
        <f t="shared" si="57"/>
        <v>0</v>
      </c>
      <c r="AA91" s="318">
        <f t="shared" si="58"/>
        <v>0</v>
      </c>
      <c r="AB91" s="318">
        <f t="shared" si="59"/>
        <v>0</v>
      </c>
      <c r="AC91" s="318">
        <f t="shared" si="60"/>
        <v>0</v>
      </c>
      <c r="AD91" s="318">
        <f t="shared" si="61"/>
        <v>0</v>
      </c>
      <c r="AE91" s="318">
        <f t="shared" si="62"/>
        <v>0</v>
      </c>
      <c r="AF91" s="318">
        <f t="shared" si="87"/>
        <v>0</v>
      </c>
      <c r="AG91" s="318">
        <f t="shared" si="88"/>
        <v>0</v>
      </c>
      <c r="AH91" s="318">
        <f t="shared" si="63"/>
        <v>0</v>
      </c>
      <c r="AI91" s="318">
        <f t="shared" si="64"/>
        <v>0</v>
      </c>
      <c r="AJ91" s="318">
        <f t="shared" si="65"/>
        <v>0</v>
      </c>
      <c r="AK91" s="318">
        <f t="shared" si="66"/>
        <v>0</v>
      </c>
      <c r="AL91" s="318">
        <f t="shared" si="67"/>
        <v>0</v>
      </c>
      <c r="AM91" s="318">
        <f t="shared" si="68"/>
        <v>0</v>
      </c>
      <c r="AN91" s="318">
        <f t="shared" si="69"/>
        <v>0</v>
      </c>
      <c r="AO91" s="318">
        <f t="shared" si="70"/>
        <v>0</v>
      </c>
      <c r="AP91" s="318">
        <f t="shared" si="71"/>
        <v>0</v>
      </c>
      <c r="AQ91" s="318">
        <f t="shared" si="72"/>
        <v>0</v>
      </c>
      <c r="AR91" s="318">
        <f t="shared" si="73"/>
        <v>0</v>
      </c>
      <c r="AS91" s="318">
        <f t="shared" si="74"/>
        <v>0</v>
      </c>
      <c r="AT91" s="318">
        <f t="shared" si="75"/>
        <v>0</v>
      </c>
      <c r="AU91" s="318">
        <f t="shared" si="76"/>
        <v>0</v>
      </c>
      <c r="AV91" s="318">
        <f t="shared" si="77"/>
        <v>0</v>
      </c>
      <c r="AW91" s="318">
        <f t="shared" si="78"/>
        <v>0</v>
      </c>
      <c r="AX91" s="318">
        <f t="shared" si="79"/>
        <v>0</v>
      </c>
      <c r="AY91" s="318">
        <f t="shared" si="80"/>
        <v>0</v>
      </c>
      <c r="AZ91" s="318">
        <f t="shared" si="81"/>
        <v>0</v>
      </c>
      <c r="BA91" s="318">
        <f t="shared" si="82"/>
        <v>0</v>
      </c>
    </row>
    <row r="92" spans="1:53" s="315" customFormat="1" ht="16.5" customHeight="1">
      <c r="A92" s="63" t="str">
        <f t="array" ref="A92">IF(C92&lt;&gt;0,SUM(($C$11:C92&lt;&gt;0)*1),"")</f>
        <v/>
      </c>
      <c r="B92" s="316"/>
      <c r="C92" s="316"/>
      <c r="D92" s="316"/>
      <c r="E92" s="436"/>
      <c r="F92" s="372"/>
      <c r="G92" s="374"/>
      <c r="H92" s="374"/>
      <c r="I92" s="63" t="str">
        <f>A92</f>
        <v/>
      </c>
      <c r="J92" s="318">
        <f t="shared" si="45"/>
        <v>0</v>
      </c>
      <c r="K92" s="318">
        <f t="shared" si="46"/>
        <v>0</v>
      </c>
      <c r="L92" s="318">
        <f t="shared" si="47"/>
        <v>0</v>
      </c>
      <c r="M92" s="318">
        <f t="shared" si="48"/>
        <v>0</v>
      </c>
      <c r="N92" s="318">
        <f t="shared" si="83"/>
        <v>0</v>
      </c>
      <c r="O92" s="318">
        <f t="shared" si="84"/>
        <v>0</v>
      </c>
      <c r="P92" s="318">
        <f t="shared" si="49"/>
        <v>0</v>
      </c>
      <c r="Q92" s="318">
        <f t="shared" si="50"/>
        <v>0</v>
      </c>
      <c r="R92" s="318">
        <f t="shared" si="51"/>
        <v>0</v>
      </c>
      <c r="S92" s="318">
        <f t="shared" si="52"/>
        <v>0</v>
      </c>
      <c r="T92" s="318">
        <f t="shared" si="85"/>
        <v>0</v>
      </c>
      <c r="U92" s="318">
        <f t="shared" si="86"/>
        <v>0</v>
      </c>
      <c r="V92" s="318">
        <f t="shared" si="53"/>
        <v>0</v>
      </c>
      <c r="W92" s="318">
        <f t="shared" si="54"/>
        <v>0</v>
      </c>
      <c r="X92" s="318">
        <f t="shared" si="55"/>
        <v>0</v>
      </c>
      <c r="Y92" s="318">
        <f t="shared" si="56"/>
        <v>0</v>
      </c>
      <c r="Z92" s="318">
        <f t="shared" si="57"/>
        <v>0</v>
      </c>
      <c r="AA92" s="318">
        <f t="shared" si="58"/>
        <v>0</v>
      </c>
      <c r="AB92" s="318">
        <f t="shared" si="59"/>
        <v>0</v>
      </c>
      <c r="AC92" s="318">
        <f t="shared" si="60"/>
        <v>0</v>
      </c>
      <c r="AD92" s="318">
        <f t="shared" si="61"/>
        <v>0</v>
      </c>
      <c r="AE92" s="318">
        <f t="shared" si="62"/>
        <v>0</v>
      </c>
      <c r="AF92" s="318">
        <f t="shared" si="87"/>
        <v>0</v>
      </c>
      <c r="AG92" s="318">
        <f t="shared" si="88"/>
        <v>0</v>
      </c>
      <c r="AH92" s="318">
        <f t="shared" si="63"/>
        <v>0</v>
      </c>
      <c r="AI92" s="318">
        <f t="shared" si="64"/>
        <v>0</v>
      </c>
      <c r="AJ92" s="318">
        <f t="shared" si="65"/>
        <v>0</v>
      </c>
      <c r="AK92" s="318">
        <f t="shared" si="66"/>
        <v>0</v>
      </c>
      <c r="AL92" s="318">
        <f t="shared" si="67"/>
        <v>0</v>
      </c>
      <c r="AM92" s="318">
        <f t="shared" si="68"/>
        <v>0</v>
      </c>
      <c r="AN92" s="318">
        <f t="shared" si="69"/>
        <v>0</v>
      </c>
      <c r="AO92" s="318">
        <f t="shared" si="70"/>
        <v>0</v>
      </c>
      <c r="AP92" s="318">
        <f t="shared" si="71"/>
        <v>0</v>
      </c>
      <c r="AQ92" s="318">
        <f t="shared" si="72"/>
        <v>0</v>
      </c>
      <c r="AR92" s="318">
        <f t="shared" si="73"/>
        <v>0</v>
      </c>
      <c r="AS92" s="318">
        <f t="shared" si="74"/>
        <v>0</v>
      </c>
      <c r="AT92" s="318">
        <f t="shared" si="75"/>
        <v>0</v>
      </c>
      <c r="AU92" s="318">
        <f t="shared" si="76"/>
        <v>0</v>
      </c>
      <c r="AV92" s="318">
        <f t="shared" si="77"/>
        <v>0</v>
      </c>
      <c r="AW92" s="318">
        <f t="shared" si="78"/>
        <v>0</v>
      </c>
      <c r="AX92" s="318">
        <f t="shared" si="79"/>
        <v>0</v>
      </c>
      <c r="AY92" s="318">
        <f t="shared" si="80"/>
        <v>0</v>
      </c>
      <c r="AZ92" s="318">
        <f t="shared" si="81"/>
        <v>0</v>
      </c>
      <c r="BA92" s="318">
        <f t="shared" si="82"/>
        <v>0</v>
      </c>
    </row>
    <row r="93" spans="1:53" s="315" customFormat="1" ht="16.5" customHeight="1">
      <c r="A93" s="63" t="str">
        <f t="array" ref="A93">IF(C93&lt;&gt;0,SUM(($C$11:C93&lt;&gt;0)*1),"")</f>
        <v/>
      </c>
      <c r="B93" s="316"/>
      <c r="C93" s="316"/>
      <c r="D93" s="316"/>
      <c r="E93" s="436"/>
      <c r="F93" s="372"/>
      <c r="G93" s="374"/>
      <c r="H93" s="374"/>
      <c r="I93" s="63" t="str">
        <f>A93</f>
        <v/>
      </c>
      <c r="J93" s="318">
        <f t="shared" si="45"/>
        <v>0</v>
      </c>
      <c r="K93" s="318">
        <f t="shared" si="46"/>
        <v>0</v>
      </c>
      <c r="L93" s="318">
        <f t="shared" si="47"/>
        <v>0</v>
      </c>
      <c r="M93" s="318">
        <f t="shared" si="48"/>
        <v>0</v>
      </c>
      <c r="N93" s="318">
        <f t="shared" si="83"/>
        <v>0</v>
      </c>
      <c r="O93" s="318">
        <f t="shared" si="84"/>
        <v>0</v>
      </c>
      <c r="P93" s="318">
        <f t="shared" si="49"/>
        <v>0</v>
      </c>
      <c r="Q93" s="318">
        <f t="shared" si="50"/>
        <v>0</v>
      </c>
      <c r="R93" s="318">
        <f t="shared" si="51"/>
        <v>0</v>
      </c>
      <c r="S93" s="318">
        <f t="shared" si="52"/>
        <v>0</v>
      </c>
      <c r="T93" s="318">
        <f t="shared" si="85"/>
        <v>0</v>
      </c>
      <c r="U93" s="318">
        <f t="shared" si="86"/>
        <v>0</v>
      </c>
      <c r="V93" s="318">
        <f t="shared" si="53"/>
        <v>0</v>
      </c>
      <c r="W93" s="318">
        <f t="shared" si="54"/>
        <v>0</v>
      </c>
      <c r="X93" s="318">
        <f t="shared" si="55"/>
        <v>0</v>
      </c>
      <c r="Y93" s="318">
        <f t="shared" si="56"/>
        <v>0</v>
      </c>
      <c r="Z93" s="318">
        <f t="shared" si="57"/>
        <v>0</v>
      </c>
      <c r="AA93" s="318">
        <f t="shared" si="58"/>
        <v>0</v>
      </c>
      <c r="AB93" s="318">
        <f t="shared" si="59"/>
        <v>0</v>
      </c>
      <c r="AC93" s="318">
        <f t="shared" si="60"/>
        <v>0</v>
      </c>
      <c r="AD93" s="318">
        <f t="shared" si="61"/>
        <v>0</v>
      </c>
      <c r="AE93" s="318">
        <f t="shared" si="62"/>
        <v>0</v>
      </c>
      <c r="AF93" s="318">
        <f t="shared" si="87"/>
        <v>0</v>
      </c>
      <c r="AG93" s="318">
        <f t="shared" si="88"/>
        <v>0</v>
      </c>
      <c r="AH93" s="318">
        <f t="shared" si="63"/>
        <v>0</v>
      </c>
      <c r="AI93" s="318">
        <f t="shared" si="64"/>
        <v>0</v>
      </c>
      <c r="AJ93" s="318">
        <f t="shared" si="65"/>
        <v>0</v>
      </c>
      <c r="AK93" s="318">
        <f t="shared" si="66"/>
        <v>0</v>
      </c>
      <c r="AL93" s="318">
        <f t="shared" si="67"/>
        <v>0</v>
      </c>
      <c r="AM93" s="318">
        <f t="shared" si="68"/>
        <v>0</v>
      </c>
      <c r="AN93" s="318">
        <f t="shared" si="69"/>
        <v>0</v>
      </c>
      <c r="AO93" s="318">
        <f t="shared" si="70"/>
        <v>0</v>
      </c>
      <c r="AP93" s="318">
        <f t="shared" si="71"/>
        <v>0</v>
      </c>
      <c r="AQ93" s="318">
        <f t="shared" si="72"/>
        <v>0</v>
      </c>
      <c r="AR93" s="318">
        <f t="shared" si="73"/>
        <v>0</v>
      </c>
      <c r="AS93" s="318">
        <f t="shared" si="74"/>
        <v>0</v>
      </c>
      <c r="AT93" s="318">
        <f t="shared" si="75"/>
        <v>0</v>
      </c>
      <c r="AU93" s="318">
        <f t="shared" si="76"/>
        <v>0</v>
      </c>
      <c r="AV93" s="318">
        <f t="shared" si="77"/>
        <v>0</v>
      </c>
      <c r="AW93" s="318">
        <f t="shared" si="78"/>
        <v>0</v>
      </c>
      <c r="AX93" s="318">
        <f t="shared" si="79"/>
        <v>0</v>
      </c>
      <c r="AY93" s="318">
        <f t="shared" si="80"/>
        <v>0</v>
      </c>
      <c r="AZ93" s="318">
        <f t="shared" si="81"/>
        <v>0</v>
      </c>
      <c r="BA93" s="318">
        <f t="shared" si="82"/>
        <v>0</v>
      </c>
    </row>
    <row r="94" spans="1:53" s="315" customFormat="1" ht="16.5" customHeight="1">
      <c r="A94" s="63" t="str">
        <f t="array" ref="A94">IF(C94&lt;&gt;0,SUM(($C$11:C94&lt;&gt;0)*1),"")</f>
        <v/>
      </c>
      <c r="B94" s="316"/>
      <c r="C94" s="316"/>
      <c r="D94" s="316"/>
      <c r="E94" s="436"/>
      <c r="F94" s="372"/>
      <c r="G94" s="374"/>
      <c r="H94" s="374"/>
      <c r="I94" s="63" t="str">
        <f t="shared" ref="I94:I113" si="89">A94</f>
        <v/>
      </c>
      <c r="J94" s="318">
        <f t="shared" si="45"/>
        <v>0</v>
      </c>
      <c r="K94" s="318">
        <f t="shared" si="46"/>
        <v>0</v>
      </c>
      <c r="L94" s="318">
        <f t="shared" si="47"/>
        <v>0</v>
      </c>
      <c r="M94" s="318">
        <f t="shared" si="48"/>
        <v>0</v>
      </c>
      <c r="N94" s="318">
        <f t="shared" si="83"/>
        <v>0</v>
      </c>
      <c r="O94" s="318">
        <f t="shared" si="84"/>
        <v>0</v>
      </c>
      <c r="P94" s="318">
        <f t="shared" si="49"/>
        <v>0</v>
      </c>
      <c r="Q94" s="318">
        <f t="shared" si="50"/>
        <v>0</v>
      </c>
      <c r="R94" s="318">
        <f t="shared" si="51"/>
        <v>0</v>
      </c>
      <c r="S94" s="318">
        <f t="shared" si="52"/>
        <v>0</v>
      </c>
      <c r="T94" s="318">
        <f t="shared" si="85"/>
        <v>0</v>
      </c>
      <c r="U94" s="318">
        <f t="shared" si="86"/>
        <v>0</v>
      </c>
      <c r="V94" s="318">
        <f t="shared" si="53"/>
        <v>0</v>
      </c>
      <c r="W94" s="318">
        <f t="shared" si="54"/>
        <v>0</v>
      </c>
      <c r="X94" s="318">
        <f t="shared" si="55"/>
        <v>0</v>
      </c>
      <c r="Y94" s="318">
        <f t="shared" si="56"/>
        <v>0</v>
      </c>
      <c r="Z94" s="318">
        <f t="shared" si="57"/>
        <v>0</v>
      </c>
      <c r="AA94" s="318">
        <f t="shared" si="58"/>
        <v>0</v>
      </c>
      <c r="AB94" s="318">
        <f t="shared" si="59"/>
        <v>0</v>
      </c>
      <c r="AC94" s="318">
        <f t="shared" si="60"/>
        <v>0</v>
      </c>
      <c r="AD94" s="318">
        <f t="shared" si="61"/>
        <v>0</v>
      </c>
      <c r="AE94" s="318">
        <f t="shared" si="62"/>
        <v>0</v>
      </c>
      <c r="AF94" s="318">
        <f t="shared" si="87"/>
        <v>0</v>
      </c>
      <c r="AG94" s="318">
        <f t="shared" si="88"/>
        <v>0</v>
      </c>
      <c r="AH94" s="318">
        <f t="shared" si="63"/>
        <v>0</v>
      </c>
      <c r="AI94" s="318">
        <f t="shared" si="64"/>
        <v>0</v>
      </c>
      <c r="AJ94" s="318">
        <f t="shared" si="65"/>
        <v>0</v>
      </c>
      <c r="AK94" s="318">
        <f t="shared" si="66"/>
        <v>0</v>
      </c>
      <c r="AL94" s="318">
        <f t="shared" si="67"/>
        <v>0</v>
      </c>
      <c r="AM94" s="318">
        <f t="shared" si="68"/>
        <v>0</v>
      </c>
      <c r="AN94" s="318">
        <f t="shared" si="69"/>
        <v>0</v>
      </c>
      <c r="AO94" s="318">
        <f t="shared" si="70"/>
        <v>0</v>
      </c>
      <c r="AP94" s="318">
        <f t="shared" si="71"/>
        <v>0</v>
      </c>
      <c r="AQ94" s="318">
        <f t="shared" si="72"/>
        <v>0</v>
      </c>
      <c r="AR94" s="318">
        <f t="shared" si="73"/>
        <v>0</v>
      </c>
      <c r="AS94" s="318">
        <f t="shared" si="74"/>
        <v>0</v>
      </c>
      <c r="AT94" s="318">
        <f t="shared" si="75"/>
        <v>0</v>
      </c>
      <c r="AU94" s="318">
        <f t="shared" si="76"/>
        <v>0</v>
      </c>
      <c r="AV94" s="318">
        <f t="shared" si="77"/>
        <v>0</v>
      </c>
      <c r="AW94" s="318">
        <f t="shared" si="78"/>
        <v>0</v>
      </c>
      <c r="AX94" s="318">
        <f t="shared" si="79"/>
        <v>0</v>
      </c>
      <c r="AY94" s="318">
        <f t="shared" si="80"/>
        <v>0</v>
      </c>
      <c r="AZ94" s="318">
        <f t="shared" si="81"/>
        <v>0</v>
      </c>
      <c r="BA94" s="318">
        <f t="shared" si="82"/>
        <v>0</v>
      </c>
    </row>
    <row r="95" spans="1:53" s="315" customFormat="1" ht="16.5" customHeight="1">
      <c r="A95" s="63" t="str">
        <f t="array" ref="A95">IF(C95&lt;&gt;0,SUM(($C$11:C95&lt;&gt;0)*1),"")</f>
        <v/>
      </c>
      <c r="B95" s="316"/>
      <c r="C95" s="316"/>
      <c r="D95" s="316"/>
      <c r="E95" s="436"/>
      <c r="F95" s="372"/>
      <c r="G95" s="374"/>
      <c r="H95" s="374"/>
      <c r="I95" s="63" t="str">
        <f t="shared" si="89"/>
        <v/>
      </c>
      <c r="J95" s="318">
        <f t="shared" si="45"/>
        <v>0</v>
      </c>
      <c r="K95" s="318">
        <f t="shared" si="46"/>
        <v>0</v>
      </c>
      <c r="L95" s="318">
        <f t="shared" si="47"/>
        <v>0</v>
      </c>
      <c r="M95" s="318">
        <f t="shared" si="48"/>
        <v>0</v>
      </c>
      <c r="N95" s="318">
        <f t="shared" si="83"/>
        <v>0</v>
      </c>
      <c r="O95" s="318">
        <f t="shared" si="84"/>
        <v>0</v>
      </c>
      <c r="P95" s="318">
        <f t="shared" si="49"/>
        <v>0</v>
      </c>
      <c r="Q95" s="318">
        <f t="shared" si="50"/>
        <v>0</v>
      </c>
      <c r="R95" s="318">
        <f t="shared" si="51"/>
        <v>0</v>
      </c>
      <c r="S95" s="318">
        <f t="shared" si="52"/>
        <v>0</v>
      </c>
      <c r="T95" s="318">
        <f t="shared" si="85"/>
        <v>0</v>
      </c>
      <c r="U95" s="318">
        <f t="shared" si="86"/>
        <v>0</v>
      </c>
      <c r="V95" s="318">
        <f t="shared" si="53"/>
        <v>0</v>
      </c>
      <c r="W95" s="318">
        <f t="shared" si="54"/>
        <v>0</v>
      </c>
      <c r="X95" s="318">
        <f t="shared" si="55"/>
        <v>0</v>
      </c>
      <c r="Y95" s="318">
        <f t="shared" si="56"/>
        <v>0</v>
      </c>
      <c r="Z95" s="318">
        <f t="shared" si="57"/>
        <v>0</v>
      </c>
      <c r="AA95" s="318">
        <f t="shared" si="58"/>
        <v>0</v>
      </c>
      <c r="AB95" s="318">
        <f t="shared" si="59"/>
        <v>0</v>
      </c>
      <c r="AC95" s="318">
        <f t="shared" si="60"/>
        <v>0</v>
      </c>
      <c r="AD95" s="318">
        <f t="shared" si="61"/>
        <v>0</v>
      </c>
      <c r="AE95" s="318">
        <f t="shared" si="62"/>
        <v>0</v>
      </c>
      <c r="AF95" s="318">
        <f t="shared" si="87"/>
        <v>0</v>
      </c>
      <c r="AG95" s="318">
        <f t="shared" si="88"/>
        <v>0</v>
      </c>
      <c r="AH95" s="318">
        <f t="shared" si="63"/>
        <v>0</v>
      </c>
      <c r="AI95" s="318">
        <f t="shared" si="64"/>
        <v>0</v>
      </c>
      <c r="AJ95" s="318">
        <f t="shared" si="65"/>
        <v>0</v>
      </c>
      <c r="AK95" s="318">
        <f t="shared" si="66"/>
        <v>0</v>
      </c>
      <c r="AL95" s="318">
        <f t="shared" si="67"/>
        <v>0</v>
      </c>
      <c r="AM95" s="318">
        <f t="shared" si="68"/>
        <v>0</v>
      </c>
      <c r="AN95" s="318">
        <f t="shared" si="69"/>
        <v>0</v>
      </c>
      <c r="AO95" s="318">
        <f t="shared" si="70"/>
        <v>0</v>
      </c>
      <c r="AP95" s="318">
        <f t="shared" si="71"/>
        <v>0</v>
      </c>
      <c r="AQ95" s="318">
        <f t="shared" si="72"/>
        <v>0</v>
      </c>
      <c r="AR95" s="318">
        <f t="shared" si="73"/>
        <v>0</v>
      </c>
      <c r="AS95" s="318">
        <f t="shared" si="74"/>
        <v>0</v>
      </c>
      <c r="AT95" s="318">
        <f t="shared" si="75"/>
        <v>0</v>
      </c>
      <c r="AU95" s="318">
        <f t="shared" si="76"/>
        <v>0</v>
      </c>
      <c r="AV95" s="318">
        <f t="shared" si="77"/>
        <v>0</v>
      </c>
      <c r="AW95" s="318">
        <f t="shared" si="78"/>
        <v>0</v>
      </c>
      <c r="AX95" s="318">
        <f t="shared" si="79"/>
        <v>0</v>
      </c>
      <c r="AY95" s="318">
        <f t="shared" si="80"/>
        <v>0</v>
      </c>
      <c r="AZ95" s="318">
        <f t="shared" si="81"/>
        <v>0</v>
      </c>
      <c r="BA95" s="318">
        <f t="shared" si="82"/>
        <v>0</v>
      </c>
    </row>
    <row r="96" spans="1:53" s="315" customFormat="1" ht="16.5" customHeight="1">
      <c r="A96" s="63" t="str">
        <f t="array" ref="A96">IF(C96&lt;&gt;0,SUM(($C$11:C96&lt;&gt;0)*1),"")</f>
        <v/>
      </c>
      <c r="B96" s="316"/>
      <c r="C96" s="316"/>
      <c r="D96" s="316"/>
      <c r="E96" s="436"/>
      <c r="F96" s="372"/>
      <c r="G96" s="374"/>
      <c r="H96" s="374"/>
      <c r="I96" s="63" t="str">
        <f t="shared" si="89"/>
        <v/>
      </c>
      <c r="J96" s="318">
        <f t="shared" si="45"/>
        <v>0</v>
      </c>
      <c r="K96" s="318">
        <f t="shared" si="46"/>
        <v>0</v>
      </c>
      <c r="L96" s="318">
        <f t="shared" si="47"/>
        <v>0</v>
      </c>
      <c r="M96" s="318">
        <f t="shared" si="48"/>
        <v>0</v>
      </c>
      <c r="N96" s="318">
        <f t="shared" si="83"/>
        <v>0</v>
      </c>
      <c r="O96" s="318">
        <f t="shared" si="84"/>
        <v>0</v>
      </c>
      <c r="P96" s="318">
        <f t="shared" si="49"/>
        <v>0</v>
      </c>
      <c r="Q96" s="318">
        <f t="shared" si="50"/>
        <v>0</v>
      </c>
      <c r="R96" s="318">
        <f t="shared" si="51"/>
        <v>0</v>
      </c>
      <c r="S96" s="318">
        <f t="shared" si="52"/>
        <v>0</v>
      </c>
      <c r="T96" s="318">
        <f t="shared" si="85"/>
        <v>0</v>
      </c>
      <c r="U96" s="318">
        <f t="shared" si="86"/>
        <v>0</v>
      </c>
      <c r="V96" s="318">
        <f t="shared" si="53"/>
        <v>0</v>
      </c>
      <c r="W96" s="318">
        <f t="shared" si="54"/>
        <v>0</v>
      </c>
      <c r="X96" s="318">
        <f t="shared" si="55"/>
        <v>0</v>
      </c>
      <c r="Y96" s="318">
        <f t="shared" si="56"/>
        <v>0</v>
      </c>
      <c r="Z96" s="318">
        <f t="shared" si="57"/>
        <v>0</v>
      </c>
      <c r="AA96" s="318">
        <f t="shared" si="58"/>
        <v>0</v>
      </c>
      <c r="AB96" s="318">
        <f t="shared" si="59"/>
        <v>0</v>
      </c>
      <c r="AC96" s="318">
        <f t="shared" si="60"/>
        <v>0</v>
      </c>
      <c r="AD96" s="318">
        <f t="shared" si="61"/>
        <v>0</v>
      </c>
      <c r="AE96" s="318">
        <f t="shared" si="62"/>
        <v>0</v>
      </c>
      <c r="AF96" s="318">
        <f t="shared" si="87"/>
        <v>0</v>
      </c>
      <c r="AG96" s="318">
        <f t="shared" si="88"/>
        <v>0</v>
      </c>
      <c r="AH96" s="318">
        <f t="shared" si="63"/>
        <v>0</v>
      </c>
      <c r="AI96" s="318">
        <f t="shared" si="64"/>
        <v>0</v>
      </c>
      <c r="AJ96" s="318">
        <f t="shared" si="65"/>
        <v>0</v>
      </c>
      <c r="AK96" s="318">
        <f t="shared" si="66"/>
        <v>0</v>
      </c>
      <c r="AL96" s="318">
        <f t="shared" si="67"/>
        <v>0</v>
      </c>
      <c r="AM96" s="318">
        <f t="shared" si="68"/>
        <v>0</v>
      </c>
      <c r="AN96" s="318">
        <f t="shared" si="69"/>
        <v>0</v>
      </c>
      <c r="AO96" s="318">
        <f t="shared" si="70"/>
        <v>0</v>
      </c>
      <c r="AP96" s="318">
        <f t="shared" si="71"/>
        <v>0</v>
      </c>
      <c r="AQ96" s="318">
        <f t="shared" si="72"/>
        <v>0</v>
      </c>
      <c r="AR96" s="318">
        <f t="shared" si="73"/>
        <v>0</v>
      </c>
      <c r="AS96" s="318">
        <f t="shared" si="74"/>
        <v>0</v>
      </c>
      <c r="AT96" s="318">
        <f t="shared" si="75"/>
        <v>0</v>
      </c>
      <c r="AU96" s="318">
        <f t="shared" si="76"/>
        <v>0</v>
      </c>
      <c r="AV96" s="318">
        <f t="shared" si="77"/>
        <v>0</v>
      </c>
      <c r="AW96" s="318">
        <f t="shared" si="78"/>
        <v>0</v>
      </c>
      <c r="AX96" s="318">
        <f t="shared" si="79"/>
        <v>0</v>
      </c>
      <c r="AY96" s="318">
        <f t="shared" si="80"/>
        <v>0</v>
      </c>
      <c r="AZ96" s="318">
        <f t="shared" si="81"/>
        <v>0</v>
      </c>
      <c r="BA96" s="318">
        <f t="shared" si="82"/>
        <v>0</v>
      </c>
    </row>
    <row r="97" spans="1:53" s="315" customFormat="1" ht="16.5" customHeight="1">
      <c r="A97" s="63" t="str">
        <f t="array" ref="A97">IF(C97&lt;&gt;0,SUM(($C$11:C97&lt;&gt;0)*1),"")</f>
        <v/>
      </c>
      <c r="B97" s="316"/>
      <c r="C97" s="316"/>
      <c r="D97" s="316"/>
      <c r="E97" s="436"/>
      <c r="F97" s="372"/>
      <c r="G97" s="374"/>
      <c r="H97" s="374"/>
      <c r="I97" s="63" t="str">
        <f t="shared" si="89"/>
        <v/>
      </c>
      <c r="J97" s="318">
        <f t="shared" si="45"/>
        <v>0</v>
      </c>
      <c r="K97" s="318">
        <f t="shared" si="46"/>
        <v>0</v>
      </c>
      <c r="L97" s="318">
        <f t="shared" si="47"/>
        <v>0</v>
      </c>
      <c r="M97" s="318">
        <f t="shared" si="48"/>
        <v>0</v>
      </c>
      <c r="N97" s="318">
        <f t="shared" si="83"/>
        <v>0</v>
      </c>
      <c r="O97" s="318">
        <f t="shared" si="84"/>
        <v>0</v>
      </c>
      <c r="P97" s="318">
        <f t="shared" si="49"/>
        <v>0</v>
      </c>
      <c r="Q97" s="318">
        <f t="shared" si="50"/>
        <v>0</v>
      </c>
      <c r="R97" s="318">
        <f t="shared" si="51"/>
        <v>0</v>
      </c>
      <c r="S97" s="318">
        <f t="shared" si="52"/>
        <v>0</v>
      </c>
      <c r="T97" s="318">
        <f t="shared" si="85"/>
        <v>0</v>
      </c>
      <c r="U97" s="318">
        <f t="shared" si="86"/>
        <v>0</v>
      </c>
      <c r="V97" s="318">
        <f t="shared" si="53"/>
        <v>0</v>
      </c>
      <c r="W97" s="318">
        <f t="shared" si="54"/>
        <v>0</v>
      </c>
      <c r="X97" s="318">
        <f t="shared" si="55"/>
        <v>0</v>
      </c>
      <c r="Y97" s="318">
        <f t="shared" si="56"/>
        <v>0</v>
      </c>
      <c r="Z97" s="318">
        <f t="shared" si="57"/>
        <v>0</v>
      </c>
      <c r="AA97" s="318">
        <f t="shared" si="58"/>
        <v>0</v>
      </c>
      <c r="AB97" s="318">
        <f t="shared" si="59"/>
        <v>0</v>
      </c>
      <c r="AC97" s="318">
        <f t="shared" si="60"/>
        <v>0</v>
      </c>
      <c r="AD97" s="318">
        <f t="shared" si="61"/>
        <v>0</v>
      </c>
      <c r="AE97" s="318">
        <f t="shared" si="62"/>
        <v>0</v>
      </c>
      <c r="AF97" s="318">
        <f t="shared" si="87"/>
        <v>0</v>
      </c>
      <c r="AG97" s="318">
        <f t="shared" si="88"/>
        <v>0</v>
      </c>
      <c r="AH97" s="318">
        <f t="shared" si="63"/>
        <v>0</v>
      </c>
      <c r="AI97" s="318">
        <f t="shared" si="64"/>
        <v>0</v>
      </c>
      <c r="AJ97" s="318">
        <f t="shared" si="65"/>
        <v>0</v>
      </c>
      <c r="AK97" s="318">
        <f t="shared" si="66"/>
        <v>0</v>
      </c>
      <c r="AL97" s="318">
        <f t="shared" si="67"/>
        <v>0</v>
      </c>
      <c r="AM97" s="318">
        <f t="shared" si="68"/>
        <v>0</v>
      </c>
      <c r="AN97" s="318">
        <f t="shared" si="69"/>
        <v>0</v>
      </c>
      <c r="AO97" s="318">
        <f t="shared" si="70"/>
        <v>0</v>
      </c>
      <c r="AP97" s="318">
        <f t="shared" si="71"/>
        <v>0</v>
      </c>
      <c r="AQ97" s="318">
        <f t="shared" si="72"/>
        <v>0</v>
      </c>
      <c r="AR97" s="318">
        <f t="shared" si="73"/>
        <v>0</v>
      </c>
      <c r="AS97" s="318">
        <f t="shared" si="74"/>
        <v>0</v>
      </c>
      <c r="AT97" s="318">
        <f t="shared" si="75"/>
        <v>0</v>
      </c>
      <c r="AU97" s="318">
        <f t="shared" si="76"/>
        <v>0</v>
      </c>
      <c r="AV97" s="318">
        <f t="shared" si="77"/>
        <v>0</v>
      </c>
      <c r="AW97" s="318">
        <f t="shared" si="78"/>
        <v>0</v>
      </c>
      <c r="AX97" s="318">
        <f t="shared" si="79"/>
        <v>0</v>
      </c>
      <c r="AY97" s="318">
        <f t="shared" si="80"/>
        <v>0</v>
      </c>
      <c r="AZ97" s="318">
        <f t="shared" si="81"/>
        <v>0</v>
      </c>
      <c r="BA97" s="318">
        <f t="shared" si="82"/>
        <v>0</v>
      </c>
    </row>
    <row r="98" spans="1:53" s="315" customFormat="1" ht="16.5" customHeight="1">
      <c r="A98" s="63" t="str">
        <f t="array" ref="A98">IF(C98&lt;&gt;0,SUM(($C$11:C98&lt;&gt;0)*1),"")</f>
        <v/>
      </c>
      <c r="B98" s="316"/>
      <c r="C98" s="316"/>
      <c r="D98" s="316"/>
      <c r="E98" s="436"/>
      <c r="F98" s="372"/>
      <c r="G98" s="374"/>
      <c r="H98" s="374"/>
      <c r="I98" s="63" t="str">
        <f t="shared" si="89"/>
        <v/>
      </c>
      <c r="J98" s="318">
        <f t="shared" si="45"/>
        <v>0</v>
      </c>
      <c r="K98" s="318">
        <f t="shared" si="46"/>
        <v>0</v>
      </c>
      <c r="L98" s="318">
        <f t="shared" si="47"/>
        <v>0</v>
      </c>
      <c r="M98" s="318">
        <f t="shared" si="48"/>
        <v>0</v>
      </c>
      <c r="N98" s="318">
        <f t="shared" si="83"/>
        <v>0</v>
      </c>
      <c r="O98" s="318">
        <f t="shared" si="84"/>
        <v>0</v>
      </c>
      <c r="P98" s="318">
        <f t="shared" si="49"/>
        <v>0</v>
      </c>
      <c r="Q98" s="318">
        <f t="shared" si="50"/>
        <v>0</v>
      </c>
      <c r="R98" s="318">
        <f t="shared" si="51"/>
        <v>0</v>
      </c>
      <c r="S98" s="318">
        <f t="shared" si="52"/>
        <v>0</v>
      </c>
      <c r="T98" s="318">
        <f t="shared" si="85"/>
        <v>0</v>
      </c>
      <c r="U98" s="318">
        <f t="shared" si="86"/>
        <v>0</v>
      </c>
      <c r="V98" s="318">
        <f t="shared" si="53"/>
        <v>0</v>
      </c>
      <c r="W98" s="318">
        <f t="shared" si="54"/>
        <v>0</v>
      </c>
      <c r="X98" s="318">
        <f t="shared" si="55"/>
        <v>0</v>
      </c>
      <c r="Y98" s="318">
        <f t="shared" si="56"/>
        <v>0</v>
      </c>
      <c r="Z98" s="318">
        <f t="shared" si="57"/>
        <v>0</v>
      </c>
      <c r="AA98" s="318">
        <f t="shared" si="58"/>
        <v>0</v>
      </c>
      <c r="AB98" s="318">
        <f t="shared" si="59"/>
        <v>0</v>
      </c>
      <c r="AC98" s="318">
        <f t="shared" si="60"/>
        <v>0</v>
      </c>
      <c r="AD98" s="318">
        <f t="shared" si="61"/>
        <v>0</v>
      </c>
      <c r="AE98" s="318">
        <f t="shared" si="62"/>
        <v>0</v>
      </c>
      <c r="AF98" s="318">
        <f t="shared" si="87"/>
        <v>0</v>
      </c>
      <c r="AG98" s="318">
        <f t="shared" si="88"/>
        <v>0</v>
      </c>
      <c r="AH98" s="318">
        <f t="shared" si="63"/>
        <v>0</v>
      </c>
      <c r="AI98" s="318">
        <f t="shared" si="64"/>
        <v>0</v>
      </c>
      <c r="AJ98" s="318">
        <f t="shared" si="65"/>
        <v>0</v>
      </c>
      <c r="AK98" s="318">
        <f t="shared" si="66"/>
        <v>0</v>
      </c>
      <c r="AL98" s="318">
        <f t="shared" si="67"/>
        <v>0</v>
      </c>
      <c r="AM98" s="318">
        <f t="shared" si="68"/>
        <v>0</v>
      </c>
      <c r="AN98" s="318">
        <f t="shared" si="69"/>
        <v>0</v>
      </c>
      <c r="AO98" s="318">
        <f t="shared" si="70"/>
        <v>0</v>
      </c>
      <c r="AP98" s="318">
        <f t="shared" si="71"/>
        <v>0</v>
      </c>
      <c r="AQ98" s="318">
        <f t="shared" si="72"/>
        <v>0</v>
      </c>
      <c r="AR98" s="318">
        <f t="shared" si="73"/>
        <v>0</v>
      </c>
      <c r="AS98" s="318">
        <f t="shared" si="74"/>
        <v>0</v>
      </c>
      <c r="AT98" s="318">
        <f t="shared" si="75"/>
        <v>0</v>
      </c>
      <c r="AU98" s="318">
        <f t="shared" si="76"/>
        <v>0</v>
      </c>
      <c r="AV98" s="318">
        <f t="shared" si="77"/>
        <v>0</v>
      </c>
      <c r="AW98" s="318">
        <f t="shared" si="78"/>
        <v>0</v>
      </c>
      <c r="AX98" s="318">
        <f t="shared" si="79"/>
        <v>0</v>
      </c>
      <c r="AY98" s="318">
        <f t="shared" si="80"/>
        <v>0</v>
      </c>
      <c r="AZ98" s="318">
        <f t="shared" si="81"/>
        <v>0</v>
      </c>
      <c r="BA98" s="318">
        <f t="shared" si="82"/>
        <v>0</v>
      </c>
    </row>
    <row r="99" spans="1:53" s="315" customFormat="1" ht="16.5" customHeight="1">
      <c r="A99" s="63" t="str">
        <f t="array" ref="A99">IF(C99&lt;&gt;0,SUM(($C$11:C99&lt;&gt;0)*1),"")</f>
        <v/>
      </c>
      <c r="B99" s="316"/>
      <c r="C99" s="316"/>
      <c r="D99" s="316"/>
      <c r="E99" s="436"/>
      <c r="F99" s="372"/>
      <c r="G99" s="374"/>
      <c r="H99" s="374"/>
      <c r="I99" s="63" t="str">
        <f t="shared" si="89"/>
        <v/>
      </c>
      <c r="J99" s="318">
        <f t="shared" si="45"/>
        <v>0</v>
      </c>
      <c r="K99" s="318">
        <f t="shared" si="46"/>
        <v>0</v>
      </c>
      <c r="L99" s="318">
        <f t="shared" si="47"/>
        <v>0</v>
      </c>
      <c r="M99" s="318">
        <f t="shared" si="48"/>
        <v>0</v>
      </c>
      <c r="N99" s="318">
        <f t="shared" si="83"/>
        <v>0</v>
      </c>
      <c r="O99" s="318">
        <f t="shared" si="84"/>
        <v>0</v>
      </c>
      <c r="P99" s="318">
        <f t="shared" si="49"/>
        <v>0</v>
      </c>
      <c r="Q99" s="318">
        <f t="shared" si="50"/>
        <v>0</v>
      </c>
      <c r="R99" s="318">
        <f t="shared" si="51"/>
        <v>0</v>
      </c>
      <c r="S99" s="318">
        <f t="shared" si="52"/>
        <v>0</v>
      </c>
      <c r="T99" s="318">
        <f t="shared" si="85"/>
        <v>0</v>
      </c>
      <c r="U99" s="318">
        <f t="shared" si="86"/>
        <v>0</v>
      </c>
      <c r="V99" s="318">
        <f t="shared" si="53"/>
        <v>0</v>
      </c>
      <c r="W99" s="318">
        <f t="shared" si="54"/>
        <v>0</v>
      </c>
      <c r="X99" s="318">
        <f t="shared" si="55"/>
        <v>0</v>
      </c>
      <c r="Y99" s="318">
        <f t="shared" si="56"/>
        <v>0</v>
      </c>
      <c r="Z99" s="318">
        <f t="shared" si="57"/>
        <v>0</v>
      </c>
      <c r="AA99" s="318">
        <f t="shared" si="58"/>
        <v>0</v>
      </c>
      <c r="AB99" s="318">
        <f t="shared" si="59"/>
        <v>0</v>
      </c>
      <c r="AC99" s="318">
        <f t="shared" si="60"/>
        <v>0</v>
      </c>
      <c r="AD99" s="318">
        <f t="shared" si="61"/>
        <v>0</v>
      </c>
      <c r="AE99" s="318">
        <f t="shared" si="62"/>
        <v>0</v>
      </c>
      <c r="AF99" s="318">
        <f t="shared" si="87"/>
        <v>0</v>
      </c>
      <c r="AG99" s="318">
        <f t="shared" si="88"/>
        <v>0</v>
      </c>
      <c r="AH99" s="318">
        <f t="shared" si="63"/>
        <v>0</v>
      </c>
      <c r="AI99" s="318">
        <f t="shared" si="64"/>
        <v>0</v>
      </c>
      <c r="AJ99" s="318">
        <f t="shared" si="65"/>
        <v>0</v>
      </c>
      <c r="AK99" s="318">
        <f t="shared" si="66"/>
        <v>0</v>
      </c>
      <c r="AL99" s="318">
        <f t="shared" si="67"/>
        <v>0</v>
      </c>
      <c r="AM99" s="318">
        <f t="shared" si="68"/>
        <v>0</v>
      </c>
      <c r="AN99" s="318">
        <f t="shared" si="69"/>
        <v>0</v>
      </c>
      <c r="AO99" s="318">
        <f t="shared" si="70"/>
        <v>0</v>
      </c>
      <c r="AP99" s="318">
        <f t="shared" si="71"/>
        <v>0</v>
      </c>
      <c r="AQ99" s="318">
        <f t="shared" si="72"/>
        <v>0</v>
      </c>
      <c r="AR99" s="318">
        <f t="shared" si="73"/>
        <v>0</v>
      </c>
      <c r="AS99" s="318">
        <f t="shared" si="74"/>
        <v>0</v>
      </c>
      <c r="AT99" s="318">
        <f t="shared" si="75"/>
        <v>0</v>
      </c>
      <c r="AU99" s="318">
        <f t="shared" si="76"/>
        <v>0</v>
      </c>
      <c r="AV99" s="318">
        <f t="shared" si="77"/>
        <v>0</v>
      </c>
      <c r="AW99" s="318">
        <f t="shared" si="78"/>
        <v>0</v>
      </c>
      <c r="AX99" s="318">
        <f t="shared" si="79"/>
        <v>0</v>
      </c>
      <c r="AY99" s="318">
        <f t="shared" si="80"/>
        <v>0</v>
      </c>
      <c r="AZ99" s="318">
        <f t="shared" si="81"/>
        <v>0</v>
      </c>
      <c r="BA99" s="318">
        <f t="shared" si="82"/>
        <v>0</v>
      </c>
    </row>
    <row r="100" spans="1:53" s="315" customFormat="1" ht="16.5" customHeight="1">
      <c r="A100" s="63" t="str">
        <f t="array" ref="A100">IF(C100&lt;&gt;0,SUM(($C$11:C100&lt;&gt;0)*1),"")</f>
        <v/>
      </c>
      <c r="B100" s="316"/>
      <c r="C100" s="316"/>
      <c r="D100" s="316"/>
      <c r="E100" s="436"/>
      <c r="F100" s="372"/>
      <c r="G100" s="374"/>
      <c r="H100" s="374"/>
      <c r="I100" s="63" t="str">
        <f t="shared" si="89"/>
        <v/>
      </c>
      <c r="J100" s="318">
        <f t="shared" si="45"/>
        <v>0</v>
      </c>
      <c r="K100" s="318">
        <f t="shared" si="46"/>
        <v>0</v>
      </c>
      <c r="L100" s="318">
        <f t="shared" si="47"/>
        <v>0</v>
      </c>
      <c r="M100" s="318">
        <f t="shared" si="48"/>
        <v>0</v>
      </c>
      <c r="N100" s="318">
        <f t="shared" si="83"/>
        <v>0</v>
      </c>
      <c r="O100" s="318">
        <f t="shared" si="84"/>
        <v>0</v>
      </c>
      <c r="P100" s="318">
        <f t="shared" si="49"/>
        <v>0</v>
      </c>
      <c r="Q100" s="318">
        <f t="shared" si="50"/>
        <v>0</v>
      </c>
      <c r="R100" s="318">
        <f t="shared" si="51"/>
        <v>0</v>
      </c>
      <c r="S100" s="318">
        <f t="shared" si="52"/>
        <v>0</v>
      </c>
      <c r="T100" s="318">
        <f t="shared" si="85"/>
        <v>0</v>
      </c>
      <c r="U100" s="318">
        <f t="shared" si="86"/>
        <v>0</v>
      </c>
      <c r="V100" s="318">
        <f t="shared" si="53"/>
        <v>0</v>
      </c>
      <c r="W100" s="318">
        <f t="shared" si="54"/>
        <v>0</v>
      </c>
      <c r="X100" s="318">
        <f t="shared" si="55"/>
        <v>0</v>
      </c>
      <c r="Y100" s="318">
        <f t="shared" si="56"/>
        <v>0</v>
      </c>
      <c r="Z100" s="318">
        <f t="shared" si="57"/>
        <v>0</v>
      </c>
      <c r="AA100" s="318">
        <f t="shared" si="58"/>
        <v>0</v>
      </c>
      <c r="AB100" s="318">
        <f t="shared" si="59"/>
        <v>0</v>
      </c>
      <c r="AC100" s="318">
        <f t="shared" si="60"/>
        <v>0</v>
      </c>
      <c r="AD100" s="318">
        <f t="shared" si="61"/>
        <v>0</v>
      </c>
      <c r="AE100" s="318">
        <f t="shared" si="62"/>
        <v>0</v>
      </c>
      <c r="AF100" s="318">
        <f t="shared" si="87"/>
        <v>0</v>
      </c>
      <c r="AG100" s="318">
        <f t="shared" si="88"/>
        <v>0</v>
      </c>
      <c r="AH100" s="318">
        <f t="shared" si="63"/>
        <v>0</v>
      </c>
      <c r="AI100" s="318">
        <f t="shared" si="64"/>
        <v>0</v>
      </c>
      <c r="AJ100" s="318">
        <f t="shared" si="65"/>
        <v>0</v>
      </c>
      <c r="AK100" s="318">
        <f t="shared" si="66"/>
        <v>0</v>
      </c>
      <c r="AL100" s="318">
        <f t="shared" si="67"/>
        <v>0</v>
      </c>
      <c r="AM100" s="318">
        <f t="shared" si="68"/>
        <v>0</v>
      </c>
      <c r="AN100" s="318">
        <f t="shared" si="69"/>
        <v>0</v>
      </c>
      <c r="AO100" s="318">
        <f t="shared" si="70"/>
        <v>0</v>
      </c>
      <c r="AP100" s="318">
        <f t="shared" si="71"/>
        <v>0</v>
      </c>
      <c r="AQ100" s="318">
        <f t="shared" si="72"/>
        <v>0</v>
      </c>
      <c r="AR100" s="318">
        <f t="shared" si="73"/>
        <v>0</v>
      </c>
      <c r="AS100" s="318">
        <f t="shared" si="74"/>
        <v>0</v>
      </c>
      <c r="AT100" s="318">
        <f t="shared" si="75"/>
        <v>0</v>
      </c>
      <c r="AU100" s="318">
        <f t="shared" si="76"/>
        <v>0</v>
      </c>
      <c r="AV100" s="318">
        <f t="shared" si="77"/>
        <v>0</v>
      </c>
      <c r="AW100" s="318">
        <f t="shared" si="78"/>
        <v>0</v>
      </c>
      <c r="AX100" s="318">
        <f t="shared" si="79"/>
        <v>0</v>
      </c>
      <c r="AY100" s="318">
        <f t="shared" si="80"/>
        <v>0</v>
      </c>
      <c r="AZ100" s="318">
        <f t="shared" si="81"/>
        <v>0</v>
      </c>
      <c r="BA100" s="318">
        <f t="shared" si="82"/>
        <v>0</v>
      </c>
    </row>
    <row r="101" spans="1:53" s="315" customFormat="1" ht="16.5" customHeight="1">
      <c r="A101" s="63" t="str">
        <f t="array" ref="A101">IF(C101&lt;&gt;0,SUM(($C$11:C101&lt;&gt;0)*1),"")</f>
        <v/>
      </c>
      <c r="B101" s="316"/>
      <c r="C101" s="316"/>
      <c r="D101" s="316"/>
      <c r="E101" s="436"/>
      <c r="F101" s="372"/>
      <c r="G101" s="374"/>
      <c r="H101" s="374"/>
      <c r="I101" s="63" t="str">
        <f t="shared" si="89"/>
        <v/>
      </c>
      <c r="J101" s="318">
        <f t="shared" si="45"/>
        <v>0</v>
      </c>
      <c r="K101" s="318">
        <f t="shared" si="46"/>
        <v>0</v>
      </c>
      <c r="L101" s="318">
        <f t="shared" si="47"/>
        <v>0</v>
      </c>
      <c r="M101" s="318">
        <f t="shared" si="48"/>
        <v>0</v>
      </c>
      <c r="N101" s="318">
        <f t="shared" si="83"/>
        <v>0</v>
      </c>
      <c r="O101" s="318">
        <f t="shared" si="84"/>
        <v>0</v>
      </c>
      <c r="P101" s="318">
        <f t="shared" si="49"/>
        <v>0</v>
      </c>
      <c r="Q101" s="318">
        <f t="shared" si="50"/>
        <v>0</v>
      </c>
      <c r="R101" s="318">
        <f t="shared" si="51"/>
        <v>0</v>
      </c>
      <c r="S101" s="318">
        <f t="shared" si="52"/>
        <v>0</v>
      </c>
      <c r="T101" s="318">
        <f t="shared" si="85"/>
        <v>0</v>
      </c>
      <c r="U101" s="318">
        <f t="shared" si="86"/>
        <v>0</v>
      </c>
      <c r="V101" s="318">
        <f t="shared" si="53"/>
        <v>0</v>
      </c>
      <c r="W101" s="318">
        <f t="shared" si="54"/>
        <v>0</v>
      </c>
      <c r="X101" s="318">
        <f t="shared" si="55"/>
        <v>0</v>
      </c>
      <c r="Y101" s="318">
        <f t="shared" si="56"/>
        <v>0</v>
      </c>
      <c r="Z101" s="318">
        <f t="shared" si="57"/>
        <v>0</v>
      </c>
      <c r="AA101" s="318">
        <f t="shared" si="58"/>
        <v>0</v>
      </c>
      <c r="AB101" s="318">
        <f t="shared" si="59"/>
        <v>0</v>
      </c>
      <c r="AC101" s="318">
        <f t="shared" si="60"/>
        <v>0</v>
      </c>
      <c r="AD101" s="318">
        <f t="shared" si="61"/>
        <v>0</v>
      </c>
      <c r="AE101" s="318">
        <f t="shared" si="62"/>
        <v>0</v>
      </c>
      <c r="AF101" s="318">
        <f t="shared" si="87"/>
        <v>0</v>
      </c>
      <c r="AG101" s="318">
        <f t="shared" si="88"/>
        <v>0</v>
      </c>
      <c r="AH101" s="318">
        <f t="shared" si="63"/>
        <v>0</v>
      </c>
      <c r="AI101" s="318">
        <f t="shared" si="64"/>
        <v>0</v>
      </c>
      <c r="AJ101" s="318">
        <f t="shared" si="65"/>
        <v>0</v>
      </c>
      <c r="AK101" s="318">
        <f t="shared" si="66"/>
        <v>0</v>
      </c>
      <c r="AL101" s="318">
        <f t="shared" si="67"/>
        <v>0</v>
      </c>
      <c r="AM101" s="318">
        <f t="shared" si="68"/>
        <v>0</v>
      </c>
      <c r="AN101" s="318">
        <f t="shared" si="69"/>
        <v>0</v>
      </c>
      <c r="AO101" s="318">
        <f t="shared" si="70"/>
        <v>0</v>
      </c>
      <c r="AP101" s="318">
        <f t="shared" si="71"/>
        <v>0</v>
      </c>
      <c r="AQ101" s="318">
        <f t="shared" si="72"/>
        <v>0</v>
      </c>
      <c r="AR101" s="318">
        <f t="shared" si="73"/>
        <v>0</v>
      </c>
      <c r="AS101" s="318">
        <f t="shared" si="74"/>
        <v>0</v>
      </c>
      <c r="AT101" s="318">
        <f t="shared" si="75"/>
        <v>0</v>
      </c>
      <c r="AU101" s="318">
        <f t="shared" si="76"/>
        <v>0</v>
      </c>
      <c r="AV101" s="318">
        <f t="shared" si="77"/>
        <v>0</v>
      </c>
      <c r="AW101" s="318">
        <f t="shared" si="78"/>
        <v>0</v>
      </c>
      <c r="AX101" s="318">
        <f t="shared" si="79"/>
        <v>0</v>
      </c>
      <c r="AY101" s="318">
        <f t="shared" si="80"/>
        <v>0</v>
      </c>
      <c r="AZ101" s="318">
        <f t="shared" si="81"/>
        <v>0</v>
      </c>
      <c r="BA101" s="318">
        <f t="shared" si="82"/>
        <v>0</v>
      </c>
    </row>
    <row r="102" spans="1:53" s="315" customFormat="1" ht="16.5" customHeight="1">
      <c r="A102" s="63" t="str">
        <f t="array" ref="A102">IF(C102&lt;&gt;0,SUM(($C$11:C102&lt;&gt;0)*1),"")</f>
        <v/>
      </c>
      <c r="B102" s="316"/>
      <c r="C102" s="316"/>
      <c r="D102" s="316"/>
      <c r="E102" s="436"/>
      <c r="F102" s="372"/>
      <c r="G102" s="374"/>
      <c r="H102" s="374"/>
      <c r="I102" s="63" t="str">
        <f t="shared" si="89"/>
        <v/>
      </c>
      <c r="J102" s="318">
        <f t="shared" si="45"/>
        <v>0</v>
      </c>
      <c r="K102" s="318">
        <f t="shared" si="46"/>
        <v>0</v>
      </c>
      <c r="L102" s="318">
        <f t="shared" si="47"/>
        <v>0</v>
      </c>
      <c r="M102" s="318">
        <f t="shared" si="48"/>
        <v>0</v>
      </c>
      <c r="N102" s="318">
        <f t="shared" si="83"/>
        <v>0</v>
      </c>
      <c r="O102" s="318">
        <f t="shared" si="84"/>
        <v>0</v>
      </c>
      <c r="P102" s="318">
        <f t="shared" si="49"/>
        <v>0</v>
      </c>
      <c r="Q102" s="318">
        <f t="shared" si="50"/>
        <v>0</v>
      </c>
      <c r="R102" s="318">
        <f t="shared" si="51"/>
        <v>0</v>
      </c>
      <c r="S102" s="318">
        <f t="shared" si="52"/>
        <v>0</v>
      </c>
      <c r="T102" s="318">
        <f t="shared" si="85"/>
        <v>0</v>
      </c>
      <c r="U102" s="318">
        <f t="shared" si="86"/>
        <v>0</v>
      </c>
      <c r="V102" s="318">
        <f t="shared" si="53"/>
        <v>0</v>
      </c>
      <c r="W102" s="318">
        <f t="shared" si="54"/>
        <v>0</v>
      </c>
      <c r="X102" s="318">
        <f t="shared" si="55"/>
        <v>0</v>
      </c>
      <c r="Y102" s="318">
        <f t="shared" si="56"/>
        <v>0</v>
      </c>
      <c r="Z102" s="318">
        <f t="shared" si="57"/>
        <v>0</v>
      </c>
      <c r="AA102" s="318">
        <f t="shared" si="58"/>
        <v>0</v>
      </c>
      <c r="AB102" s="318">
        <f t="shared" si="59"/>
        <v>0</v>
      </c>
      <c r="AC102" s="318">
        <f t="shared" si="60"/>
        <v>0</v>
      </c>
      <c r="AD102" s="318">
        <f t="shared" si="61"/>
        <v>0</v>
      </c>
      <c r="AE102" s="318">
        <f t="shared" si="62"/>
        <v>0</v>
      </c>
      <c r="AF102" s="318">
        <f t="shared" si="87"/>
        <v>0</v>
      </c>
      <c r="AG102" s="318">
        <f t="shared" si="88"/>
        <v>0</v>
      </c>
      <c r="AH102" s="318">
        <f t="shared" si="63"/>
        <v>0</v>
      </c>
      <c r="AI102" s="318">
        <f t="shared" si="64"/>
        <v>0</v>
      </c>
      <c r="AJ102" s="318">
        <f t="shared" si="65"/>
        <v>0</v>
      </c>
      <c r="AK102" s="318">
        <f t="shared" si="66"/>
        <v>0</v>
      </c>
      <c r="AL102" s="318">
        <f t="shared" si="67"/>
        <v>0</v>
      </c>
      <c r="AM102" s="318">
        <f t="shared" si="68"/>
        <v>0</v>
      </c>
      <c r="AN102" s="318">
        <f t="shared" si="69"/>
        <v>0</v>
      </c>
      <c r="AO102" s="318">
        <f t="shared" si="70"/>
        <v>0</v>
      </c>
      <c r="AP102" s="318">
        <f t="shared" si="71"/>
        <v>0</v>
      </c>
      <c r="AQ102" s="318">
        <f t="shared" si="72"/>
        <v>0</v>
      </c>
      <c r="AR102" s="318">
        <f t="shared" si="73"/>
        <v>0</v>
      </c>
      <c r="AS102" s="318">
        <f t="shared" si="74"/>
        <v>0</v>
      </c>
      <c r="AT102" s="318">
        <f t="shared" si="75"/>
        <v>0</v>
      </c>
      <c r="AU102" s="318">
        <f t="shared" si="76"/>
        <v>0</v>
      </c>
      <c r="AV102" s="318">
        <f t="shared" si="77"/>
        <v>0</v>
      </c>
      <c r="AW102" s="318">
        <f t="shared" si="78"/>
        <v>0</v>
      </c>
      <c r="AX102" s="318">
        <f t="shared" si="79"/>
        <v>0</v>
      </c>
      <c r="AY102" s="318">
        <f t="shared" si="80"/>
        <v>0</v>
      </c>
      <c r="AZ102" s="318">
        <f t="shared" si="81"/>
        <v>0</v>
      </c>
      <c r="BA102" s="318">
        <f t="shared" si="82"/>
        <v>0</v>
      </c>
    </row>
    <row r="103" spans="1:53" s="315" customFormat="1" ht="16.5" customHeight="1">
      <c r="A103" s="63" t="str">
        <f t="array" ref="A103">IF(C103&lt;&gt;0,SUM(($C$11:C103&lt;&gt;0)*1),"")</f>
        <v/>
      </c>
      <c r="B103" s="316"/>
      <c r="C103" s="316"/>
      <c r="D103" s="316"/>
      <c r="E103" s="436"/>
      <c r="F103" s="372"/>
      <c r="G103" s="374"/>
      <c r="H103" s="374"/>
      <c r="I103" s="63" t="str">
        <f t="shared" si="89"/>
        <v/>
      </c>
      <c r="J103" s="318">
        <f t="shared" si="45"/>
        <v>0</v>
      </c>
      <c r="K103" s="318">
        <f t="shared" si="46"/>
        <v>0</v>
      </c>
      <c r="L103" s="318">
        <f t="shared" si="47"/>
        <v>0</v>
      </c>
      <c r="M103" s="318">
        <f t="shared" si="48"/>
        <v>0</v>
      </c>
      <c r="N103" s="318">
        <f t="shared" si="83"/>
        <v>0</v>
      </c>
      <c r="O103" s="318">
        <f t="shared" si="84"/>
        <v>0</v>
      </c>
      <c r="P103" s="318">
        <f t="shared" si="49"/>
        <v>0</v>
      </c>
      <c r="Q103" s="318">
        <f t="shared" si="50"/>
        <v>0</v>
      </c>
      <c r="R103" s="318">
        <f t="shared" si="51"/>
        <v>0</v>
      </c>
      <c r="S103" s="318">
        <f t="shared" si="52"/>
        <v>0</v>
      </c>
      <c r="T103" s="318">
        <f t="shared" si="85"/>
        <v>0</v>
      </c>
      <c r="U103" s="318">
        <f t="shared" si="86"/>
        <v>0</v>
      </c>
      <c r="V103" s="318">
        <f t="shared" si="53"/>
        <v>0</v>
      </c>
      <c r="W103" s="318">
        <f t="shared" si="54"/>
        <v>0</v>
      </c>
      <c r="X103" s="318">
        <f t="shared" si="55"/>
        <v>0</v>
      </c>
      <c r="Y103" s="318">
        <f t="shared" si="56"/>
        <v>0</v>
      </c>
      <c r="Z103" s="318">
        <f t="shared" si="57"/>
        <v>0</v>
      </c>
      <c r="AA103" s="318">
        <f t="shared" si="58"/>
        <v>0</v>
      </c>
      <c r="AB103" s="318">
        <f t="shared" si="59"/>
        <v>0</v>
      </c>
      <c r="AC103" s="318">
        <f t="shared" si="60"/>
        <v>0</v>
      </c>
      <c r="AD103" s="318">
        <f t="shared" si="61"/>
        <v>0</v>
      </c>
      <c r="AE103" s="318">
        <f t="shared" si="62"/>
        <v>0</v>
      </c>
      <c r="AF103" s="318">
        <f t="shared" si="87"/>
        <v>0</v>
      </c>
      <c r="AG103" s="318">
        <f t="shared" si="88"/>
        <v>0</v>
      </c>
      <c r="AH103" s="318">
        <f t="shared" si="63"/>
        <v>0</v>
      </c>
      <c r="AI103" s="318">
        <f t="shared" si="64"/>
        <v>0</v>
      </c>
      <c r="AJ103" s="318">
        <f t="shared" si="65"/>
        <v>0</v>
      </c>
      <c r="AK103" s="318">
        <f t="shared" si="66"/>
        <v>0</v>
      </c>
      <c r="AL103" s="318">
        <f t="shared" si="67"/>
        <v>0</v>
      </c>
      <c r="AM103" s="318">
        <f t="shared" si="68"/>
        <v>0</v>
      </c>
      <c r="AN103" s="318">
        <f t="shared" si="69"/>
        <v>0</v>
      </c>
      <c r="AO103" s="318">
        <f t="shared" si="70"/>
        <v>0</v>
      </c>
      <c r="AP103" s="318">
        <f t="shared" si="71"/>
        <v>0</v>
      </c>
      <c r="AQ103" s="318">
        <f t="shared" si="72"/>
        <v>0</v>
      </c>
      <c r="AR103" s="318">
        <f t="shared" si="73"/>
        <v>0</v>
      </c>
      <c r="AS103" s="318">
        <f t="shared" si="74"/>
        <v>0</v>
      </c>
      <c r="AT103" s="318">
        <f t="shared" si="75"/>
        <v>0</v>
      </c>
      <c r="AU103" s="318">
        <f t="shared" si="76"/>
        <v>0</v>
      </c>
      <c r="AV103" s="318">
        <f t="shared" si="77"/>
        <v>0</v>
      </c>
      <c r="AW103" s="318">
        <f t="shared" si="78"/>
        <v>0</v>
      </c>
      <c r="AX103" s="318">
        <f t="shared" si="79"/>
        <v>0</v>
      </c>
      <c r="AY103" s="318">
        <f t="shared" si="80"/>
        <v>0</v>
      </c>
      <c r="AZ103" s="318">
        <f t="shared" si="81"/>
        <v>0</v>
      </c>
      <c r="BA103" s="318">
        <f t="shared" si="82"/>
        <v>0</v>
      </c>
    </row>
    <row r="104" spans="1:53" s="315" customFormat="1" ht="16.5" customHeight="1">
      <c r="A104" s="63" t="str">
        <f t="array" ref="A104">IF(C104&lt;&gt;0,SUM(($C$11:C104&lt;&gt;0)*1),"")</f>
        <v/>
      </c>
      <c r="B104" s="316"/>
      <c r="C104" s="316"/>
      <c r="D104" s="316"/>
      <c r="E104" s="436"/>
      <c r="F104" s="372"/>
      <c r="G104" s="374"/>
      <c r="H104" s="374"/>
      <c r="I104" s="63" t="str">
        <f t="shared" si="89"/>
        <v/>
      </c>
      <c r="J104" s="318">
        <f t="shared" si="45"/>
        <v>0</v>
      </c>
      <c r="K104" s="318">
        <f t="shared" si="46"/>
        <v>0</v>
      </c>
      <c r="L104" s="318">
        <f t="shared" si="47"/>
        <v>0</v>
      </c>
      <c r="M104" s="318">
        <f t="shared" si="48"/>
        <v>0</v>
      </c>
      <c r="N104" s="318">
        <f t="shared" si="83"/>
        <v>0</v>
      </c>
      <c r="O104" s="318">
        <f t="shared" si="84"/>
        <v>0</v>
      </c>
      <c r="P104" s="318">
        <f t="shared" si="49"/>
        <v>0</v>
      </c>
      <c r="Q104" s="318">
        <f t="shared" si="50"/>
        <v>0</v>
      </c>
      <c r="R104" s="318">
        <f t="shared" si="51"/>
        <v>0</v>
      </c>
      <c r="S104" s="318">
        <f t="shared" si="52"/>
        <v>0</v>
      </c>
      <c r="T104" s="318">
        <f t="shared" si="85"/>
        <v>0</v>
      </c>
      <c r="U104" s="318">
        <f t="shared" si="86"/>
        <v>0</v>
      </c>
      <c r="V104" s="318">
        <f t="shared" si="53"/>
        <v>0</v>
      </c>
      <c r="W104" s="318">
        <f t="shared" si="54"/>
        <v>0</v>
      </c>
      <c r="X104" s="318">
        <f t="shared" si="55"/>
        <v>0</v>
      </c>
      <c r="Y104" s="318">
        <f t="shared" si="56"/>
        <v>0</v>
      </c>
      <c r="Z104" s="318">
        <f t="shared" si="57"/>
        <v>0</v>
      </c>
      <c r="AA104" s="318">
        <f t="shared" si="58"/>
        <v>0</v>
      </c>
      <c r="AB104" s="318">
        <f t="shared" si="59"/>
        <v>0</v>
      </c>
      <c r="AC104" s="318">
        <f t="shared" si="60"/>
        <v>0</v>
      </c>
      <c r="AD104" s="318">
        <f t="shared" si="61"/>
        <v>0</v>
      </c>
      <c r="AE104" s="318">
        <f t="shared" si="62"/>
        <v>0</v>
      </c>
      <c r="AF104" s="318">
        <f t="shared" si="87"/>
        <v>0</v>
      </c>
      <c r="AG104" s="318">
        <f t="shared" si="88"/>
        <v>0</v>
      </c>
      <c r="AH104" s="318">
        <f t="shared" si="63"/>
        <v>0</v>
      </c>
      <c r="AI104" s="318">
        <f t="shared" si="64"/>
        <v>0</v>
      </c>
      <c r="AJ104" s="318">
        <f t="shared" si="65"/>
        <v>0</v>
      </c>
      <c r="AK104" s="318">
        <f t="shared" si="66"/>
        <v>0</v>
      </c>
      <c r="AL104" s="318">
        <f t="shared" si="67"/>
        <v>0</v>
      </c>
      <c r="AM104" s="318">
        <f t="shared" si="68"/>
        <v>0</v>
      </c>
      <c r="AN104" s="318">
        <f t="shared" si="69"/>
        <v>0</v>
      </c>
      <c r="AO104" s="318">
        <f t="shared" si="70"/>
        <v>0</v>
      </c>
      <c r="AP104" s="318">
        <f t="shared" si="71"/>
        <v>0</v>
      </c>
      <c r="AQ104" s="318">
        <f t="shared" si="72"/>
        <v>0</v>
      </c>
      <c r="AR104" s="318">
        <f t="shared" si="73"/>
        <v>0</v>
      </c>
      <c r="AS104" s="318">
        <f t="shared" si="74"/>
        <v>0</v>
      </c>
      <c r="AT104" s="318">
        <f t="shared" si="75"/>
        <v>0</v>
      </c>
      <c r="AU104" s="318">
        <f t="shared" si="76"/>
        <v>0</v>
      </c>
      <c r="AV104" s="318">
        <f t="shared" si="77"/>
        <v>0</v>
      </c>
      <c r="AW104" s="318">
        <f t="shared" si="78"/>
        <v>0</v>
      </c>
      <c r="AX104" s="318">
        <f t="shared" si="79"/>
        <v>0</v>
      </c>
      <c r="AY104" s="318">
        <f t="shared" si="80"/>
        <v>0</v>
      </c>
      <c r="AZ104" s="318">
        <f t="shared" si="81"/>
        <v>0</v>
      </c>
      <c r="BA104" s="318">
        <f t="shared" si="82"/>
        <v>0</v>
      </c>
    </row>
    <row r="105" spans="1:53" s="315" customFormat="1" ht="16.5" customHeight="1">
      <c r="A105" s="63" t="str">
        <f t="array" ref="A105">IF(C105&lt;&gt;0,SUM(($C$11:C105&lt;&gt;0)*1),"")</f>
        <v/>
      </c>
      <c r="B105" s="316"/>
      <c r="C105" s="316"/>
      <c r="D105" s="316"/>
      <c r="E105" s="436"/>
      <c r="F105" s="372"/>
      <c r="G105" s="374"/>
      <c r="H105" s="374"/>
      <c r="I105" s="63" t="str">
        <f t="shared" si="89"/>
        <v/>
      </c>
      <c r="J105" s="318">
        <f t="shared" si="45"/>
        <v>0</v>
      </c>
      <c r="K105" s="318">
        <f t="shared" si="46"/>
        <v>0</v>
      </c>
      <c r="L105" s="318">
        <f t="shared" si="47"/>
        <v>0</v>
      </c>
      <c r="M105" s="318">
        <f t="shared" si="48"/>
        <v>0</v>
      </c>
      <c r="N105" s="318">
        <f t="shared" si="83"/>
        <v>0</v>
      </c>
      <c r="O105" s="318">
        <f t="shared" si="84"/>
        <v>0</v>
      </c>
      <c r="P105" s="318">
        <f t="shared" si="49"/>
        <v>0</v>
      </c>
      <c r="Q105" s="318">
        <f t="shared" si="50"/>
        <v>0</v>
      </c>
      <c r="R105" s="318">
        <f t="shared" si="51"/>
        <v>0</v>
      </c>
      <c r="S105" s="318">
        <f t="shared" si="52"/>
        <v>0</v>
      </c>
      <c r="T105" s="318">
        <f t="shared" si="85"/>
        <v>0</v>
      </c>
      <c r="U105" s="318">
        <f t="shared" si="86"/>
        <v>0</v>
      </c>
      <c r="V105" s="318">
        <f t="shared" si="53"/>
        <v>0</v>
      </c>
      <c r="W105" s="318">
        <f t="shared" si="54"/>
        <v>0</v>
      </c>
      <c r="X105" s="318">
        <f t="shared" si="55"/>
        <v>0</v>
      </c>
      <c r="Y105" s="318">
        <f t="shared" si="56"/>
        <v>0</v>
      </c>
      <c r="Z105" s="318">
        <f t="shared" si="57"/>
        <v>0</v>
      </c>
      <c r="AA105" s="318">
        <f t="shared" si="58"/>
        <v>0</v>
      </c>
      <c r="AB105" s="318">
        <f t="shared" si="59"/>
        <v>0</v>
      </c>
      <c r="AC105" s="318">
        <f t="shared" si="60"/>
        <v>0</v>
      </c>
      <c r="AD105" s="318">
        <f t="shared" si="61"/>
        <v>0</v>
      </c>
      <c r="AE105" s="318">
        <f t="shared" si="62"/>
        <v>0</v>
      </c>
      <c r="AF105" s="318">
        <f t="shared" si="87"/>
        <v>0</v>
      </c>
      <c r="AG105" s="318">
        <f t="shared" si="88"/>
        <v>0</v>
      </c>
      <c r="AH105" s="318">
        <f t="shared" si="63"/>
        <v>0</v>
      </c>
      <c r="AI105" s="318">
        <f t="shared" si="64"/>
        <v>0</v>
      </c>
      <c r="AJ105" s="318">
        <f t="shared" si="65"/>
        <v>0</v>
      </c>
      <c r="AK105" s="318">
        <f t="shared" si="66"/>
        <v>0</v>
      </c>
      <c r="AL105" s="318">
        <f t="shared" si="67"/>
        <v>0</v>
      </c>
      <c r="AM105" s="318">
        <f t="shared" si="68"/>
        <v>0</v>
      </c>
      <c r="AN105" s="318">
        <f t="shared" si="69"/>
        <v>0</v>
      </c>
      <c r="AO105" s="318">
        <f t="shared" si="70"/>
        <v>0</v>
      </c>
      <c r="AP105" s="318">
        <f t="shared" si="71"/>
        <v>0</v>
      </c>
      <c r="AQ105" s="318">
        <f t="shared" si="72"/>
        <v>0</v>
      </c>
      <c r="AR105" s="318">
        <f t="shared" si="73"/>
        <v>0</v>
      </c>
      <c r="AS105" s="318">
        <f t="shared" si="74"/>
        <v>0</v>
      </c>
      <c r="AT105" s="318">
        <f t="shared" si="75"/>
        <v>0</v>
      </c>
      <c r="AU105" s="318">
        <f t="shared" si="76"/>
        <v>0</v>
      </c>
      <c r="AV105" s="318">
        <f t="shared" si="77"/>
        <v>0</v>
      </c>
      <c r="AW105" s="318">
        <f t="shared" si="78"/>
        <v>0</v>
      </c>
      <c r="AX105" s="318">
        <f t="shared" si="79"/>
        <v>0</v>
      </c>
      <c r="AY105" s="318">
        <f t="shared" si="80"/>
        <v>0</v>
      </c>
      <c r="AZ105" s="318">
        <f t="shared" si="81"/>
        <v>0</v>
      </c>
      <c r="BA105" s="318">
        <f t="shared" si="82"/>
        <v>0</v>
      </c>
    </row>
    <row r="106" spans="1:53" s="315" customFormat="1" ht="16.5" customHeight="1">
      <c r="A106" s="63" t="str">
        <f t="array" ref="A106">IF(C106&lt;&gt;0,SUM(($C$11:C106&lt;&gt;0)*1),"")</f>
        <v/>
      </c>
      <c r="B106" s="316"/>
      <c r="C106" s="316"/>
      <c r="D106" s="316"/>
      <c r="E106" s="436"/>
      <c r="F106" s="372"/>
      <c r="G106" s="374"/>
      <c r="H106" s="374"/>
      <c r="I106" s="63" t="str">
        <f t="shared" si="89"/>
        <v/>
      </c>
      <c r="J106" s="318">
        <f t="shared" si="45"/>
        <v>0</v>
      </c>
      <c r="K106" s="318">
        <f t="shared" si="46"/>
        <v>0</v>
      </c>
      <c r="L106" s="318">
        <f t="shared" si="47"/>
        <v>0</v>
      </c>
      <c r="M106" s="318">
        <f t="shared" si="48"/>
        <v>0</v>
      </c>
      <c r="N106" s="318">
        <f t="shared" si="83"/>
        <v>0</v>
      </c>
      <c r="O106" s="318">
        <f t="shared" si="84"/>
        <v>0</v>
      </c>
      <c r="P106" s="318">
        <f t="shared" si="49"/>
        <v>0</v>
      </c>
      <c r="Q106" s="318">
        <f t="shared" si="50"/>
        <v>0</v>
      </c>
      <c r="R106" s="318">
        <f t="shared" si="51"/>
        <v>0</v>
      </c>
      <c r="S106" s="318">
        <f t="shared" si="52"/>
        <v>0</v>
      </c>
      <c r="T106" s="318">
        <f t="shared" si="85"/>
        <v>0</v>
      </c>
      <c r="U106" s="318">
        <f t="shared" si="86"/>
        <v>0</v>
      </c>
      <c r="V106" s="318">
        <f t="shared" si="53"/>
        <v>0</v>
      </c>
      <c r="W106" s="318">
        <f t="shared" si="54"/>
        <v>0</v>
      </c>
      <c r="X106" s="318">
        <f t="shared" si="55"/>
        <v>0</v>
      </c>
      <c r="Y106" s="318">
        <f t="shared" si="56"/>
        <v>0</v>
      </c>
      <c r="Z106" s="318">
        <f t="shared" si="57"/>
        <v>0</v>
      </c>
      <c r="AA106" s="318">
        <f t="shared" si="58"/>
        <v>0</v>
      </c>
      <c r="AB106" s="318">
        <f t="shared" si="59"/>
        <v>0</v>
      </c>
      <c r="AC106" s="318">
        <f t="shared" si="60"/>
        <v>0</v>
      </c>
      <c r="AD106" s="318">
        <f t="shared" si="61"/>
        <v>0</v>
      </c>
      <c r="AE106" s="318">
        <f t="shared" si="62"/>
        <v>0</v>
      </c>
      <c r="AF106" s="318">
        <f t="shared" si="87"/>
        <v>0</v>
      </c>
      <c r="AG106" s="318">
        <f t="shared" si="88"/>
        <v>0</v>
      </c>
      <c r="AH106" s="318">
        <f t="shared" si="63"/>
        <v>0</v>
      </c>
      <c r="AI106" s="318">
        <f t="shared" si="64"/>
        <v>0</v>
      </c>
      <c r="AJ106" s="318">
        <f t="shared" si="65"/>
        <v>0</v>
      </c>
      <c r="AK106" s="318">
        <f t="shared" si="66"/>
        <v>0</v>
      </c>
      <c r="AL106" s="318">
        <f t="shared" si="67"/>
        <v>0</v>
      </c>
      <c r="AM106" s="318">
        <f t="shared" si="68"/>
        <v>0</v>
      </c>
      <c r="AN106" s="318">
        <f t="shared" si="69"/>
        <v>0</v>
      </c>
      <c r="AO106" s="318">
        <f t="shared" si="70"/>
        <v>0</v>
      </c>
      <c r="AP106" s="318">
        <f t="shared" si="71"/>
        <v>0</v>
      </c>
      <c r="AQ106" s="318">
        <f t="shared" si="72"/>
        <v>0</v>
      </c>
      <c r="AR106" s="318">
        <f t="shared" si="73"/>
        <v>0</v>
      </c>
      <c r="AS106" s="318">
        <f t="shared" si="74"/>
        <v>0</v>
      </c>
      <c r="AT106" s="318">
        <f t="shared" si="75"/>
        <v>0</v>
      </c>
      <c r="AU106" s="318">
        <f t="shared" si="76"/>
        <v>0</v>
      </c>
      <c r="AV106" s="318">
        <f t="shared" si="77"/>
        <v>0</v>
      </c>
      <c r="AW106" s="318">
        <f t="shared" si="78"/>
        <v>0</v>
      </c>
      <c r="AX106" s="318">
        <f t="shared" si="79"/>
        <v>0</v>
      </c>
      <c r="AY106" s="318">
        <f t="shared" si="80"/>
        <v>0</v>
      </c>
      <c r="AZ106" s="318">
        <f t="shared" si="81"/>
        <v>0</v>
      </c>
      <c r="BA106" s="318">
        <f t="shared" si="82"/>
        <v>0</v>
      </c>
    </row>
    <row r="107" spans="1:53" s="315" customFormat="1" ht="16.5" customHeight="1">
      <c r="A107" s="63" t="str">
        <f t="array" ref="A107">IF(C107&lt;&gt;0,SUM(($C$11:C107&lt;&gt;0)*1),"")</f>
        <v/>
      </c>
      <c r="B107" s="316"/>
      <c r="C107" s="316"/>
      <c r="D107" s="316"/>
      <c r="E107" s="436"/>
      <c r="F107" s="372"/>
      <c r="G107" s="374"/>
      <c r="H107" s="374"/>
      <c r="I107" s="63" t="str">
        <f t="shared" si="89"/>
        <v/>
      </c>
      <c r="J107" s="318">
        <f t="shared" si="45"/>
        <v>0</v>
      </c>
      <c r="K107" s="318">
        <f t="shared" si="46"/>
        <v>0</v>
      </c>
      <c r="L107" s="318">
        <f t="shared" si="47"/>
        <v>0</v>
      </c>
      <c r="M107" s="318">
        <f t="shared" si="48"/>
        <v>0</v>
      </c>
      <c r="N107" s="318">
        <f t="shared" si="83"/>
        <v>0</v>
      </c>
      <c r="O107" s="318">
        <f t="shared" si="84"/>
        <v>0</v>
      </c>
      <c r="P107" s="318">
        <f t="shared" si="49"/>
        <v>0</v>
      </c>
      <c r="Q107" s="318">
        <f t="shared" si="50"/>
        <v>0</v>
      </c>
      <c r="R107" s="318">
        <f t="shared" si="51"/>
        <v>0</v>
      </c>
      <c r="S107" s="318">
        <f t="shared" si="52"/>
        <v>0</v>
      </c>
      <c r="T107" s="318">
        <f t="shared" si="85"/>
        <v>0</v>
      </c>
      <c r="U107" s="318">
        <f t="shared" si="86"/>
        <v>0</v>
      </c>
      <c r="V107" s="318">
        <f t="shared" si="53"/>
        <v>0</v>
      </c>
      <c r="W107" s="318">
        <f t="shared" si="54"/>
        <v>0</v>
      </c>
      <c r="X107" s="318">
        <f t="shared" si="55"/>
        <v>0</v>
      </c>
      <c r="Y107" s="318">
        <f t="shared" si="56"/>
        <v>0</v>
      </c>
      <c r="Z107" s="318">
        <f t="shared" si="57"/>
        <v>0</v>
      </c>
      <c r="AA107" s="318">
        <f t="shared" si="58"/>
        <v>0</v>
      </c>
      <c r="AB107" s="318">
        <f t="shared" si="59"/>
        <v>0</v>
      </c>
      <c r="AC107" s="318">
        <f t="shared" si="60"/>
        <v>0</v>
      </c>
      <c r="AD107" s="318">
        <f t="shared" si="61"/>
        <v>0</v>
      </c>
      <c r="AE107" s="318">
        <f t="shared" si="62"/>
        <v>0</v>
      </c>
      <c r="AF107" s="318">
        <f t="shared" si="87"/>
        <v>0</v>
      </c>
      <c r="AG107" s="318">
        <f t="shared" si="88"/>
        <v>0</v>
      </c>
      <c r="AH107" s="318">
        <f t="shared" si="63"/>
        <v>0</v>
      </c>
      <c r="AI107" s="318">
        <f t="shared" si="64"/>
        <v>0</v>
      </c>
      <c r="AJ107" s="318">
        <f t="shared" si="65"/>
        <v>0</v>
      </c>
      <c r="AK107" s="318">
        <f t="shared" si="66"/>
        <v>0</v>
      </c>
      <c r="AL107" s="318">
        <f t="shared" si="67"/>
        <v>0</v>
      </c>
      <c r="AM107" s="318">
        <f t="shared" si="68"/>
        <v>0</v>
      </c>
      <c r="AN107" s="318">
        <f t="shared" si="69"/>
        <v>0</v>
      </c>
      <c r="AO107" s="318">
        <f t="shared" si="70"/>
        <v>0</v>
      </c>
      <c r="AP107" s="318">
        <f t="shared" si="71"/>
        <v>0</v>
      </c>
      <c r="AQ107" s="318">
        <f t="shared" si="72"/>
        <v>0</v>
      </c>
      <c r="AR107" s="318">
        <f t="shared" si="73"/>
        <v>0</v>
      </c>
      <c r="AS107" s="318">
        <f t="shared" si="74"/>
        <v>0</v>
      </c>
      <c r="AT107" s="318">
        <f t="shared" si="75"/>
        <v>0</v>
      </c>
      <c r="AU107" s="318">
        <f t="shared" si="76"/>
        <v>0</v>
      </c>
      <c r="AV107" s="318">
        <f t="shared" si="77"/>
        <v>0</v>
      </c>
      <c r="AW107" s="318">
        <f t="shared" si="78"/>
        <v>0</v>
      </c>
      <c r="AX107" s="318">
        <f t="shared" si="79"/>
        <v>0</v>
      </c>
      <c r="AY107" s="318">
        <f t="shared" si="80"/>
        <v>0</v>
      </c>
      <c r="AZ107" s="318">
        <f t="shared" si="81"/>
        <v>0</v>
      </c>
      <c r="BA107" s="318">
        <f t="shared" si="82"/>
        <v>0</v>
      </c>
    </row>
    <row r="108" spans="1:53" s="315" customFormat="1" ht="16.5" customHeight="1">
      <c r="A108" s="63" t="str">
        <f t="array" ref="A108">IF(C108&lt;&gt;0,SUM(($C$11:C108&lt;&gt;0)*1),"")</f>
        <v/>
      </c>
      <c r="B108" s="316"/>
      <c r="C108" s="316"/>
      <c r="D108" s="316"/>
      <c r="E108" s="436"/>
      <c r="F108" s="372"/>
      <c r="G108" s="374"/>
      <c r="H108" s="374"/>
      <c r="I108" s="63" t="str">
        <f t="shared" si="89"/>
        <v/>
      </c>
      <c r="J108" s="318">
        <f t="shared" si="45"/>
        <v>0</v>
      </c>
      <c r="K108" s="318">
        <f t="shared" si="46"/>
        <v>0</v>
      </c>
      <c r="L108" s="318">
        <f t="shared" si="47"/>
        <v>0</v>
      </c>
      <c r="M108" s="318">
        <f t="shared" si="48"/>
        <v>0</v>
      </c>
      <c r="N108" s="318">
        <f t="shared" si="83"/>
        <v>0</v>
      </c>
      <c r="O108" s="318">
        <f t="shared" si="84"/>
        <v>0</v>
      </c>
      <c r="P108" s="318">
        <f t="shared" si="49"/>
        <v>0</v>
      </c>
      <c r="Q108" s="318">
        <f t="shared" si="50"/>
        <v>0</v>
      </c>
      <c r="R108" s="318">
        <f t="shared" si="51"/>
        <v>0</v>
      </c>
      <c r="S108" s="318">
        <f t="shared" si="52"/>
        <v>0</v>
      </c>
      <c r="T108" s="318">
        <f t="shared" si="85"/>
        <v>0</v>
      </c>
      <c r="U108" s="318">
        <f t="shared" si="86"/>
        <v>0</v>
      </c>
      <c r="V108" s="318">
        <f t="shared" si="53"/>
        <v>0</v>
      </c>
      <c r="W108" s="318">
        <f t="shared" si="54"/>
        <v>0</v>
      </c>
      <c r="X108" s="318">
        <f t="shared" si="55"/>
        <v>0</v>
      </c>
      <c r="Y108" s="318">
        <f t="shared" si="56"/>
        <v>0</v>
      </c>
      <c r="Z108" s="318">
        <f t="shared" si="57"/>
        <v>0</v>
      </c>
      <c r="AA108" s="318">
        <f t="shared" si="58"/>
        <v>0</v>
      </c>
      <c r="AB108" s="318">
        <f t="shared" si="59"/>
        <v>0</v>
      </c>
      <c r="AC108" s="318">
        <f t="shared" si="60"/>
        <v>0</v>
      </c>
      <c r="AD108" s="318">
        <f t="shared" si="61"/>
        <v>0</v>
      </c>
      <c r="AE108" s="318">
        <f t="shared" si="62"/>
        <v>0</v>
      </c>
      <c r="AF108" s="318">
        <f t="shared" si="87"/>
        <v>0</v>
      </c>
      <c r="AG108" s="318">
        <f t="shared" si="88"/>
        <v>0</v>
      </c>
      <c r="AH108" s="318">
        <f t="shared" si="63"/>
        <v>0</v>
      </c>
      <c r="AI108" s="318">
        <f t="shared" si="64"/>
        <v>0</v>
      </c>
      <c r="AJ108" s="318">
        <f t="shared" si="65"/>
        <v>0</v>
      </c>
      <c r="AK108" s="318">
        <f t="shared" si="66"/>
        <v>0</v>
      </c>
      <c r="AL108" s="318">
        <f t="shared" si="67"/>
        <v>0</v>
      </c>
      <c r="AM108" s="318">
        <f t="shared" si="68"/>
        <v>0</v>
      </c>
      <c r="AN108" s="318">
        <f t="shared" si="69"/>
        <v>0</v>
      </c>
      <c r="AO108" s="318">
        <f t="shared" si="70"/>
        <v>0</v>
      </c>
      <c r="AP108" s="318">
        <f t="shared" si="71"/>
        <v>0</v>
      </c>
      <c r="AQ108" s="318">
        <f t="shared" si="72"/>
        <v>0</v>
      </c>
      <c r="AR108" s="318">
        <f t="shared" si="73"/>
        <v>0</v>
      </c>
      <c r="AS108" s="318">
        <f t="shared" si="74"/>
        <v>0</v>
      </c>
      <c r="AT108" s="318">
        <f t="shared" si="75"/>
        <v>0</v>
      </c>
      <c r="AU108" s="318">
        <f t="shared" si="76"/>
        <v>0</v>
      </c>
      <c r="AV108" s="318">
        <f t="shared" si="77"/>
        <v>0</v>
      </c>
      <c r="AW108" s="318">
        <f t="shared" si="78"/>
        <v>0</v>
      </c>
      <c r="AX108" s="318">
        <f t="shared" si="79"/>
        <v>0</v>
      </c>
      <c r="AY108" s="318">
        <f t="shared" si="80"/>
        <v>0</v>
      </c>
      <c r="AZ108" s="318">
        <f t="shared" si="81"/>
        <v>0</v>
      </c>
      <c r="BA108" s="318">
        <f t="shared" si="82"/>
        <v>0</v>
      </c>
    </row>
    <row r="109" spans="1:53" s="315" customFormat="1" ht="16.5" customHeight="1">
      <c r="A109" s="63" t="str">
        <f t="array" ref="A109">IF(C109&lt;&gt;0,SUM(($C$11:C109&lt;&gt;0)*1),"")</f>
        <v/>
      </c>
      <c r="B109" s="316"/>
      <c r="C109" s="316"/>
      <c r="D109" s="316"/>
      <c r="E109" s="436"/>
      <c r="F109" s="372"/>
      <c r="G109" s="374"/>
      <c r="H109" s="374"/>
      <c r="I109" s="63" t="str">
        <f t="shared" si="89"/>
        <v/>
      </c>
      <c r="J109" s="318">
        <f t="shared" si="45"/>
        <v>0</v>
      </c>
      <c r="K109" s="318">
        <f t="shared" si="46"/>
        <v>0</v>
      </c>
      <c r="L109" s="318">
        <f t="shared" si="47"/>
        <v>0</v>
      </c>
      <c r="M109" s="318">
        <f t="shared" si="48"/>
        <v>0</v>
      </c>
      <c r="N109" s="318">
        <f t="shared" si="83"/>
        <v>0</v>
      </c>
      <c r="O109" s="318">
        <f t="shared" si="84"/>
        <v>0</v>
      </c>
      <c r="P109" s="318">
        <f t="shared" si="49"/>
        <v>0</v>
      </c>
      <c r="Q109" s="318">
        <f t="shared" si="50"/>
        <v>0</v>
      </c>
      <c r="R109" s="318">
        <f t="shared" si="51"/>
        <v>0</v>
      </c>
      <c r="S109" s="318">
        <f t="shared" si="52"/>
        <v>0</v>
      </c>
      <c r="T109" s="318">
        <f t="shared" si="85"/>
        <v>0</v>
      </c>
      <c r="U109" s="318">
        <f t="shared" si="86"/>
        <v>0</v>
      </c>
      <c r="V109" s="318">
        <f t="shared" si="53"/>
        <v>0</v>
      </c>
      <c r="W109" s="318">
        <f t="shared" si="54"/>
        <v>0</v>
      </c>
      <c r="X109" s="318">
        <f t="shared" si="55"/>
        <v>0</v>
      </c>
      <c r="Y109" s="318">
        <f t="shared" si="56"/>
        <v>0</v>
      </c>
      <c r="Z109" s="318">
        <f t="shared" si="57"/>
        <v>0</v>
      </c>
      <c r="AA109" s="318">
        <f t="shared" si="58"/>
        <v>0</v>
      </c>
      <c r="AB109" s="318">
        <f t="shared" si="59"/>
        <v>0</v>
      </c>
      <c r="AC109" s="318">
        <f t="shared" si="60"/>
        <v>0</v>
      </c>
      <c r="AD109" s="318">
        <f t="shared" si="61"/>
        <v>0</v>
      </c>
      <c r="AE109" s="318">
        <f t="shared" si="62"/>
        <v>0</v>
      </c>
      <c r="AF109" s="318">
        <f t="shared" si="87"/>
        <v>0</v>
      </c>
      <c r="AG109" s="318">
        <f t="shared" si="88"/>
        <v>0</v>
      </c>
      <c r="AH109" s="318">
        <f t="shared" si="63"/>
        <v>0</v>
      </c>
      <c r="AI109" s="318">
        <f t="shared" si="64"/>
        <v>0</v>
      </c>
      <c r="AJ109" s="318">
        <f t="shared" si="65"/>
        <v>0</v>
      </c>
      <c r="AK109" s="318">
        <f t="shared" si="66"/>
        <v>0</v>
      </c>
      <c r="AL109" s="318">
        <f t="shared" si="67"/>
        <v>0</v>
      </c>
      <c r="AM109" s="318">
        <f t="shared" si="68"/>
        <v>0</v>
      </c>
      <c r="AN109" s="318">
        <f t="shared" si="69"/>
        <v>0</v>
      </c>
      <c r="AO109" s="318">
        <f t="shared" si="70"/>
        <v>0</v>
      </c>
      <c r="AP109" s="318">
        <f t="shared" si="71"/>
        <v>0</v>
      </c>
      <c r="AQ109" s="318">
        <f t="shared" si="72"/>
        <v>0</v>
      </c>
      <c r="AR109" s="318">
        <f t="shared" si="73"/>
        <v>0</v>
      </c>
      <c r="AS109" s="318">
        <f t="shared" si="74"/>
        <v>0</v>
      </c>
      <c r="AT109" s="318">
        <f t="shared" si="75"/>
        <v>0</v>
      </c>
      <c r="AU109" s="318">
        <f t="shared" si="76"/>
        <v>0</v>
      </c>
      <c r="AV109" s="318">
        <f t="shared" si="77"/>
        <v>0</v>
      </c>
      <c r="AW109" s="318">
        <f t="shared" si="78"/>
        <v>0</v>
      </c>
      <c r="AX109" s="318">
        <f t="shared" si="79"/>
        <v>0</v>
      </c>
      <c r="AY109" s="318">
        <f t="shared" si="80"/>
        <v>0</v>
      </c>
      <c r="AZ109" s="318">
        <f t="shared" si="81"/>
        <v>0</v>
      </c>
      <c r="BA109" s="318">
        <f t="shared" si="82"/>
        <v>0</v>
      </c>
    </row>
    <row r="110" spans="1:53" s="315" customFormat="1" ht="16.5" customHeight="1">
      <c r="A110" s="63" t="str">
        <f t="array" ref="A110">IF(C110&lt;&gt;0,SUM(($C$11:C110&lt;&gt;0)*1),"")</f>
        <v/>
      </c>
      <c r="B110" s="316"/>
      <c r="C110" s="316"/>
      <c r="D110" s="316"/>
      <c r="E110" s="436"/>
      <c r="F110" s="372"/>
      <c r="G110" s="374"/>
      <c r="H110" s="374"/>
      <c r="I110" s="63" t="str">
        <f t="shared" si="89"/>
        <v/>
      </c>
      <c r="J110" s="318">
        <f t="shared" si="45"/>
        <v>0</v>
      </c>
      <c r="K110" s="318">
        <f t="shared" si="46"/>
        <v>0</v>
      </c>
      <c r="L110" s="318">
        <f t="shared" si="47"/>
        <v>0</v>
      </c>
      <c r="M110" s="318">
        <f t="shared" si="48"/>
        <v>0</v>
      </c>
      <c r="N110" s="318">
        <f t="shared" si="83"/>
        <v>0</v>
      </c>
      <c r="O110" s="318">
        <f t="shared" si="84"/>
        <v>0</v>
      </c>
      <c r="P110" s="318">
        <f t="shared" si="49"/>
        <v>0</v>
      </c>
      <c r="Q110" s="318">
        <f t="shared" si="50"/>
        <v>0</v>
      </c>
      <c r="R110" s="318">
        <f t="shared" si="51"/>
        <v>0</v>
      </c>
      <c r="S110" s="318">
        <f t="shared" si="52"/>
        <v>0</v>
      </c>
      <c r="T110" s="318">
        <f t="shared" si="85"/>
        <v>0</v>
      </c>
      <c r="U110" s="318">
        <f t="shared" si="86"/>
        <v>0</v>
      </c>
      <c r="V110" s="318">
        <f t="shared" si="53"/>
        <v>0</v>
      </c>
      <c r="W110" s="318">
        <f t="shared" si="54"/>
        <v>0</v>
      </c>
      <c r="X110" s="318">
        <f t="shared" si="55"/>
        <v>0</v>
      </c>
      <c r="Y110" s="318">
        <f t="shared" si="56"/>
        <v>0</v>
      </c>
      <c r="Z110" s="318">
        <f t="shared" si="57"/>
        <v>0</v>
      </c>
      <c r="AA110" s="318">
        <f t="shared" si="58"/>
        <v>0</v>
      </c>
      <c r="AB110" s="318">
        <f t="shared" si="59"/>
        <v>0</v>
      </c>
      <c r="AC110" s="318">
        <f t="shared" si="60"/>
        <v>0</v>
      </c>
      <c r="AD110" s="318">
        <f t="shared" si="61"/>
        <v>0</v>
      </c>
      <c r="AE110" s="318">
        <f t="shared" si="62"/>
        <v>0</v>
      </c>
      <c r="AF110" s="318">
        <f t="shared" si="87"/>
        <v>0</v>
      </c>
      <c r="AG110" s="318">
        <f t="shared" si="88"/>
        <v>0</v>
      </c>
      <c r="AH110" s="318">
        <f t="shared" si="63"/>
        <v>0</v>
      </c>
      <c r="AI110" s="318">
        <f t="shared" si="64"/>
        <v>0</v>
      </c>
      <c r="AJ110" s="318">
        <f t="shared" si="65"/>
        <v>0</v>
      </c>
      <c r="AK110" s="318">
        <f t="shared" si="66"/>
        <v>0</v>
      </c>
      <c r="AL110" s="318">
        <f t="shared" si="67"/>
        <v>0</v>
      </c>
      <c r="AM110" s="318">
        <f t="shared" si="68"/>
        <v>0</v>
      </c>
      <c r="AN110" s="318">
        <f t="shared" si="69"/>
        <v>0</v>
      </c>
      <c r="AO110" s="318">
        <f t="shared" si="70"/>
        <v>0</v>
      </c>
      <c r="AP110" s="318">
        <f t="shared" si="71"/>
        <v>0</v>
      </c>
      <c r="AQ110" s="318">
        <f t="shared" si="72"/>
        <v>0</v>
      </c>
      <c r="AR110" s="318">
        <f t="shared" si="73"/>
        <v>0</v>
      </c>
      <c r="AS110" s="318">
        <f t="shared" si="74"/>
        <v>0</v>
      </c>
      <c r="AT110" s="318">
        <f t="shared" si="75"/>
        <v>0</v>
      </c>
      <c r="AU110" s="318">
        <f t="shared" si="76"/>
        <v>0</v>
      </c>
      <c r="AV110" s="318">
        <f t="shared" si="77"/>
        <v>0</v>
      </c>
      <c r="AW110" s="318">
        <f t="shared" si="78"/>
        <v>0</v>
      </c>
      <c r="AX110" s="318">
        <f t="shared" si="79"/>
        <v>0</v>
      </c>
      <c r="AY110" s="318">
        <f t="shared" si="80"/>
        <v>0</v>
      </c>
      <c r="AZ110" s="318">
        <f t="shared" si="81"/>
        <v>0</v>
      </c>
      <c r="BA110" s="318">
        <f t="shared" si="82"/>
        <v>0</v>
      </c>
    </row>
    <row r="111" spans="1:53" s="315" customFormat="1" ht="16.5" customHeight="1">
      <c r="A111" s="63" t="str">
        <f t="array" ref="A111">IF(C111&lt;&gt;0,SUM(($C$11:C111&lt;&gt;0)*1),"")</f>
        <v/>
      </c>
      <c r="B111" s="316"/>
      <c r="C111" s="316"/>
      <c r="D111" s="316"/>
      <c r="E111" s="436"/>
      <c r="F111" s="372"/>
      <c r="G111" s="374"/>
      <c r="H111" s="374"/>
      <c r="I111" s="63" t="str">
        <f t="shared" si="89"/>
        <v/>
      </c>
      <c r="J111" s="318">
        <f t="shared" si="45"/>
        <v>0</v>
      </c>
      <c r="K111" s="318">
        <f t="shared" si="46"/>
        <v>0</v>
      </c>
      <c r="L111" s="318">
        <f t="shared" si="47"/>
        <v>0</v>
      </c>
      <c r="M111" s="318">
        <f t="shared" si="48"/>
        <v>0</v>
      </c>
      <c r="N111" s="318">
        <f t="shared" si="83"/>
        <v>0</v>
      </c>
      <c r="O111" s="318">
        <f t="shared" si="84"/>
        <v>0</v>
      </c>
      <c r="P111" s="318">
        <f t="shared" si="49"/>
        <v>0</v>
      </c>
      <c r="Q111" s="318">
        <f t="shared" si="50"/>
        <v>0</v>
      </c>
      <c r="R111" s="318">
        <f t="shared" si="51"/>
        <v>0</v>
      </c>
      <c r="S111" s="318">
        <f t="shared" si="52"/>
        <v>0</v>
      </c>
      <c r="T111" s="318">
        <f t="shared" si="85"/>
        <v>0</v>
      </c>
      <c r="U111" s="318">
        <f t="shared" si="86"/>
        <v>0</v>
      </c>
      <c r="V111" s="318">
        <f t="shared" si="53"/>
        <v>0</v>
      </c>
      <c r="W111" s="318">
        <f t="shared" si="54"/>
        <v>0</v>
      </c>
      <c r="X111" s="318">
        <f t="shared" si="55"/>
        <v>0</v>
      </c>
      <c r="Y111" s="318">
        <f t="shared" si="56"/>
        <v>0</v>
      </c>
      <c r="Z111" s="318">
        <f t="shared" si="57"/>
        <v>0</v>
      </c>
      <c r="AA111" s="318">
        <f t="shared" si="58"/>
        <v>0</v>
      </c>
      <c r="AB111" s="318">
        <f t="shared" si="59"/>
        <v>0</v>
      </c>
      <c r="AC111" s="318">
        <f t="shared" si="60"/>
        <v>0</v>
      </c>
      <c r="AD111" s="318">
        <f t="shared" si="61"/>
        <v>0</v>
      </c>
      <c r="AE111" s="318">
        <f t="shared" si="62"/>
        <v>0</v>
      </c>
      <c r="AF111" s="318">
        <f t="shared" si="87"/>
        <v>0</v>
      </c>
      <c r="AG111" s="318">
        <f t="shared" si="88"/>
        <v>0</v>
      </c>
      <c r="AH111" s="318">
        <f t="shared" si="63"/>
        <v>0</v>
      </c>
      <c r="AI111" s="318">
        <f t="shared" si="64"/>
        <v>0</v>
      </c>
      <c r="AJ111" s="318">
        <f t="shared" si="65"/>
        <v>0</v>
      </c>
      <c r="AK111" s="318">
        <f t="shared" si="66"/>
        <v>0</v>
      </c>
      <c r="AL111" s="318">
        <f t="shared" si="67"/>
        <v>0</v>
      </c>
      <c r="AM111" s="318">
        <f t="shared" si="68"/>
        <v>0</v>
      </c>
      <c r="AN111" s="318">
        <f t="shared" si="69"/>
        <v>0</v>
      </c>
      <c r="AO111" s="318">
        <f t="shared" si="70"/>
        <v>0</v>
      </c>
      <c r="AP111" s="318">
        <f t="shared" si="71"/>
        <v>0</v>
      </c>
      <c r="AQ111" s="318">
        <f t="shared" si="72"/>
        <v>0</v>
      </c>
      <c r="AR111" s="318">
        <f t="shared" si="73"/>
        <v>0</v>
      </c>
      <c r="AS111" s="318">
        <f t="shared" si="74"/>
        <v>0</v>
      </c>
      <c r="AT111" s="318">
        <f t="shared" si="75"/>
        <v>0</v>
      </c>
      <c r="AU111" s="318">
        <f t="shared" si="76"/>
        <v>0</v>
      </c>
      <c r="AV111" s="318">
        <f t="shared" si="77"/>
        <v>0</v>
      </c>
      <c r="AW111" s="318">
        <f t="shared" si="78"/>
        <v>0</v>
      </c>
      <c r="AX111" s="318">
        <f t="shared" si="79"/>
        <v>0</v>
      </c>
      <c r="AY111" s="318">
        <f t="shared" si="80"/>
        <v>0</v>
      </c>
      <c r="AZ111" s="318">
        <f t="shared" si="81"/>
        <v>0</v>
      </c>
      <c r="BA111" s="318">
        <f t="shared" si="82"/>
        <v>0</v>
      </c>
    </row>
    <row r="112" spans="1:53" s="315" customFormat="1" ht="16.5" customHeight="1">
      <c r="A112" s="63" t="str">
        <f t="array" ref="A112">IF(C112&lt;&gt;0,SUM(($C$11:C112&lt;&gt;0)*1),"")</f>
        <v/>
      </c>
      <c r="B112" s="316"/>
      <c r="C112" s="316"/>
      <c r="D112" s="316"/>
      <c r="E112" s="436"/>
      <c r="F112" s="372"/>
      <c r="G112" s="374"/>
      <c r="H112" s="374"/>
      <c r="I112" s="63" t="str">
        <f t="shared" si="89"/>
        <v/>
      </c>
      <c r="J112" s="318">
        <f t="shared" si="45"/>
        <v>0</v>
      </c>
      <c r="K112" s="318">
        <f t="shared" si="46"/>
        <v>0</v>
      </c>
      <c r="L112" s="318">
        <f t="shared" si="47"/>
        <v>0</v>
      </c>
      <c r="M112" s="318">
        <f t="shared" si="48"/>
        <v>0</v>
      </c>
      <c r="N112" s="318">
        <f t="shared" si="83"/>
        <v>0</v>
      </c>
      <c r="O112" s="318">
        <f t="shared" si="84"/>
        <v>0</v>
      </c>
      <c r="P112" s="318">
        <f t="shared" si="49"/>
        <v>0</v>
      </c>
      <c r="Q112" s="318">
        <f t="shared" si="50"/>
        <v>0</v>
      </c>
      <c r="R112" s="318">
        <f t="shared" si="51"/>
        <v>0</v>
      </c>
      <c r="S112" s="318">
        <f t="shared" si="52"/>
        <v>0</v>
      </c>
      <c r="T112" s="318">
        <f t="shared" si="85"/>
        <v>0</v>
      </c>
      <c r="U112" s="318">
        <f t="shared" si="86"/>
        <v>0</v>
      </c>
      <c r="V112" s="318">
        <f t="shared" si="53"/>
        <v>0</v>
      </c>
      <c r="W112" s="318">
        <f t="shared" si="54"/>
        <v>0</v>
      </c>
      <c r="X112" s="318">
        <f t="shared" si="55"/>
        <v>0</v>
      </c>
      <c r="Y112" s="318">
        <f t="shared" si="56"/>
        <v>0</v>
      </c>
      <c r="Z112" s="318">
        <f t="shared" si="57"/>
        <v>0</v>
      </c>
      <c r="AA112" s="318">
        <f t="shared" si="58"/>
        <v>0</v>
      </c>
      <c r="AB112" s="318">
        <f t="shared" si="59"/>
        <v>0</v>
      </c>
      <c r="AC112" s="318">
        <f t="shared" si="60"/>
        <v>0</v>
      </c>
      <c r="AD112" s="318">
        <f t="shared" si="61"/>
        <v>0</v>
      </c>
      <c r="AE112" s="318">
        <f t="shared" si="62"/>
        <v>0</v>
      </c>
      <c r="AF112" s="318">
        <f t="shared" si="87"/>
        <v>0</v>
      </c>
      <c r="AG112" s="318">
        <f t="shared" si="88"/>
        <v>0</v>
      </c>
      <c r="AH112" s="318">
        <f t="shared" si="63"/>
        <v>0</v>
      </c>
      <c r="AI112" s="318">
        <f t="shared" si="64"/>
        <v>0</v>
      </c>
      <c r="AJ112" s="318">
        <f t="shared" si="65"/>
        <v>0</v>
      </c>
      <c r="AK112" s="318">
        <f t="shared" si="66"/>
        <v>0</v>
      </c>
      <c r="AL112" s="318">
        <f t="shared" si="67"/>
        <v>0</v>
      </c>
      <c r="AM112" s="318">
        <f t="shared" si="68"/>
        <v>0</v>
      </c>
      <c r="AN112" s="318">
        <f t="shared" si="69"/>
        <v>0</v>
      </c>
      <c r="AO112" s="318">
        <f t="shared" si="70"/>
        <v>0</v>
      </c>
      <c r="AP112" s="318">
        <f t="shared" si="71"/>
        <v>0</v>
      </c>
      <c r="AQ112" s="318">
        <f t="shared" si="72"/>
        <v>0</v>
      </c>
      <c r="AR112" s="318">
        <f t="shared" si="73"/>
        <v>0</v>
      </c>
      <c r="AS112" s="318">
        <f t="shared" si="74"/>
        <v>0</v>
      </c>
      <c r="AT112" s="318">
        <f t="shared" si="75"/>
        <v>0</v>
      </c>
      <c r="AU112" s="318">
        <f t="shared" si="76"/>
        <v>0</v>
      </c>
      <c r="AV112" s="318">
        <f t="shared" si="77"/>
        <v>0</v>
      </c>
      <c r="AW112" s="318">
        <f t="shared" si="78"/>
        <v>0</v>
      </c>
      <c r="AX112" s="318">
        <f t="shared" si="79"/>
        <v>0</v>
      </c>
      <c r="AY112" s="318">
        <f t="shared" si="80"/>
        <v>0</v>
      </c>
      <c r="AZ112" s="318">
        <f t="shared" si="81"/>
        <v>0</v>
      </c>
      <c r="BA112" s="318">
        <f t="shared" si="82"/>
        <v>0</v>
      </c>
    </row>
    <row r="113" spans="1:53" s="315" customFormat="1" ht="16.5" customHeight="1">
      <c r="A113" s="63" t="str">
        <f t="array" ref="A113">IF(C113&lt;&gt;0,SUM(($C$11:C113&lt;&gt;0)*1),"")</f>
        <v/>
      </c>
      <c r="B113" s="316"/>
      <c r="C113" s="316"/>
      <c r="D113" s="316"/>
      <c r="E113" s="436"/>
      <c r="F113" s="372"/>
      <c r="G113" s="374"/>
      <c r="H113" s="374"/>
      <c r="I113" s="63" t="str">
        <f t="shared" si="89"/>
        <v/>
      </c>
      <c r="J113" s="318">
        <f t="shared" si="45"/>
        <v>0</v>
      </c>
      <c r="K113" s="318">
        <f t="shared" si="46"/>
        <v>0</v>
      </c>
      <c r="L113" s="318">
        <f t="shared" si="47"/>
        <v>0</v>
      </c>
      <c r="M113" s="318">
        <f t="shared" si="48"/>
        <v>0</v>
      </c>
      <c r="N113" s="318">
        <f t="shared" si="83"/>
        <v>0</v>
      </c>
      <c r="O113" s="318">
        <f t="shared" si="84"/>
        <v>0</v>
      </c>
      <c r="P113" s="318">
        <f t="shared" si="49"/>
        <v>0</v>
      </c>
      <c r="Q113" s="318">
        <f t="shared" si="50"/>
        <v>0</v>
      </c>
      <c r="R113" s="318">
        <f t="shared" si="51"/>
        <v>0</v>
      </c>
      <c r="S113" s="318">
        <f t="shared" si="52"/>
        <v>0</v>
      </c>
      <c r="T113" s="318">
        <f t="shared" si="85"/>
        <v>0</v>
      </c>
      <c r="U113" s="318">
        <f t="shared" si="86"/>
        <v>0</v>
      </c>
      <c r="V113" s="318">
        <f t="shared" si="53"/>
        <v>0</v>
      </c>
      <c r="W113" s="318">
        <f t="shared" si="54"/>
        <v>0</v>
      </c>
      <c r="X113" s="318">
        <f t="shared" si="55"/>
        <v>0</v>
      </c>
      <c r="Y113" s="318">
        <f t="shared" si="56"/>
        <v>0</v>
      </c>
      <c r="Z113" s="318">
        <f t="shared" si="57"/>
        <v>0</v>
      </c>
      <c r="AA113" s="318">
        <f t="shared" si="58"/>
        <v>0</v>
      </c>
      <c r="AB113" s="318">
        <f t="shared" si="59"/>
        <v>0</v>
      </c>
      <c r="AC113" s="318">
        <f t="shared" si="60"/>
        <v>0</v>
      </c>
      <c r="AD113" s="318">
        <f t="shared" si="61"/>
        <v>0</v>
      </c>
      <c r="AE113" s="318">
        <f t="shared" si="62"/>
        <v>0</v>
      </c>
      <c r="AF113" s="318">
        <f t="shared" si="87"/>
        <v>0</v>
      </c>
      <c r="AG113" s="318">
        <f t="shared" si="88"/>
        <v>0</v>
      </c>
      <c r="AH113" s="318">
        <f t="shared" si="63"/>
        <v>0</v>
      </c>
      <c r="AI113" s="318">
        <f t="shared" si="64"/>
        <v>0</v>
      </c>
      <c r="AJ113" s="318">
        <f t="shared" si="65"/>
        <v>0</v>
      </c>
      <c r="AK113" s="318">
        <f t="shared" si="66"/>
        <v>0</v>
      </c>
      <c r="AL113" s="318">
        <f t="shared" si="67"/>
        <v>0</v>
      </c>
      <c r="AM113" s="318">
        <f t="shared" si="68"/>
        <v>0</v>
      </c>
      <c r="AN113" s="318">
        <f t="shared" si="69"/>
        <v>0</v>
      </c>
      <c r="AO113" s="318">
        <f t="shared" si="70"/>
        <v>0</v>
      </c>
      <c r="AP113" s="318">
        <f t="shared" si="71"/>
        <v>0</v>
      </c>
      <c r="AQ113" s="318">
        <f t="shared" si="72"/>
        <v>0</v>
      </c>
      <c r="AR113" s="318">
        <f t="shared" si="73"/>
        <v>0</v>
      </c>
      <c r="AS113" s="318">
        <f t="shared" si="74"/>
        <v>0</v>
      </c>
      <c r="AT113" s="318">
        <f t="shared" si="75"/>
        <v>0</v>
      </c>
      <c r="AU113" s="318">
        <f t="shared" si="76"/>
        <v>0</v>
      </c>
      <c r="AV113" s="318">
        <f t="shared" si="77"/>
        <v>0</v>
      </c>
      <c r="AW113" s="318">
        <f t="shared" si="78"/>
        <v>0</v>
      </c>
      <c r="AX113" s="318">
        <f t="shared" si="79"/>
        <v>0</v>
      </c>
      <c r="AY113" s="318">
        <f t="shared" si="80"/>
        <v>0</v>
      </c>
      <c r="AZ113" s="318">
        <f t="shared" si="81"/>
        <v>0</v>
      </c>
      <c r="BA113" s="318">
        <f t="shared" si="82"/>
        <v>0</v>
      </c>
    </row>
    <row r="114" spans="1:53" s="315" customFormat="1" ht="16.5" customHeight="1">
      <c r="A114" s="63" t="str">
        <f t="array" ref="A114">IF(C114&lt;&gt;0,SUM(($C$11:C114&lt;&gt;0)*1),"")</f>
        <v/>
      </c>
      <c r="B114" s="316"/>
      <c r="C114" s="316"/>
      <c r="D114" s="316"/>
      <c r="E114" s="436"/>
      <c r="F114" s="372"/>
      <c r="G114" s="374"/>
      <c r="H114" s="374"/>
      <c r="I114" s="63" t="str">
        <f>A114</f>
        <v/>
      </c>
      <c r="J114" s="318">
        <f>IF($G114="1111",$F114,0)</f>
        <v>0</v>
      </c>
      <c r="K114" s="318">
        <f>IF($H114="1111",$F114,0)</f>
        <v>0</v>
      </c>
      <c r="L114" s="318">
        <f>IF($G114="1121",$F114,0)</f>
        <v>0</v>
      </c>
      <c r="M114" s="318">
        <f>IF($H114="1121",$F114,0)</f>
        <v>0</v>
      </c>
      <c r="N114" s="318">
        <f t="shared" si="83"/>
        <v>0</v>
      </c>
      <c r="O114" s="318">
        <f t="shared" si="84"/>
        <v>0</v>
      </c>
      <c r="P114" s="318">
        <f>IF($G114="1331",$F114,0)</f>
        <v>0</v>
      </c>
      <c r="Q114" s="318">
        <f>IF($H114="1331",$F114,0)</f>
        <v>0</v>
      </c>
      <c r="R114" s="318">
        <f>IF($G114="1388",$F114,0)</f>
        <v>0</v>
      </c>
      <c r="S114" s="318">
        <f>IF($H114="1388",$F114,0)</f>
        <v>0</v>
      </c>
      <c r="T114" s="318">
        <f t="shared" si="85"/>
        <v>0</v>
      </c>
      <c r="U114" s="318">
        <f t="shared" si="86"/>
        <v>0</v>
      </c>
      <c r="V114" s="318">
        <f>IF($G114="331",$F114,0)</f>
        <v>0</v>
      </c>
      <c r="W114" s="318">
        <f>IF($H114="331",$F114,0)</f>
        <v>0</v>
      </c>
      <c r="X114" s="318">
        <f>IF($G114="3334",$F114,0)</f>
        <v>0</v>
      </c>
      <c r="Y114" s="318">
        <f>IF($H114="3334",$F114,0)</f>
        <v>0</v>
      </c>
      <c r="Z114" s="318">
        <f>IF($G114="33382",$F114,0)</f>
        <v>0</v>
      </c>
      <c r="AA114" s="318">
        <f>IF($H114="33382",$F114,0)</f>
        <v>0</v>
      </c>
      <c r="AB114" s="318">
        <f>IF($G114="3388",$F114,0)</f>
        <v>0</v>
      </c>
      <c r="AC114" s="318">
        <f>IF($H114="3388",$F114,0)</f>
        <v>0</v>
      </c>
      <c r="AD114" s="318">
        <f>IF($G114="3411",$F114,0)</f>
        <v>0</v>
      </c>
      <c r="AE114" s="318">
        <f>IF($H114="3411",$F114,0)</f>
        <v>0</v>
      </c>
      <c r="AF114" s="318">
        <f t="shared" si="87"/>
        <v>0</v>
      </c>
      <c r="AG114" s="318">
        <f t="shared" si="88"/>
        <v>0</v>
      </c>
      <c r="AH114" s="318">
        <f>IF($G114="4111",$F114,0)</f>
        <v>0</v>
      </c>
      <c r="AI114" s="318">
        <f>IF($H114="4111",$F114,0)</f>
        <v>0</v>
      </c>
      <c r="AJ114" s="318">
        <f>IF($G114="4211",$F114,0)</f>
        <v>0</v>
      </c>
      <c r="AK114" s="318">
        <f>IF($H114="4211",$F114,0)</f>
        <v>0</v>
      </c>
      <c r="AL114" s="318">
        <f>IF($G114="4212",$F114,0)</f>
        <v>0</v>
      </c>
      <c r="AM114" s="318">
        <f>IF($H114="4212",$F114,0)</f>
        <v>0</v>
      </c>
      <c r="AN114" s="318">
        <f>IF($G114="515",$F114,0)</f>
        <v>0</v>
      </c>
      <c r="AO114" s="318">
        <f>IF($H114="515",$F114,0)</f>
        <v>0</v>
      </c>
      <c r="AP114" s="318">
        <f>IF($G114="635",$F114,0)</f>
        <v>0</v>
      </c>
      <c r="AQ114" s="318">
        <f>IF($H114="635",$F114,0)</f>
        <v>0</v>
      </c>
      <c r="AR114" s="318">
        <f>IF($G114="642",$F114,0)</f>
        <v>0</v>
      </c>
      <c r="AS114" s="318">
        <f>IF($H114="642",$F114,0)</f>
        <v>0</v>
      </c>
      <c r="AT114" s="318">
        <f>IF($G114="711",$F114,0)</f>
        <v>0</v>
      </c>
      <c r="AU114" s="318">
        <f>IF($H114="711",$F114,0)</f>
        <v>0</v>
      </c>
      <c r="AV114" s="318">
        <f>IF($G114="811",$F114,0)</f>
        <v>0</v>
      </c>
      <c r="AW114" s="318">
        <f>IF($H114="811",$F114,0)</f>
        <v>0</v>
      </c>
      <c r="AX114" s="318">
        <f>IF($G114="821",$F114,0)</f>
        <v>0</v>
      </c>
      <c r="AY114" s="318">
        <f>IF($H114="821",$F114,0)</f>
        <v>0</v>
      </c>
      <c r="AZ114" s="318">
        <f>IF($G114="911",$F114,0)</f>
        <v>0</v>
      </c>
      <c r="BA114" s="318">
        <f>IF($H114="911",$F114,0)</f>
        <v>0</v>
      </c>
    </row>
    <row r="115" spans="1:53" s="315" customFormat="1" ht="16.5" customHeight="1">
      <c r="A115" s="63" t="str">
        <f t="array" ref="A115">IF(C115&lt;&gt;0,SUM(($C$11:C115&lt;&gt;0)*1),"")</f>
        <v/>
      </c>
      <c r="B115" s="316"/>
      <c r="C115" s="316"/>
      <c r="D115" s="316"/>
      <c r="E115" s="436"/>
      <c r="F115" s="372"/>
      <c r="G115" s="374"/>
      <c r="H115" s="374"/>
      <c r="I115" s="63" t="str">
        <f>A115</f>
        <v/>
      </c>
      <c r="J115" s="318">
        <f>IF($G115="1111",$F115,0)</f>
        <v>0</v>
      </c>
      <c r="K115" s="318">
        <f>IF($H115="1111",$F115,0)</f>
        <v>0</v>
      </c>
      <c r="L115" s="318">
        <f>IF($G115="1121",$F115,0)</f>
        <v>0</v>
      </c>
      <c r="M115" s="318">
        <f>IF($H115="1121",$F115,0)</f>
        <v>0</v>
      </c>
      <c r="N115" s="318">
        <f t="shared" si="83"/>
        <v>0</v>
      </c>
      <c r="O115" s="318">
        <f t="shared" si="84"/>
        <v>0</v>
      </c>
      <c r="P115" s="318">
        <f>IF($G115="1331",$F115,0)</f>
        <v>0</v>
      </c>
      <c r="Q115" s="318">
        <f>IF($H115="1331",$F115,0)</f>
        <v>0</v>
      </c>
      <c r="R115" s="318">
        <f>IF($G115="1388",$F115,0)</f>
        <v>0</v>
      </c>
      <c r="S115" s="318">
        <f>IF($H115="1388",$F115,0)</f>
        <v>0</v>
      </c>
      <c r="T115" s="318">
        <f t="shared" si="85"/>
        <v>0</v>
      </c>
      <c r="U115" s="318">
        <f t="shared" si="86"/>
        <v>0</v>
      </c>
      <c r="V115" s="318">
        <f>IF($G115="331",$F115,0)</f>
        <v>0</v>
      </c>
      <c r="W115" s="318">
        <f>IF($H115="331",$F115,0)</f>
        <v>0</v>
      </c>
      <c r="X115" s="318">
        <f>IF($G115="3334",$F115,0)</f>
        <v>0</v>
      </c>
      <c r="Y115" s="318">
        <f>IF($H115="3334",$F115,0)</f>
        <v>0</v>
      </c>
      <c r="Z115" s="318">
        <f>IF($G115="33382",$F115,0)</f>
        <v>0</v>
      </c>
      <c r="AA115" s="318">
        <f>IF($H115="33382",$F115,0)</f>
        <v>0</v>
      </c>
      <c r="AB115" s="318">
        <f>IF($G115="3388",$F115,0)</f>
        <v>0</v>
      </c>
      <c r="AC115" s="318">
        <f>IF($H115="3388",$F115,0)</f>
        <v>0</v>
      </c>
      <c r="AD115" s="318">
        <f>IF($G115="3411",$F115,0)</f>
        <v>0</v>
      </c>
      <c r="AE115" s="318">
        <f>IF($H115="3411",$F115,0)</f>
        <v>0</v>
      </c>
      <c r="AF115" s="318">
        <f t="shared" si="87"/>
        <v>0</v>
      </c>
      <c r="AG115" s="318">
        <f t="shared" si="88"/>
        <v>0</v>
      </c>
      <c r="AH115" s="318">
        <f>IF($G115="4111",$F115,0)</f>
        <v>0</v>
      </c>
      <c r="AI115" s="318">
        <f>IF($H115="4111",$F115,0)</f>
        <v>0</v>
      </c>
      <c r="AJ115" s="318">
        <f>IF($G115="4211",$F115,0)</f>
        <v>0</v>
      </c>
      <c r="AK115" s="318">
        <f>IF($H115="4211",$F115,0)</f>
        <v>0</v>
      </c>
      <c r="AL115" s="318">
        <f>IF($G115="4212",$F115,0)</f>
        <v>0</v>
      </c>
      <c r="AM115" s="318">
        <f>IF($H115="4212",$F115,0)</f>
        <v>0</v>
      </c>
      <c r="AN115" s="318">
        <f>IF($G115="515",$F115,0)</f>
        <v>0</v>
      </c>
      <c r="AO115" s="318">
        <f>IF($H115="515",$F115,0)</f>
        <v>0</v>
      </c>
      <c r="AP115" s="318">
        <f>IF($G115="635",$F115,0)</f>
        <v>0</v>
      </c>
      <c r="AQ115" s="318">
        <f>IF($H115="635",$F115,0)</f>
        <v>0</v>
      </c>
      <c r="AR115" s="318">
        <f>IF($G115="642",$F115,0)</f>
        <v>0</v>
      </c>
      <c r="AS115" s="318">
        <f>IF($H115="642",$F115,0)</f>
        <v>0</v>
      </c>
      <c r="AT115" s="318">
        <f>IF($G115="711",$F115,0)</f>
        <v>0</v>
      </c>
      <c r="AU115" s="318">
        <f>IF($H115="711",$F115,0)</f>
        <v>0</v>
      </c>
      <c r="AV115" s="318">
        <f>IF($G115="811",$F115,0)</f>
        <v>0</v>
      </c>
      <c r="AW115" s="318">
        <f>IF($H115="811",$F115,0)</f>
        <v>0</v>
      </c>
      <c r="AX115" s="318">
        <f>IF($G115="821",$F115,0)</f>
        <v>0</v>
      </c>
      <c r="AY115" s="318">
        <f>IF($H115="821",$F115,0)</f>
        <v>0</v>
      </c>
      <c r="AZ115" s="318">
        <f>IF($G115="911",$F115,0)</f>
        <v>0</v>
      </c>
      <c r="BA115" s="318">
        <f>IF($H115="911",$F115,0)</f>
        <v>0</v>
      </c>
    </row>
    <row r="116" spans="1:53" s="315" customFormat="1" ht="16.5" customHeight="1">
      <c r="A116" s="63" t="str">
        <f t="array" ref="A116">IF(C116&lt;&gt;0,SUM(($C$11:C116&lt;&gt;0)*1),"")</f>
        <v/>
      </c>
      <c r="B116" s="316"/>
      <c r="C116" s="316"/>
      <c r="D116" s="316"/>
      <c r="E116" s="436"/>
      <c r="F116" s="372"/>
      <c r="G116" s="374"/>
      <c r="H116" s="374"/>
      <c r="I116" s="63" t="str">
        <f>A116</f>
        <v/>
      </c>
      <c r="J116" s="318">
        <f>IF($G116="1111",$F116,0)</f>
        <v>0</v>
      </c>
      <c r="K116" s="318">
        <f>IF($H116="1111",$F116,0)</f>
        <v>0</v>
      </c>
      <c r="L116" s="318">
        <f>IF($G116="1121",$F116,0)</f>
        <v>0</v>
      </c>
      <c r="M116" s="318">
        <f>IF($H116="1121",$F116,0)</f>
        <v>0</v>
      </c>
      <c r="N116" s="318">
        <f t="shared" si="83"/>
        <v>0</v>
      </c>
      <c r="O116" s="318">
        <f t="shared" si="84"/>
        <v>0</v>
      </c>
      <c r="P116" s="318">
        <f>IF($G116="1331",$F116,0)</f>
        <v>0</v>
      </c>
      <c r="Q116" s="318">
        <f>IF($H116="1331",$F116,0)</f>
        <v>0</v>
      </c>
      <c r="R116" s="318">
        <f>IF($G116="1388",$F116,0)</f>
        <v>0</v>
      </c>
      <c r="S116" s="318">
        <f>IF($H116="1388",$F116,0)</f>
        <v>0</v>
      </c>
      <c r="T116" s="318">
        <f t="shared" si="85"/>
        <v>0</v>
      </c>
      <c r="U116" s="318">
        <f t="shared" si="86"/>
        <v>0</v>
      </c>
      <c r="V116" s="318">
        <f>IF($G116="331",$F116,0)</f>
        <v>0</v>
      </c>
      <c r="W116" s="318">
        <f>IF($H116="331",$F116,0)</f>
        <v>0</v>
      </c>
      <c r="X116" s="318">
        <f>IF($G116="3334",$F116,0)</f>
        <v>0</v>
      </c>
      <c r="Y116" s="318">
        <f>IF($H116="3334",$F116,0)</f>
        <v>0</v>
      </c>
      <c r="Z116" s="318">
        <f>IF($G116="33382",$F116,0)</f>
        <v>0</v>
      </c>
      <c r="AA116" s="318">
        <f>IF($H116="33382",$F116,0)</f>
        <v>0</v>
      </c>
      <c r="AB116" s="318">
        <f>IF($G116="3388",$F116,0)</f>
        <v>0</v>
      </c>
      <c r="AC116" s="318">
        <f>IF($H116="3388",$F116,0)</f>
        <v>0</v>
      </c>
      <c r="AD116" s="318">
        <f>IF($G116="3411",$F116,0)</f>
        <v>0</v>
      </c>
      <c r="AE116" s="318">
        <f>IF($H116="3411",$F116,0)</f>
        <v>0</v>
      </c>
      <c r="AF116" s="318">
        <f t="shared" si="87"/>
        <v>0</v>
      </c>
      <c r="AG116" s="318">
        <f t="shared" si="88"/>
        <v>0</v>
      </c>
      <c r="AH116" s="318">
        <f>IF($G116="4111",$F116,0)</f>
        <v>0</v>
      </c>
      <c r="AI116" s="318">
        <f>IF($H116="4111",$F116,0)</f>
        <v>0</v>
      </c>
      <c r="AJ116" s="318">
        <f>IF($G116="4211",$F116,0)</f>
        <v>0</v>
      </c>
      <c r="AK116" s="318">
        <f>IF($H116="4211",$F116,0)</f>
        <v>0</v>
      </c>
      <c r="AL116" s="318">
        <f>IF($G116="4212",$F116,0)</f>
        <v>0</v>
      </c>
      <c r="AM116" s="318">
        <f>IF($H116="4212",$F116,0)</f>
        <v>0</v>
      </c>
      <c r="AN116" s="318">
        <f>IF($G116="515",$F116,0)</f>
        <v>0</v>
      </c>
      <c r="AO116" s="318">
        <f>IF($H116="515",$F116,0)</f>
        <v>0</v>
      </c>
      <c r="AP116" s="318">
        <f>IF($G116="635",$F116,0)</f>
        <v>0</v>
      </c>
      <c r="AQ116" s="318">
        <f>IF($H116="635",$F116,0)</f>
        <v>0</v>
      </c>
      <c r="AR116" s="318">
        <f>IF($G116="642",$F116,0)</f>
        <v>0</v>
      </c>
      <c r="AS116" s="318">
        <f>IF($H116="642",$F116,0)</f>
        <v>0</v>
      </c>
      <c r="AT116" s="318">
        <f>IF($G116="711",$F116,0)</f>
        <v>0</v>
      </c>
      <c r="AU116" s="318">
        <f>IF($H116="711",$F116,0)</f>
        <v>0</v>
      </c>
      <c r="AV116" s="318">
        <f>IF($G116="811",$F116,0)</f>
        <v>0</v>
      </c>
      <c r="AW116" s="318">
        <f>IF($H116="811",$F116,0)</f>
        <v>0</v>
      </c>
      <c r="AX116" s="318">
        <f>IF($G116="821",$F116,0)</f>
        <v>0</v>
      </c>
      <c r="AY116" s="318">
        <f>IF($H116="821",$F116,0)</f>
        <v>0</v>
      </c>
      <c r="AZ116" s="318">
        <f>IF($G116="911",$F116,0)</f>
        <v>0</v>
      </c>
      <c r="BA116" s="318">
        <f>IF($H116="911",$F116,0)</f>
        <v>0</v>
      </c>
    </row>
    <row r="117" spans="1:53" s="315" customFormat="1" ht="16.5" customHeight="1">
      <c r="A117" s="63" t="str">
        <f t="array" ref="A117">IF(C117&lt;&gt;0,SUM(($C$11:C117&lt;&gt;0)*1),"")</f>
        <v/>
      </c>
      <c r="B117" s="316"/>
      <c r="C117" s="316"/>
      <c r="D117" s="316"/>
      <c r="E117" s="436"/>
      <c r="F117" s="372"/>
      <c r="G117" s="374"/>
      <c r="H117" s="374"/>
      <c r="I117" s="63" t="str">
        <f>A117</f>
        <v/>
      </c>
      <c r="J117" s="318">
        <f>IF($G117="1111",$F117,0)</f>
        <v>0</v>
      </c>
      <c r="K117" s="318">
        <f>IF($H117="1111",$F117,0)</f>
        <v>0</v>
      </c>
      <c r="L117" s="318">
        <f>IF($G117="1121",$F117,0)</f>
        <v>0</v>
      </c>
      <c r="M117" s="318">
        <f>IF($H117="1121",$F117,0)</f>
        <v>0</v>
      </c>
      <c r="N117" s="318">
        <f t="shared" si="83"/>
        <v>0</v>
      </c>
      <c r="O117" s="318">
        <f t="shared" si="84"/>
        <v>0</v>
      </c>
      <c r="P117" s="318">
        <f>IF($G117="1331",$F117,0)</f>
        <v>0</v>
      </c>
      <c r="Q117" s="318">
        <f>IF($H117="1331",$F117,0)</f>
        <v>0</v>
      </c>
      <c r="R117" s="318">
        <f>IF($G117="1388",$F117,0)</f>
        <v>0</v>
      </c>
      <c r="S117" s="318">
        <f>IF($H117="1388",$F117,0)</f>
        <v>0</v>
      </c>
      <c r="T117" s="318">
        <f t="shared" si="85"/>
        <v>0</v>
      </c>
      <c r="U117" s="318">
        <f t="shared" si="86"/>
        <v>0</v>
      </c>
      <c r="V117" s="318">
        <f>IF($G117="331",$F117,0)</f>
        <v>0</v>
      </c>
      <c r="W117" s="318">
        <f>IF($H117="331",$F117,0)</f>
        <v>0</v>
      </c>
      <c r="X117" s="318">
        <f>IF($G117="3334",$F117,0)</f>
        <v>0</v>
      </c>
      <c r="Y117" s="318">
        <f>IF($H117="3334",$F117,0)</f>
        <v>0</v>
      </c>
      <c r="Z117" s="318">
        <f>IF($G117="33382",$F117,0)</f>
        <v>0</v>
      </c>
      <c r="AA117" s="318">
        <f>IF($H117="33382",$F117,0)</f>
        <v>0</v>
      </c>
      <c r="AB117" s="318">
        <f>IF($G117="3388",$F117,0)</f>
        <v>0</v>
      </c>
      <c r="AC117" s="318">
        <f>IF($H117="3388",$F117,0)</f>
        <v>0</v>
      </c>
      <c r="AD117" s="318">
        <f>IF($G117="3411",$F117,0)</f>
        <v>0</v>
      </c>
      <c r="AE117" s="318">
        <f>IF($H117="3411",$F117,0)</f>
        <v>0</v>
      </c>
      <c r="AF117" s="318">
        <f t="shared" si="87"/>
        <v>0</v>
      </c>
      <c r="AG117" s="318">
        <f t="shared" si="88"/>
        <v>0</v>
      </c>
      <c r="AH117" s="318">
        <f>IF($G117="4111",$F117,0)</f>
        <v>0</v>
      </c>
      <c r="AI117" s="318">
        <f>IF($H117="4111",$F117,0)</f>
        <v>0</v>
      </c>
      <c r="AJ117" s="318">
        <f>IF($G117="4211",$F117,0)</f>
        <v>0</v>
      </c>
      <c r="AK117" s="318">
        <f>IF($H117="4211",$F117,0)</f>
        <v>0</v>
      </c>
      <c r="AL117" s="318">
        <f>IF($G117="4212",$F117,0)</f>
        <v>0</v>
      </c>
      <c r="AM117" s="318">
        <f>IF($H117="4212",$F117,0)</f>
        <v>0</v>
      </c>
      <c r="AN117" s="318">
        <f>IF($G117="515",$F117,0)</f>
        <v>0</v>
      </c>
      <c r="AO117" s="318">
        <f>IF($H117="515",$F117,0)</f>
        <v>0</v>
      </c>
      <c r="AP117" s="318">
        <f>IF($G117="635",$F117,0)</f>
        <v>0</v>
      </c>
      <c r="AQ117" s="318">
        <f>IF($H117="635",$F117,0)</f>
        <v>0</v>
      </c>
      <c r="AR117" s="318">
        <f>IF($G117="642",$F117,0)</f>
        <v>0</v>
      </c>
      <c r="AS117" s="318">
        <f>IF($H117="642",$F117,0)</f>
        <v>0</v>
      </c>
      <c r="AT117" s="318">
        <f>IF($G117="711",$F117,0)</f>
        <v>0</v>
      </c>
      <c r="AU117" s="318">
        <f>IF($H117="711",$F117,0)</f>
        <v>0</v>
      </c>
      <c r="AV117" s="318">
        <f>IF($G117="811",$F117,0)</f>
        <v>0</v>
      </c>
      <c r="AW117" s="318">
        <f>IF($H117="811",$F117,0)</f>
        <v>0</v>
      </c>
      <c r="AX117" s="318">
        <f>IF($G117="821",$F117,0)</f>
        <v>0</v>
      </c>
      <c r="AY117" s="318">
        <f>IF($H117="821",$F117,0)</f>
        <v>0</v>
      </c>
      <c r="AZ117" s="318">
        <f>IF($G117="911",$F117,0)</f>
        <v>0</v>
      </c>
      <c r="BA117" s="318">
        <f>IF($H117="911",$F117,0)</f>
        <v>0</v>
      </c>
    </row>
    <row r="118" spans="1:53" s="315" customFormat="1" ht="16.5" customHeight="1">
      <c r="A118" s="63" t="str">
        <f t="array" ref="A118">IF(C118&lt;&gt;0,SUM(($C$11:C118&lt;&gt;0)*1),"")</f>
        <v/>
      </c>
      <c r="B118" s="316"/>
      <c r="C118" s="316"/>
      <c r="D118" s="316"/>
      <c r="E118" s="436"/>
      <c r="F118" s="372"/>
      <c r="G118" s="374"/>
      <c r="H118" s="374"/>
      <c r="I118" s="63" t="str">
        <f t="shared" ref="I118:I130" si="90">A118</f>
        <v/>
      </c>
      <c r="J118" s="318">
        <f t="shared" ref="J118:J130" si="91">IF($G118="1111",$F118,0)</f>
        <v>0</v>
      </c>
      <c r="K118" s="318">
        <f t="shared" ref="K118:K130" si="92">IF($H118="1111",$F118,0)</f>
        <v>0</v>
      </c>
      <c r="L118" s="318">
        <f t="shared" ref="L118:L130" si="93">IF($G118="1121",$F118,0)</f>
        <v>0</v>
      </c>
      <c r="M118" s="318">
        <f t="shared" ref="M118:M130" si="94">IF($H118="1121",$F118,0)</f>
        <v>0</v>
      </c>
      <c r="N118" s="318">
        <f t="shared" si="83"/>
        <v>0</v>
      </c>
      <c r="O118" s="318">
        <f t="shared" si="84"/>
        <v>0</v>
      </c>
      <c r="P118" s="318">
        <f t="shared" ref="P118:P130" si="95">IF($G118="1331",$F118,0)</f>
        <v>0</v>
      </c>
      <c r="Q118" s="318">
        <f t="shared" ref="Q118:Q130" si="96">IF($H118="1331",$F118,0)</f>
        <v>0</v>
      </c>
      <c r="R118" s="318">
        <f t="shared" ref="R118:R130" si="97">IF($G118="1388",$F118,0)</f>
        <v>0</v>
      </c>
      <c r="S118" s="318">
        <f t="shared" ref="S118:S130" si="98">IF($H118="1388",$F118,0)</f>
        <v>0</v>
      </c>
      <c r="T118" s="318">
        <f t="shared" si="85"/>
        <v>0</v>
      </c>
      <c r="U118" s="318">
        <f t="shared" si="86"/>
        <v>0</v>
      </c>
      <c r="V118" s="318">
        <f t="shared" ref="V118:V130" si="99">IF($G118="331",$F118,0)</f>
        <v>0</v>
      </c>
      <c r="W118" s="318">
        <f t="shared" ref="W118:W130" si="100">IF($H118="331",$F118,0)</f>
        <v>0</v>
      </c>
      <c r="X118" s="318">
        <f t="shared" ref="X118:X130" si="101">IF($G118="3334",$F118,0)</f>
        <v>0</v>
      </c>
      <c r="Y118" s="318">
        <f t="shared" ref="Y118:Y130" si="102">IF($H118="3334",$F118,0)</f>
        <v>0</v>
      </c>
      <c r="Z118" s="318">
        <f t="shared" ref="Z118:Z130" si="103">IF($G118="33382",$F118,0)</f>
        <v>0</v>
      </c>
      <c r="AA118" s="318">
        <f t="shared" ref="AA118:AA130" si="104">IF($H118="33382",$F118,0)</f>
        <v>0</v>
      </c>
      <c r="AB118" s="318">
        <f t="shared" ref="AB118:AB130" si="105">IF($G118="3388",$F118,0)</f>
        <v>0</v>
      </c>
      <c r="AC118" s="318">
        <f t="shared" ref="AC118:AC130" si="106">IF($H118="3388",$F118,0)</f>
        <v>0</v>
      </c>
      <c r="AD118" s="318">
        <f t="shared" ref="AD118:AD130" si="107">IF($G118="3411",$F118,0)</f>
        <v>0</v>
      </c>
      <c r="AE118" s="318">
        <f t="shared" ref="AE118:AE130" si="108">IF($H118="3411",$F118,0)</f>
        <v>0</v>
      </c>
      <c r="AF118" s="318">
        <f t="shared" si="87"/>
        <v>0</v>
      </c>
      <c r="AG118" s="318">
        <f t="shared" si="88"/>
        <v>0</v>
      </c>
      <c r="AH118" s="318">
        <f t="shared" ref="AH118:AH130" si="109">IF($G118="4111",$F118,0)</f>
        <v>0</v>
      </c>
      <c r="AI118" s="318">
        <f t="shared" ref="AI118:AI130" si="110">IF($H118="4111",$F118,0)</f>
        <v>0</v>
      </c>
      <c r="AJ118" s="318">
        <f t="shared" ref="AJ118:AJ130" si="111">IF($G118="4211",$F118,0)</f>
        <v>0</v>
      </c>
      <c r="AK118" s="318">
        <f t="shared" ref="AK118:AK130" si="112">IF($H118="4211",$F118,0)</f>
        <v>0</v>
      </c>
      <c r="AL118" s="318">
        <f t="shared" ref="AL118:AL130" si="113">IF($G118="4212",$F118,0)</f>
        <v>0</v>
      </c>
      <c r="AM118" s="318">
        <f t="shared" ref="AM118:AM130" si="114">IF($H118="4212",$F118,0)</f>
        <v>0</v>
      </c>
      <c r="AN118" s="318">
        <f t="shared" ref="AN118:AN130" si="115">IF($G118="515",$F118,0)</f>
        <v>0</v>
      </c>
      <c r="AO118" s="318">
        <f t="shared" ref="AO118:AO130" si="116">IF($H118="515",$F118,0)</f>
        <v>0</v>
      </c>
      <c r="AP118" s="318">
        <f t="shared" ref="AP118:AP130" si="117">IF($G118="635",$F118,0)</f>
        <v>0</v>
      </c>
      <c r="AQ118" s="318">
        <f t="shared" ref="AQ118:AQ130" si="118">IF($H118="635",$F118,0)</f>
        <v>0</v>
      </c>
      <c r="AR118" s="318">
        <f t="shared" ref="AR118:AR130" si="119">IF($G118="642",$F118,0)</f>
        <v>0</v>
      </c>
      <c r="AS118" s="318">
        <f t="shared" ref="AS118:AS130" si="120">IF($H118="642",$F118,0)</f>
        <v>0</v>
      </c>
      <c r="AT118" s="318">
        <f t="shared" ref="AT118:AT130" si="121">IF($G118="711",$F118,0)</f>
        <v>0</v>
      </c>
      <c r="AU118" s="318">
        <f t="shared" ref="AU118:AU130" si="122">IF($H118="711",$F118,0)</f>
        <v>0</v>
      </c>
      <c r="AV118" s="318">
        <f t="shared" ref="AV118:AV130" si="123">IF($G118="811",$F118,0)</f>
        <v>0</v>
      </c>
      <c r="AW118" s="318">
        <f t="shared" ref="AW118:AW130" si="124">IF($H118="811",$F118,0)</f>
        <v>0</v>
      </c>
      <c r="AX118" s="318">
        <f t="shared" ref="AX118:AX130" si="125">IF($G118="821",$F118,0)</f>
        <v>0</v>
      </c>
      <c r="AY118" s="318">
        <f t="shared" ref="AY118:AY130" si="126">IF($H118="821",$F118,0)</f>
        <v>0</v>
      </c>
      <c r="AZ118" s="318">
        <f t="shared" ref="AZ118:AZ130" si="127">IF($G118="911",$F118,0)</f>
        <v>0</v>
      </c>
      <c r="BA118" s="318">
        <f t="shared" ref="BA118:BA130" si="128">IF($H118="911",$F118,0)</f>
        <v>0</v>
      </c>
    </row>
    <row r="119" spans="1:53" s="315" customFormat="1" ht="16.5" customHeight="1">
      <c r="A119" s="63" t="str">
        <f t="array" ref="A119">IF(C119&lt;&gt;0,SUM(($C$11:C119&lt;&gt;0)*1),"")</f>
        <v/>
      </c>
      <c r="B119" s="316"/>
      <c r="C119" s="316"/>
      <c r="D119" s="316"/>
      <c r="E119" s="436"/>
      <c r="F119" s="372"/>
      <c r="G119" s="374"/>
      <c r="H119" s="374"/>
      <c r="I119" s="63" t="str">
        <f t="shared" si="90"/>
        <v/>
      </c>
      <c r="J119" s="318">
        <f t="shared" si="91"/>
        <v>0</v>
      </c>
      <c r="K119" s="318">
        <f t="shared" si="92"/>
        <v>0</v>
      </c>
      <c r="L119" s="318">
        <f t="shared" si="93"/>
        <v>0</v>
      </c>
      <c r="M119" s="318">
        <f t="shared" si="94"/>
        <v>0</v>
      </c>
      <c r="N119" s="318">
        <f t="shared" si="83"/>
        <v>0</v>
      </c>
      <c r="O119" s="318">
        <f t="shared" si="84"/>
        <v>0</v>
      </c>
      <c r="P119" s="318">
        <f t="shared" si="95"/>
        <v>0</v>
      </c>
      <c r="Q119" s="318">
        <f t="shared" si="96"/>
        <v>0</v>
      </c>
      <c r="R119" s="318">
        <f t="shared" si="97"/>
        <v>0</v>
      </c>
      <c r="S119" s="318">
        <f t="shared" si="98"/>
        <v>0</v>
      </c>
      <c r="T119" s="318">
        <f t="shared" si="85"/>
        <v>0</v>
      </c>
      <c r="U119" s="318">
        <f t="shared" si="86"/>
        <v>0</v>
      </c>
      <c r="V119" s="318">
        <f t="shared" si="99"/>
        <v>0</v>
      </c>
      <c r="W119" s="318">
        <f t="shared" si="100"/>
        <v>0</v>
      </c>
      <c r="X119" s="318">
        <f t="shared" si="101"/>
        <v>0</v>
      </c>
      <c r="Y119" s="318">
        <f t="shared" si="102"/>
        <v>0</v>
      </c>
      <c r="Z119" s="318">
        <f t="shared" si="103"/>
        <v>0</v>
      </c>
      <c r="AA119" s="318">
        <f t="shared" si="104"/>
        <v>0</v>
      </c>
      <c r="AB119" s="318">
        <f t="shared" si="105"/>
        <v>0</v>
      </c>
      <c r="AC119" s="318">
        <f t="shared" si="106"/>
        <v>0</v>
      </c>
      <c r="AD119" s="318">
        <f t="shared" si="107"/>
        <v>0</v>
      </c>
      <c r="AE119" s="318">
        <f t="shared" si="108"/>
        <v>0</v>
      </c>
      <c r="AF119" s="318">
        <f t="shared" si="87"/>
        <v>0</v>
      </c>
      <c r="AG119" s="318">
        <f t="shared" si="88"/>
        <v>0</v>
      </c>
      <c r="AH119" s="318">
        <f t="shared" si="109"/>
        <v>0</v>
      </c>
      <c r="AI119" s="318">
        <f t="shared" si="110"/>
        <v>0</v>
      </c>
      <c r="AJ119" s="318">
        <f t="shared" si="111"/>
        <v>0</v>
      </c>
      <c r="AK119" s="318">
        <f t="shared" si="112"/>
        <v>0</v>
      </c>
      <c r="AL119" s="318">
        <f t="shared" si="113"/>
        <v>0</v>
      </c>
      <c r="AM119" s="318">
        <f t="shared" si="114"/>
        <v>0</v>
      </c>
      <c r="AN119" s="318">
        <f t="shared" si="115"/>
        <v>0</v>
      </c>
      <c r="AO119" s="318">
        <f t="shared" si="116"/>
        <v>0</v>
      </c>
      <c r="AP119" s="318">
        <f t="shared" si="117"/>
        <v>0</v>
      </c>
      <c r="AQ119" s="318">
        <f t="shared" si="118"/>
        <v>0</v>
      </c>
      <c r="AR119" s="318">
        <f t="shared" si="119"/>
        <v>0</v>
      </c>
      <c r="AS119" s="318">
        <f t="shared" si="120"/>
        <v>0</v>
      </c>
      <c r="AT119" s="318">
        <f t="shared" si="121"/>
        <v>0</v>
      </c>
      <c r="AU119" s="318">
        <f t="shared" si="122"/>
        <v>0</v>
      </c>
      <c r="AV119" s="318">
        <f t="shared" si="123"/>
        <v>0</v>
      </c>
      <c r="AW119" s="318">
        <f t="shared" si="124"/>
        <v>0</v>
      </c>
      <c r="AX119" s="318">
        <f t="shared" si="125"/>
        <v>0</v>
      </c>
      <c r="AY119" s="318">
        <f t="shared" si="126"/>
        <v>0</v>
      </c>
      <c r="AZ119" s="318">
        <f t="shared" si="127"/>
        <v>0</v>
      </c>
      <c r="BA119" s="318">
        <f t="shared" si="128"/>
        <v>0</v>
      </c>
    </row>
    <row r="120" spans="1:53" s="315" customFormat="1" ht="16.5" customHeight="1">
      <c r="A120" s="63" t="str">
        <f t="array" ref="A120">IF(C120&lt;&gt;0,SUM(($C$11:C120&lt;&gt;0)*1),"")</f>
        <v/>
      </c>
      <c r="B120" s="316"/>
      <c r="C120" s="316"/>
      <c r="D120" s="316"/>
      <c r="E120" s="436"/>
      <c r="F120" s="372"/>
      <c r="G120" s="374"/>
      <c r="H120" s="374"/>
      <c r="I120" s="63" t="str">
        <f t="shared" si="90"/>
        <v/>
      </c>
      <c r="J120" s="318">
        <f t="shared" si="91"/>
        <v>0</v>
      </c>
      <c r="K120" s="318">
        <f t="shared" si="92"/>
        <v>0</v>
      </c>
      <c r="L120" s="318">
        <f t="shared" si="93"/>
        <v>0</v>
      </c>
      <c r="M120" s="318">
        <f t="shared" si="94"/>
        <v>0</v>
      </c>
      <c r="N120" s="318">
        <f t="shared" si="83"/>
        <v>0</v>
      </c>
      <c r="O120" s="318">
        <f t="shared" si="84"/>
        <v>0</v>
      </c>
      <c r="P120" s="318">
        <f t="shared" si="95"/>
        <v>0</v>
      </c>
      <c r="Q120" s="318">
        <f t="shared" si="96"/>
        <v>0</v>
      </c>
      <c r="R120" s="318">
        <f t="shared" si="97"/>
        <v>0</v>
      </c>
      <c r="S120" s="318">
        <f t="shared" si="98"/>
        <v>0</v>
      </c>
      <c r="T120" s="318">
        <f t="shared" si="85"/>
        <v>0</v>
      </c>
      <c r="U120" s="318">
        <f t="shared" si="86"/>
        <v>0</v>
      </c>
      <c r="V120" s="318">
        <f t="shared" si="99"/>
        <v>0</v>
      </c>
      <c r="W120" s="318">
        <f t="shared" si="100"/>
        <v>0</v>
      </c>
      <c r="X120" s="318">
        <f t="shared" si="101"/>
        <v>0</v>
      </c>
      <c r="Y120" s="318">
        <f t="shared" si="102"/>
        <v>0</v>
      </c>
      <c r="Z120" s="318">
        <f t="shared" si="103"/>
        <v>0</v>
      </c>
      <c r="AA120" s="318">
        <f t="shared" si="104"/>
        <v>0</v>
      </c>
      <c r="AB120" s="318">
        <f t="shared" si="105"/>
        <v>0</v>
      </c>
      <c r="AC120" s="318">
        <f t="shared" si="106"/>
        <v>0</v>
      </c>
      <c r="AD120" s="318">
        <f t="shared" si="107"/>
        <v>0</v>
      </c>
      <c r="AE120" s="318">
        <f t="shared" si="108"/>
        <v>0</v>
      </c>
      <c r="AF120" s="318">
        <f t="shared" si="87"/>
        <v>0</v>
      </c>
      <c r="AG120" s="318">
        <f t="shared" si="88"/>
        <v>0</v>
      </c>
      <c r="AH120" s="318">
        <f t="shared" si="109"/>
        <v>0</v>
      </c>
      <c r="AI120" s="318">
        <f t="shared" si="110"/>
        <v>0</v>
      </c>
      <c r="AJ120" s="318">
        <f t="shared" si="111"/>
        <v>0</v>
      </c>
      <c r="AK120" s="318">
        <f t="shared" si="112"/>
        <v>0</v>
      </c>
      <c r="AL120" s="318">
        <f t="shared" si="113"/>
        <v>0</v>
      </c>
      <c r="AM120" s="318">
        <f t="shared" si="114"/>
        <v>0</v>
      </c>
      <c r="AN120" s="318">
        <f t="shared" si="115"/>
        <v>0</v>
      </c>
      <c r="AO120" s="318">
        <f t="shared" si="116"/>
        <v>0</v>
      </c>
      <c r="AP120" s="318">
        <f t="shared" si="117"/>
        <v>0</v>
      </c>
      <c r="AQ120" s="318">
        <f t="shared" si="118"/>
        <v>0</v>
      </c>
      <c r="AR120" s="318">
        <f t="shared" si="119"/>
        <v>0</v>
      </c>
      <c r="AS120" s="318">
        <f t="shared" si="120"/>
        <v>0</v>
      </c>
      <c r="AT120" s="318">
        <f t="shared" si="121"/>
        <v>0</v>
      </c>
      <c r="AU120" s="318">
        <f t="shared" si="122"/>
        <v>0</v>
      </c>
      <c r="AV120" s="318">
        <f t="shared" si="123"/>
        <v>0</v>
      </c>
      <c r="AW120" s="318">
        <f t="shared" si="124"/>
        <v>0</v>
      </c>
      <c r="AX120" s="318">
        <f t="shared" si="125"/>
        <v>0</v>
      </c>
      <c r="AY120" s="318">
        <f t="shared" si="126"/>
        <v>0</v>
      </c>
      <c r="AZ120" s="318">
        <f t="shared" si="127"/>
        <v>0</v>
      </c>
      <c r="BA120" s="318">
        <f t="shared" si="128"/>
        <v>0</v>
      </c>
    </row>
    <row r="121" spans="1:53" s="315" customFormat="1" ht="16.5" customHeight="1">
      <c r="A121" s="63" t="str">
        <f t="array" ref="A121">IF(C121&lt;&gt;0,SUM(($C$11:C121&lt;&gt;0)*1),"")</f>
        <v/>
      </c>
      <c r="B121" s="316"/>
      <c r="C121" s="316"/>
      <c r="D121" s="316"/>
      <c r="E121" s="436"/>
      <c r="F121" s="372"/>
      <c r="G121" s="374"/>
      <c r="H121" s="374"/>
      <c r="I121" s="63" t="str">
        <f t="shared" si="90"/>
        <v/>
      </c>
      <c r="J121" s="318">
        <f t="shared" si="91"/>
        <v>0</v>
      </c>
      <c r="K121" s="318">
        <f t="shared" si="92"/>
        <v>0</v>
      </c>
      <c r="L121" s="318">
        <f t="shared" si="93"/>
        <v>0</v>
      </c>
      <c r="M121" s="318">
        <f t="shared" si="94"/>
        <v>0</v>
      </c>
      <c r="N121" s="318">
        <f t="shared" si="83"/>
        <v>0</v>
      </c>
      <c r="O121" s="318">
        <f t="shared" si="84"/>
        <v>0</v>
      </c>
      <c r="P121" s="318">
        <f t="shared" si="95"/>
        <v>0</v>
      </c>
      <c r="Q121" s="318">
        <f t="shared" si="96"/>
        <v>0</v>
      </c>
      <c r="R121" s="318">
        <f t="shared" si="97"/>
        <v>0</v>
      </c>
      <c r="S121" s="318">
        <f t="shared" si="98"/>
        <v>0</v>
      </c>
      <c r="T121" s="318">
        <f t="shared" si="85"/>
        <v>0</v>
      </c>
      <c r="U121" s="318">
        <f t="shared" si="86"/>
        <v>0</v>
      </c>
      <c r="V121" s="318">
        <f t="shared" si="99"/>
        <v>0</v>
      </c>
      <c r="W121" s="318">
        <f t="shared" si="100"/>
        <v>0</v>
      </c>
      <c r="X121" s="318">
        <f t="shared" si="101"/>
        <v>0</v>
      </c>
      <c r="Y121" s="318">
        <f t="shared" si="102"/>
        <v>0</v>
      </c>
      <c r="Z121" s="318">
        <f t="shared" si="103"/>
        <v>0</v>
      </c>
      <c r="AA121" s="318">
        <f t="shared" si="104"/>
        <v>0</v>
      </c>
      <c r="AB121" s="318">
        <f t="shared" si="105"/>
        <v>0</v>
      </c>
      <c r="AC121" s="318">
        <f t="shared" si="106"/>
        <v>0</v>
      </c>
      <c r="AD121" s="318">
        <f t="shared" si="107"/>
        <v>0</v>
      </c>
      <c r="AE121" s="318">
        <f t="shared" si="108"/>
        <v>0</v>
      </c>
      <c r="AF121" s="318">
        <f t="shared" si="87"/>
        <v>0</v>
      </c>
      <c r="AG121" s="318">
        <f t="shared" si="88"/>
        <v>0</v>
      </c>
      <c r="AH121" s="318">
        <f t="shared" si="109"/>
        <v>0</v>
      </c>
      <c r="AI121" s="318">
        <f t="shared" si="110"/>
        <v>0</v>
      </c>
      <c r="AJ121" s="318">
        <f t="shared" si="111"/>
        <v>0</v>
      </c>
      <c r="AK121" s="318">
        <f t="shared" si="112"/>
        <v>0</v>
      </c>
      <c r="AL121" s="318">
        <f t="shared" si="113"/>
        <v>0</v>
      </c>
      <c r="AM121" s="318">
        <f t="shared" si="114"/>
        <v>0</v>
      </c>
      <c r="AN121" s="318">
        <f t="shared" si="115"/>
        <v>0</v>
      </c>
      <c r="AO121" s="318">
        <f t="shared" si="116"/>
        <v>0</v>
      </c>
      <c r="AP121" s="318">
        <f t="shared" si="117"/>
        <v>0</v>
      </c>
      <c r="AQ121" s="318">
        <f t="shared" si="118"/>
        <v>0</v>
      </c>
      <c r="AR121" s="318">
        <f t="shared" si="119"/>
        <v>0</v>
      </c>
      <c r="AS121" s="318">
        <f t="shared" si="120"/>
        <v>0</v>
      </c>
      <c r="AT121" s="318">
        <f t="shared" si="121"/>
        <v>0</v>
      </c>
      <c r="AU121" s="318">
        <f t="shared" si="122"/>
        <v>0</v>
      </c>
      <c r="AV121" s="318">
        <f t="shared" si="123"/>
        <v>0</v>
      </c>
      <c r="AW121" s="318">
        <f t="shared" si="124"/>
        <v>0</v>
      </c>
      <c r="AX121" s="318">
        <f t="shared" si="125"/>
        <v>0</v>
      </c>
      <c r="AY121" s="318">
        <f t="shared" si="126"/>
        <v>0</v>
      </c>
      <c r="AZ121" s="318">
        <f t="shared" si="127"/>
        <v>0</v>
      </c>
      <c r="BA121" s="318">
        <f t="shared" si="128"/>
        <v>0</v>
      </c>
    </row>
    <row r="122" spans="1:53" s="315" customFormat="1" ht="16.5" customHeight="1">
      <c r="A122" s="63" t="str">
        <f t="array" ref="A122">IF(C122&lt;&gt;0,SUM(($C$11:C122&lt;&gt;0)*1),"")</f>
        <v/>
      </c>
      <c r="B122" s="316"/>
      <c r="C122" s="316"/>
      <c r="D122" s="316"/>
      <c r="E122" s="436"/>
      <c r="F122" s="372"/>
      <c r="G122" s="374"/>
      <c r="H122" s="374"/>
      <c r="I122" s="63" t="str">
        <f t="shared" si="90"/>
        <v/>
      </c>
      <c r="J122" s="318">
        <f t="shared" si="91"/>
        <v>0</v>
      </c>
      <c r="K122" s="318">
        <f t="shared" si="92"/>
        <v>0</v>
      </c>
      <c r="L122" s="318">
        <f t="shared" si="93"/>
        <v>0</v>
      </c>
      <c r="M122" s="318">
        <f t="shared" si="94"/>
        <v>0</v>
      </c>
      <c r="N122" s="318">
        <f t="shared" si="83"/>
        <v>0</v>
      </c>
      <c r="O122" s="318">
        <f t="shared" si="84"/>
        <v>0</v>
      </c>
      <c r="P122" s="318">
        <f t="shared" si="95"/>
        <v>0</v>
      </c>
      <c r="Q122" s="318">
        <f t="shared" si="96"/>
        <v>0</v>
      </c>
      <c r="R122" s="318">
        <f t="shared" si="97"/>
        <v>0</v>
      </c>
      <c r="S122" s="318">
        <f t="shared" si="98"/>
        <v>0</v>
      </c>
      <c r="T122" s="318">
        <f t="shared" si="85"/>
        <v>0</v>
      </c>
      <c r="U122" s="318">
        <f t="shared" si="86"/>
        <v>0</v>
      </c>
      <c r="V122" s="318">
        <f t="shared" si="99"/>
        <v>0</v>
      </c>
      <c r="W122" s="318">
        <f t="shared" si="100"/>
        <v>0</v>
      </c>
      <c r="X122" s="318">
        <f t="shared" si="101"/>
        <v>0</v>
      </c>
      <c r="Y122" s="318">
        <f t="shared" si="102"/>
        <v>0</v>
      </c>
      <c r="Z122" s="318">
        <f t="shared" si="103"/>
        <v>0</v>
      </c>
      <c r="AA122" s="318">
        <f t="shared" si="104"/>
        <v>0</v>
      </c>
      <c r="AB122" s="318">
        <f t="shared" si="105"/>
        <v>0</v>
      </c>
      <c r="AC122" s="318">
        <f t="shared" si="106"/>
        <v>0</v>
      </c>
      <c r="AD122" s="318">
        <f t="shared" si="107"/>
        <v>0</v>
      </c>
      <c r="AE122" s="318">
        <f t="shared" si="108"/>
        <v>0</v>
      </c>
      <c r="AF122" s="318">
        <f t="shared" si="87"/>
        <v>0</v>
      </c>
      <c r="AG122" s="318">
        <f t="shared" si="88"/>
        <v>0</v>
      </c>
      <c r="AH122" s="318">
        <f t="shared" si="109"/>
        <v>0</v>
      </c>
      <c r="AI122" s="318">
        <f t="shared" si="110"/>
        <v>0</v>
      </c>
      <c r="AJ122" s="318">
        <f t="shared" si="111"/>
        <v>0</v>
      </c>
      <c r="AK122" s="318">
        <f t="shared" si="112"/>
        <v>0</v>
      </c>
      <c r="AL122" s="318">
        <f t="shared" si="113"/>
        <v>0</v>
      </c>
      <c r="AM122" s="318">
        <f t="shared" si="114"/>
        <v>0</v>
      </c>
      <c r="AN122" s="318">
        <f t="shared" si="115"/>
        <v>0</v>
      </c>
      <c r="AO122" s="318">
        <f t="shared" si="116"/>
        <v>0</v>
      </c>
      <c r="AP122" s="318">
        <f t="shared" si="117"/>
        <v>0</v>
      </c>
      <c r="AQ122" s="318">
        <f t="shared" si="118"/>
        <v>0</v>
      </c>
      <c r="AR122" s="318">
        <f t="shared" si="119"/>
        <v>0</v>
      </c>
      <c r="AS122" s="318">
        <f t="shared" si="120"/>
        <v>0</v>
      </c>
      <c r="AT122" s="318">
        <f t="shared" si="121"/>
        <v>0</v>
      </c>
      <c r="AU122" s="318">
        <f t="shared" si="122"/>
        <v>0</v>
      </c>
      <c r="AV122" s="318">
        <f t="shared" si="123"/>
        <v>0</v>
      </c>
      <c r="AW122" s="318">
        <f t="shared" si="124"/>
        <v>0</v>
      </c>
      <c r="AX122" s="318">
        <f t="shared" si="125"/>
        <v>0</v>
      </c>
      <c r="AY122" s="318">
        <f t="shared" si="126"/>
        <v>0</v>
      </c>
      <c r="AZ122" s="318">
        <f t="shared" si="127"/>
        <v>0</v>
      </c>
      <c r="BA122" s="318">
        <f t="shared" si="128"/>
        <v>0</v>
      </c>
    </row>
    <row r="123" spans="1:53" s="315" customFormat="1" ht="16.5" customHeight="1">
      <c r="A123" s="63" t="str">
        <f t="array" ref="A123">IF(C123&lt;&gt;0,SUM(($C$11:C123&lt;&gt;0)*1),"")</f>
        <v/>
      </c>
      <c r="B123" s="316"/>
      <c r="C123" s="316"/>
      <c r="D123" s="316"/>
      <c r="E123" s="436"/>
      <c r="F123" s="372"/>
      <c r="G123" s="374"/>
      <c r="H123" s="374"/>
      <c r="I123" s="63" t="str">
        <f t="shared" si="90"/>
        <v/>
      </c>
      <c r="J123" s="318">
        <f t="shared" si="91"/>
        <v>0</v>
      </c>
      <c r="K123" s="318">
        <f t="shared" si="92"/>
        <v>0</v>
      </c>
      <c r="L123" s="318">
        <f t="shared" si="93"/>
        <v>0</v>
      </c>
      <c r="M123" s="318">
        <f t="shared" si="94"/>
        <v>0</v>
      </c>
      <c r="N123" s="318">
        <f t="shared" si="83"/>
        <v>0</v>
      </c>
      <c r="O123" s="318">
        <f t="shared" si="84"/>
        <v>0</v>
      </c>
      <c r="P123" s="318">
        <f t="shared" si="95"/>
        <v>0</v>
      </c>
      <c r="Q123" s="318">
        <f t="shared" si="96"/>
        <v>0</v>
      </c>
      <c r="R123" s="318">
        <f t="shared" si="97"/>
        <v>0</v>
      </c>
      <c r="S123" s="318">
        <f t="shared" si="98"/>
        <v>0</v>
      </c>
      <c r="T123" s="318">
        <f t="shared" si="85"/>
        <v>0</v>
      </c>
      <c r="U123" s="318">
        <f t="shared" si="86"/>
        <v>0</v>
      </c>
      <c r="V123" s="318">
        <f t="shared" si="99"/>
        <v>0</v>
      </c>
      <c r="W123" s="318">
        <f t="shared" si="100"/>
        <v>0</v>
      </c>
      <c r="X123" s="318">
        <f t="shared" si="101"/>
        <v>0</v>
      </c>
      <c r="Y123" s="318">
        <f t="shared" si="102"/>
        <v>0</v>
      </c>
      <c r="Z123" s="318">
        <f t="shared" si="103"/>
        <v>0</v>
      </c>
      <c r="AA123" s="318">
        <f t="shared" si="104"/>
        <v>0</v>
      </c>
      <c r="AB123" s="318">
        <f t="shared" si="105"/>
        <v>0</v>
      </c>
      <c r="AC123" s="318">
        <f t="shared" si="106"/>
        <v>0</v>
      </c>
      <c r="AD123" s="318">
        <f t="shared" si="107"/>
        <v>0</v>
      </c>
      <c r="AE123" s="318">
        <f t="shared" si="108"/>
        <v>0</v>
      </c>
      <c r="AF123" s="318">
        <f t="shared" si="87"/>
        <v>0</v>
      </c>
      <c r="AG123" s="318">
        <f t="shared" si="88"/>
        <v>0</v>
      </c>
      <c r="AH123" s="318">
        <f t="shared" si="109"/>
        <v>0</v>
      </c>
      <c r="AI123" s="318">
        <f t="shared" si="110"/>
        <v>0</v>
      </c>
      <c r="AJ123" s="318">
        <f t="shared" si="111"/>
        <v>0</v>
      </c>
      <c r="AK123" s="318">
        <f t="shared" si="112"/>
        <v>0</v>
      </c>
      <c r="AL123" s="318">
        <f t="shared" si="113"/>
        <v>0</v>
      </c>
      <c r="AM123" s="318">
        <f t="shared" si="114"/>
        <v>0</v>
      </c>
      <c r="AN123" s="318">
        <f t="shared" si="115"/>
        <v>0</v>
      </c>
      <c r="AO123" s="318">
        <f t="shared" si="116"/>
        <v>0</v>
      </c>
      <c r="AP123" s="318">
        <f t="shared" si="117"/>
        <v>0</v>
      </c>
      <c r="AQ123" s="318">
        <f t="shared" si="118"/>
        <v>0</v>
      </c>
      <c r="AR123" s="318">
        <f t="shared" si="119"/>
        <v>0</v>
      </c>
      <c r="AS123" s="318">
        <f t="shared" si="120"/>
        <v>0</v>
      </c>
      <c r="AT123" s="318">
        <f t="shared" si="121"/>
        <v>0</v>
      </c>
      <c r="AU123" s="318">
        <f t="shared" si="122"/>
        <v>0</v>
      </c>
      <c r="AV123" s="318">
        <f t="shared" si="123"/>
        <v>0</v>
      </c>
      <c r="AW123" s="318">
        <f t="shared" si="124"/>
        <v>0</v>
      </c>
      <c r="AX123" s="318">
        <f t="shared" si="125"/>
        <v>0</v>
      </c>
      <c r="AY123" s="318">
        <f t="shared" si="126"/>
        <v>0</v>
      </c>
      <c r="AZ123" s="318">
        <f t="shared" si="127"/>
        <v>0</v>
      </c>
      <c r="BA123" s="318">
        <f t="shared" si="128"/>
        <v>0</v>
      </c>
    </row>
    <row r="124" spans="1:53" s="315" customFormat="1" ht="16.5" customHeight="1">
      <c r="A124" s="63" t="str">
        <f t="array" ref="A124">IF(C124&lt;&gt;0,SUM(($C$11:C124&lt;&gt;0)*1),"")</f>
        <v/>
      </c>
      <c r="B124" s="316"/>
      <c r="C124" s="316"/>
      <c r="D124" s="316"/>
      <c r="E124" s="436"/>
      <c r="F124" s="372"/>
      <c r="G124" s="374"/>
      <c r="H124" s="374"/>
      <c r="I124" s="63" t="str">
        <f t="shared" si="90"/>
        <v/>
      </c>
      <c r="J124" s="318">
        <f t="shared" si="91"/>
        <v>0</v>
      </c>
      <c r="K124" s="318">
        <f t="shared" si="92"/>
        <v>0</v>
      </c>
      <c r="L124" s="318">
        <f t="shared" si="93"/>
        <v>0</v>
      </c>
      <c r="M124" s="318">
        <f t="shared" si="94"/>
        <v>0</v>
      </c>
      <c r="N124" s="318">
        <f t="shared" si="83"/>
        <v>0</v>
      </c>
      <c r="O124" s="318">
        <f t="shared" si="84"/>
        <v>0</v>
      </c>
      <c r="P124" s="318">
        <f t="shared" si="95"/>
        <v>0</v>
      </c>
      <c r="Q124" s="318">
        <f t="shared" si="96"/>
        <v>0</v>
      </c>
      <c r="R124" s="318">
        <f t="shared" si="97"/>
        <v>0</v>
      </c>
      <c r="S124" s="318">
        <f t="shared" si="98"/>
        <v>0</v>
      </c>
      <c r="T124" s="318">
        <f t="shared" si="85"/>
        <v>0</v>
      </c>
      <c r="U124" s="318">
        <f t="shared" si="86"/>
        <v>0</v>
      </c>
      <c r="V124" s="318">
        <f t="shared" si="99"/>
        <v>0</v>
      </c>
      <c r="W124" s="318">
        <f t="shared" si="100"/>
        <v>0</v>
      </c>
      <c r="X124" s="318">
        <f t="shared" si="101"/>
        <v>0</v>
      </c>
      <c r="Y124" s="318">
        <f t="shared" si="102"/>
        <v>0</v>
      </c>
      <c r="Z124" s="318">
        <f t="shared" si="103"/>
        <v>0</v>
      </c>
      <c r="AA124" s="318">
        <f t="shared" si="104"/>
        <v>0</v>
      </c>
      <c r="AB124" s="318">
        <f t="shared" si="105"/>
        <v>0</v>
      </c>
      <c r="AC124" s="318">
        <f t="shared" si="106"/>
        <v>0</v>
      </c>
      <c r="AD124" s="318">
        <f t="shared" si="107"/>
        <v>0</v>
      </c>
      <c r="AE124" s="318">
        <f t="shared" si="108"/>
        <v>0</v>
      </c>
      <c r="AF124" s="318">
        <f t="shared" si="87"/>
        <v>0</v>
      </c>
      <c r="AG124" s="318">
        <f t="shared" si="88"/>
        <v>0</v>
      </c>
      <c r="AH124" s="318">
        <f t="shared" si="109"/>
        <v>0</v>
      </c>
      <c r="AI124" s="318">
        <f t="shared" si="110"/>
        <v>0</v>
      </c>
      <c r="AJ124" s="318">
        <f t="shared" si="111"/>
        <v>0</v>
      </c>
      <c r="AK124" s="318">
        <f t="shared" si="112"/>
        <v>0</v>
      </c>
      <c r="AL124" s="318">
        <f t="shared" si="113"/>
        <v>0</v>
      </c>
      <c r="AM124" s="318">
        <f t="shared" si="114"/>
        <v>0</v>
      </c>
      <c r="AN124" s="318">
        <f t="shared" si="115"/>
        <v>0</v>
      </c>
      <c r="AO124" s="318">
        <f t="shared" si="116"/>
        <v>0</v>
      </c>
      <c r="AP124" s="318">
        <f t="shared" si="117"/>
        <v>0</v>
      </c>
      <c r="AQ124" s="318">
        <f t="shared" si="118"/>
        <v>0</v>
      </c>
      <c r="AR124" s="318">
        <f t="shared" si="119"/>
        <v>0</v>
      </c>
      <c r="AS124" s="318">
        <f t="shared" si="120"/>
        <v>0</v>
      </c>
      <c r="AT124" s="318">
        <f t="shared" si="121"/>
        <v>0</v>
      </c>
      <c r="AU124" s="318">
        <f t="shared" si="122"/>
        <v>0</v>
      </c>
      <c r="AV124" s="318">
        <f t="shared" si="123"/>
        <v>0</v>
      </c>
      <c r="AW124" s="318">
        <f t="shared" si="124"/>
        <v>0</v>
      </c>
      <c r="AX124" s="318">
        <f t="shared" si="125"/>
        <v>0</v>
      </c>
      <c r="AY124" s="318">
        <f t="shared" si="126"/>
        <v>0</v>
      </c>
      <c r="AZ124" s="318">
        <f t="shared" si="127"/>
        <v>0</v>
      </c>
      <c r="BA124" s="318">
        <f t="shared" si="128"/>
        <v>0</v>
      </c>
    </row>
    <row r="125" spans="1:53" s="315" customFormat="1" ht="16.5" customHeight="1">
      <c r="A125" s="63" t="str">
        <f t="array" ref="A125">IF(C125&lt;&gt;0,SUM(($C$11:C125&lt;&gt;0)*1),"")</f>
        <v/>
      </c>
      <c r="B125" s="316"/>
      <c r="C125" s="316"/>
      <c r="D125" s="316"/>
      <c r="E125" s="436"/>
      <c r="F125" s="372"/>
      <c r="G125" s="374"/>
      <c r="H125" s="374"/>
      <c r="I125" s="63" t="str">
        <f t="shared" si="90"/>
        <v/>
      </c>
      <c r="J125" s="318">
        <f t="shared" si="91"/>
        <v>0</v>
      </c>
      <c r="K125" s="318">
        <f t="shared" si="92"/>
        <v>0</v>
      </c>
      <c r="L125" s="318">
        <f t="shared" si="93"/>
        <v>0</v>
      </c>
      <c r="M125" s="318">
        <f t="shared" si="94"/>
        <v>0</v>
      </c>
      <c r="N125" s="318">
        <f t="shared" si="83"/>
        <v>0</v>
      </c>
      <c r="O125" s="318">
        <f t="shared" si="84"/>
        <v>0</v>
      </c>
      <c r="P125" s="318">
        <f t="shared" si="95"/>
        <v>0</v>
      </c>
      <c r="Q125" s="318">
        <f t="shared" si="96"/>
        <v>0</v>
      </c>
      <c r="R125" s="318">
        <f t="shared" si="97"/>
        <v>0</v>
      </c>
      <c r="S125" s="318">
        <f t="shared" si="98"/>
        <v>0</v>
      </c>
      <c r="T125" s="318">
        <f t="shared" si="85"/>
        <v>0</v>
      </c>
      <c r="U125" s="318">
        <f t="shared" si="86"/>
        <v>0</v>
      </c>
      <c r="V125" s="318">
        <f t="shared" si="99"/>
        <v>0</v>
      </c>
      <c r="W125" s="318">
        <f t="shared" si="100"/>
        <v>0</v>
      </c>
      <c r="X125" s="318">
        <f t="shared" si="101"/>
        <v>0</v>
      </c>
      <c r="Y125" s="318">
        <f t="shared" si="102"/>
        <v>0</v>
      </c>
      <c r="Z125" s="318">
        <f t="shared" si="103"/>
        <v>0</v>
      </c>
      <c r="AA125" s="318">
        <f t="shared" si="104"/>
        <v>0</v>
      </c>
      <c r="AB125" s="318">
        <f t="shared" si="105"/>
        <v>0</v>
      </c>
      <c r="AC125" s="318">
        <f t="shared" si="106"/>
        <v>0</v>
      </c>
      <c r="AD125" s="318">
        <f t="shared" si="107"/>
        <v>0</v>
      </c>
      <c r="AE125" s="318">
        <f t="shared" si="108"/>
        <v>0</v>
      </c>
      <c r="AF125" s="318">
        <f t="shared" si="87"/>
        <v>0</v>
      </c>
      <c r="AG125" s="318">
        <f t="shared" si="88"/>
        <v>0</v>
      </c>
      <c r="AH125" s="318">
        <f t="shared" si="109"/>
        <v>0</v>
      </c>
      <c r="AI125" s="318">
        <f t="shared" si="110"/>
        <v>0</v>
      </c>
      <c r="AJ125" s="318">
        <f t="shared" si="111"/>
        <v>0</v>
      </c>
      <c r="AK125" s="318">
        <f t="shared" si="112"/>
        <v>0</v>
      </c>
      <c r="AL125" s="318">
        <f t="shared" si="113"/>
        <v>0</v>
      </c>
      <c r="AM125" s="318">
        <f t="shared" si="114"/>
        <v>0</v>
      </c>
      <c r="AN125" s="318">
        <f t="shared" si="115"/>
        <v>0</v>
      </c>
      <c r="AO125" s="318">
        <f t="shared" si="116"/>
        <v>0</v>
      </c>
      <c r="AP125" s="318">
        <f t="shared" si="117"/>
        <v>0</v>
      </c>
      <c r="AQ125" s="318">
        <f t="shared" si="118"/>
        <v>0</v>
      </c>
      <c r="AR125" s="318">
        <f t="shared" si="119"/>
        <v>0</v>
      </c>
      <c r="AS125" s="318">
        <f t="shared" si="120"/>
        <v>0</v>
      </c>
      <c r="AT125" s="318">
        <f t="shared" si="121"/>
        <v>0</v>
      </c>
      <c r="AU125" s="318">
        <f t="shared" si="122"/>
        <v>0</v>
      </c>
      <c r="AV125" s="318">
        <f t="shared" si="123"/>
        <v>0</v>
      </c>
      <c r="AW125" s="318">
        <f t="shared" si="124"/>
        <v>0</v>
      </c>
      <c r="AX125" s="318">
        <f t="shared" si="125"/>
        <v>0</v>
      </c>
      <c r="AY125" s="318">
        <f t="shared" si="126"/>
        <v>0</v>
      </c>
      <c r="AZ125" s="318">
        <f t="shared" si="127"/>
        <v>0</v>
      </c>
      <c r="BA125" s="318">
        <f t="shared" si="128"/>
        <v>0</v>
      </c>
    </row>
    <row r="126" spans="1:53" s="315" customFormat="1" ht="16.5" customHeight="1">
      <c r="A126" s="63" t="str">
        <f t="array" ref="A126">IF(C126&lt;&gt;0,SUM(($C$11:C126&lt;&gt;0)*1),"")</f>
        <v/>
      </c>
      <c r="B126" s="316"/>
      <c r="C126" s="316"/>
      <c r="D126" s="316"/>
      <c r="E126" s="436"/>
      <c r="F126" s="372"/>
      <c r="G126" s="374"/>
      <c r="H126" s="374"/>
      <c r="I126" s="63" t="str">
        <f t="shared" si="90"/>
        <v/>
      </c>
      <c r="J126" s="318">
        <f t="shared" si="91"/>
        <v>0</v>
      </c>
      <c r="K126" s="318">
        <f t="shared" si="92"/>
        <v>0</v>
      </c>
      <c r="L126" s="318">
        <f t="shared" si="93"/>
        <v>0</v>
      </c>
      <c r="M126" s="318">
        <f t="shared" si="94"/>
        <v>0</v>
      </c>
      <c r="N126" s="318">
        <f t="shared" si="83"/>
        <v>0</v>
      </c>
      <c r="O126" s="318">
        <f t="shared" si="84"/>
        <v>0</v>
      </c>
      <c r="P126" s="318">
        <f t="shared" si="95"/>
        <v>0</v>
      </c>
      <c r="Q126" s="318">
        <f t="shared" si="96"/>
        <v>0</v>
      </c>
      <c r="R126" s="318">
        <f t="shared" si="97"/>
        <v>0</v>
      </c>
      <c r="S126" s="318">
        <f t="shared" si="98"/>
        <v>0</v>
      </c>
      <c r="T126" s="318">
        <f t="shared" si="85"/>
        <v>0</v>
      </c>
      <c r="U126" s="318">
        <f t="shared" si="86"/>
        <v>0</v>
      </c>
      <c r="V126" s="318">
        <f t="shared" si="99"/>
        <v>0</v>
      </c>
      <c r="W126" s="318">
        <f t="shared" si="100"/>
        <v>0</v>
      </c>
      <c r="X126" s="318">
        <f t="shared" si="101"/>
        <v>0</v>
      </c>
      <c r="Y126" s="318">
        <f t="shared" si="102"/>
        <v>0</v>
      </c>
      <c r="Z126" s="318">
        <f t="shared" si="103"/>
        <v>0</v>
      </c>
      <c r="AA126" s="318">
        <f t="shared" si="104"/>
        <v>0</v>
      </c>
      <c r="AB126" s="318">
        <f t="shared" si="105"/>
        <v>0</v>
      </c>
      <c r="AC126" s="318">
        <f t="shared" si="106"/>
        <v>0</v>
      </c>
      <c r="AD126" s="318">
        <f t="shared" si="107"/>
        <v>0</v>
      </c>
      <c r="AE126" s="318">
        <f t="shared" si="108"/>
        <v>0</v>
      </c>
      <c r="AF126" s="318">
        <f t="shared" si="87"/>
        <v>0</v>
      </c>
      <c r="AG126" s="318">
        <f t="shared" si="88"/>
        <v>0</v>
      </c>
      <c r="AH126" s="318">
        <f t="shared" si="109"/>
        <v>0</v>
      </c>
      <c r="AI126" s="318">
        <f t="shared" si="110"/>
        <v>0</v>
      </c>
      <c r="AJ126" s="318">
        <f t="shared" si="111"/>
        <v>0</v>
      </c>
      <c r="AK126" s="318">
        <f t="shared" si="112"/>
        <v>0</v>
      </c>
      <c r="AL126" s="318">
        <f t="shared" si="113"/>
        <v>0</v>
      </c>
      <c r="AM126" s="318">
        <f t="shared" si="114"/>
        <v>0</v>
      </c>
      <c r="AN126" s="318">
        <f t="shared" si="115"/>
        <v>0</v>
      </c>
      <c r="AO126" s="318">
        <f t="shared" si="116"/>
        <v>0</v>
      </c>
      <c r="AP126" s="318">
        <f t="shared" si="117"/>
        <v>0</v>
      </c>
      <c r="AQ126" s="318">
        <f t="shared" si="118"/>
        <v>0</v>
      </c>
      <c r="AR126" s="318">
        <f t="shared" si="119"/>
        <v>0</v>
      </c>
      <c r="AS126" s="318">
        <f t="shared" si="120"/>
        <v>0</v>
      </c>
      <c r="AT126" s="318">
        <f t="shared" si="121"/>
        <v>0</v>
      </c>
      <c r="AU126" s="318">
        <f t="shared" si="122"/>
        <v>0</v>
      </c>
      <c r="AV126" s="318">
        <f t="shared" si="123"/>
        <v>0</v>
      </c>
      <c r="AW126" s="318">
        <f t="shared" si="124"/>
        <v>0</v>
      </c>
      <c r="AX126" s="318">
        <f t="shared" si="125"/>
        <v>0</v>
      </c>
      <c r="AY126" s="318">
        <f t="shared" si="126"/>
        <v>0</v>
      </c>
      <c r="AZ126" s="318">
        <f t="shared" si="127"/>
        <v>0</v>
      </c>
      <c r="BA126" s="318">
        <f t="shared" si="128"/>
        <v>0</v>
      </c>
    </row>
    <row r="127" spans="1:53" s="315" customFormat="1" ht="16.5" customHeight="1">
      <c r="A127" s="63" t="str">
        <f t="array" ref="A127">IF(C127&lt;&gt;0,SUM(($C$11:C127&lt;&gt;0)*1),"")</f>
        <v/>
      </c>
      <c r="B127" s="316"/>
      <c r="C127" s="316"/>
      <c r="D127" s="316"/>
      <c r="E127" s="436"/>
      <c r="F127" s="372"/>
      <c r="G127" s="374"/>
      <c r="H127" s="374"/>
      <c r="I127" s="63" t="str">
        <f t="shared" si="90"/>
        <v/>
      </c>
      <c r="J127" s="318">
        <f t="shared" si="91"/>
        <v>0</v>
      </c>
      <c r="K127" s="318">
        <f t="shared" si="92"/>
        <v>0</v>
      </c>
      <c r="L127" s="318">
        <f t="shared" si="93"/>
        <v>0</v>
      </c>
      <c r="M127" s="318">
        <f t="shared" si="94"/>
        <v>0</v>
      </c>
      <c r="N127" s="318">
        <f t="shared" si="83"/>
        <v>0</v>
      </c>
      <c r="O127" s="318">
        <f t="shared" si="84"/>
        <v>0</v>
      </c>
      <c r="P127" s="318">
        <f t="shared" si="95"/>
        <v>0</v>
      </c>
      <c r="Q127" s="318">
        <f t="shared" si="96"/>
        <v>0</v>
      </c>
      <c r="R127" s="318">
        <f t="shared" si="97"/>
        <v>0</v>
      </c>
      <c r="S127" s="318">
        <f t="shared" si="98"/>
        <v>0</v>
      </c>
      <c r="T127" s="318">
        <f t="shared" si="85"/>
        <v>0</v>
      </c>
      <c r="U127" s="318">
        <f t="shared" si="86"/>
        <v>0</v>
      </c>
      <c r="V127" s="318">
        <f t="shared" si="99"/>
        <v>0</v>
      </c>
      <c r="W127" s="318">
        <f t="shared" si="100"/>
        <v>0</v>
      </c>
      <c r="X127" s="318">
        <f t="shared" si="101"/>
        <v>0</v>
      </c>
      <c r="Y127" s="318">
        <f t="shared" si="102"/>
        <v>0</v>
      </c>
      <c r="Z127" s="318">
        <f t="shared" si="103"/>
        <v>0</v>
      </c>
      <c r="AA127" s="318">
        <f t="shared" si="104"/>
        <v>0</v>
      </c>
      <c r="AB127" s="318">
        <f t="shared" si="105"/>
        <v>0</v>
      </c>
      <c r="AC127" s="318">
        <f t="shared" si="106"/>
        <v>0</v>
      </c>
      <c r="AD127" s="318">
        <f t="shared" si="107"/>
        <v>0</v>
      </c>
      <c r="AE127" s="318">
        <f t="shared" si="108"/>
        <v>0</v>
      </c>
      <c r="AF127" s="318">
        <f t="shared" si="87"/>
        <v>0</v>
      </c>
      <c r="AG127" s="318">
        <f t="shared" si="88"/>
        <v>0</v>
      </c>
      <c r="AH127" s="318">
        <f t="shared" si="109"/>
        <v>0</v>
      </c>
      <c r="AI127" s="318">
        <f t="shared" si="110"/>
        <v>0</v>
      </c>
      <c r="AJ127" s="318">
        <f t="shared" si="111"/>
        <v>0</v>
      </c>
      <c r="AK127" s="318">
        <f t="shared" si="112"/>
        <v>0</v>
      </c>
      <c r="AL127" s="318">
        <f t="shared" si="113"/>
        <v>0</v>
      </c>
      <c r="AM127" s="318">
        <f t="shared" si="114"/>
        <v>0</v>
      </c>
      <c r="AN127" s="318">
        <f t="shared" si="115"/>
        <v>0</v>
      </c>
      <c r="AO127" s="318">
        <f t="shared" si="116"/>
        <v>0</v>
      </c>
      <c r="AP127" s="318">
        <f t="shared" si="117"/>
        <v>0</v>
      </c>
      <c r="AQ127" s="318">
        <f t="shared" si="118"/>
        <v>0</v>
      </c>
      <c r="AR127" s="318">
        <f t="shared" si="119"/>
        <v>0</v>
      </c>
      <c r="AS127" s="318">
        <f t="shared" si="120"/>
        <v>0</v>
      </c>
      <c r="AT127" s="318">
        <f t="shared" si="121"/>
        <v>0</v>
      </c>
      <c r="AU127" s="318">
        <f t="shared" si="122"/>
        <v>0</v>
      </c>
      <c r="AV127" s="318">
        <f t="shared" si="123"/>
        <v>0</v>
      </c>
      <c r="AW127" s="318">
        <f t="shared" si="124"/>
        <v>0</v>
      </c>
      <c r="AX127" s="318">
        <f t="shared" si="125"/>
        <v>0</v>
      </c>
      <c r="AY127" s="318">
        <f t="shared" si="126"/>
        <v>0</v>
      </c>
      <c r="AZ127" s="318">
        <f t="shared" si="127"/>
        <v>0</v>
      </c>
      <c r="BA127" s="318">
        <f t="shared" si="128"/>
        <v>0</v>
      </c>
    </row>
    <row r="128" spans="1:53" s="315" customFormat="1" ht="16.5" customHeight="1">
      <c r="A128" s="63" t="str">
        <f t="array" ref="A128">IF(C128&lt;&gt;0,SUM(($C$11:C128&lt;&gt;0)*1),"")</f>
        <v/>
      </c>
      <c r="B128" s="316"/>
      <c r="C128" s="316"/>
      <c r="D128" s="316"/>
      <c r="E128" s="436"/>
      <c r="F128" s="372"/>
      <c r="G128" s="374"/>
      <c r="H128" s="374"/>
      <c r="I128" s="63" t="str">
        <f t="shared" si="90"/>
        <v/>
      </c>
      <c r="J128" s="318">
        <f t="shared" si="91"/>
        <v>0</v>
      </c>
      <c r="K128" s="318">
        <f t="shared" si="92"/>
        <v>0</v>
      </c>
      <c r="L128" s="318">
        <f t="shared" si="93"/>
        <v>0</v>
      </c>
      <c r="M128" s="318">
        <f t="shared" si="94"/>
        <v>0</v>
      </c>
      <c r="N128" s="318">
        <f t="shared" si="83"/>
        <v>0</v>
      </c>
      <c r="O128" s="318">
        <f t="shared" si="84"/>
        <v>0</v>
      </c>
      <c r="P128" s="318">
        <f t="shared" si="95"/>
        <v>0</v>
      </c>
      <c r="Q128" s="318">
        <f t="shared" si="96"/>
        <v>0</v>
      </c>
      <c r="R128" s="318">
        <f t="shared" si="97"/>
        <v>0</v>
      </c>
      <c r="S128" s="318">
        <f t="shared" si="98"/>
        <v>0</v>
      </c>
      <c r="T128" s="318">
        <f t="shared" si="85"/>
        <v>0</v>
      </c>
      <c r="U128" s="318">
        <f t="shared" si="86"/>
        <v>0</v>
      </c>
      <c r="V128" s="318">
        <f t="shared" si="99"/>
        <v>0</v>
      </c>
      <c r="W128" s="318">
        <f t="shared" si="100"/>
        <v>0</v>
      </c>
      <c r="X128" s="318">
        <f t="shared" si="101"/>
        <v>0</v>
      </c>
      <c r="Y128" s="318">
        <f t="shared" si="102"/>
        <v>0</v>
      </c>
      <c r="Z128" s="318">
        <f t="shared" si="103"/>
        <v>0</v>
      </c>
      <c r="AA128" s="318">
        <f t="shared" si="104"/>
        <v>0</v>
      </c>
      <c r="AB128" s="318">
        <f t="shared" si="105"/>
        <v>0</v>
      </c>
      <c r="AC128" s="318">
        <f t="shared" si="106"/>
        <v>0</v>
      </c>
      <c r="AD128" s="318">
        <f t="shared" si="107"/>
        <v>0</v>
      </c>
      <c r="AE128" s="318">
        <f t="shared" si="108"/>
        <v>0</v>
      </c>
      <c r="AF128" s="318">
        <f t="shared" si="87"/>
        <v>0</v>
      </c>
      <c r="AG128" s="318">
        <f t="shared" si="88"/>
        <v>0</v>
      </c>
      <c r="AH128" s="318">
        <f t="shared" si="109"/>
        <v>0</v>
      </c>
      <c r="AI128" s="318">
        <f t="shared" si="110"/>
        <v>0</v>
      </c>
      <c r="AJ128" s="318">
        <f t="shared" si="111"/>
        <v>0</v>
      </c>
      <c r="AK128" s="318">
        <f t="shared" si="112"/>
        <v>0</v>
      </c>
      <c r="AL128" s="318">
        <f t="shared" si="113"/>
        <v>0</v>
      </c>
      <c r="AM128" s="318">
        <f t="shared" si="114"/>
        <v>0</v>
      </c>
      <c r="AN128" s="318">
        <f t="shared" si="115"/>
        <v>0</v>
      </c>
      <c r="AO128" s="318">
        <f t="shared" si="116"/>
        <v>0</v>
      </c>
      <c r="AP128" s="318">
        <f t="shared" si="117"/>
        <v>0</v>
      </c>
      <c r="AQ128" s="318">
        <f t="shared" si="118"/>
        <v>0</v>
      </c>
      <c r="AR128" s="318">
        <f t="shared" si="119"/>
        <v>0</v>
      </c>
      <c r="AS128" s="318">
        <f t="shared" si="120"/>
        <v>0</v>
      </c>
      <c r="AT128" s="318">
        <f t="shared" si="121"/>
        <v>0</v>
      </c>
      <c r="AU128" s="318">
        <f t="shared" si="122"/>
        <v>0</v>
      </c>
      <c r="AV128" s="318">
        <f t="shared" si="123"/>
        <v>0</v>
      </c>
      <c r="AW128" s="318">
        <f t="shared" si="124"/>
        <v>0</v>
      </c>
      <c r="AX128" s="318">
        <f t="shared" si="125"/>
        <v>0</v>
      </c>
      <c r="AY128" s="318">
        <f t="shared" si="126"/>
        <v>0</v>
      </c>
      <c r="AZ128" s="318">
        <f t="shared" si="127"/>
        <v>0</v>
      </c>
      <c r="BA128" s="318">
        <f t="shared" si="128"/>
        <v>0</v>
      </c>
    </row>
    <row r="129" spans="1:53" s="315" customFormat="1" ht="16.5" customHeight="1">
      <c r="A129" s="63" t="str">
        <f t="array" ref="A129">IF(C129&lt;&gt;0,SUM(($C$11:C129&lt;&gt;0)*1),"")</f>
        <v/>
      </c>
      <c r="B129" s="316"/>
      <c r="C129" s="316"/>
      <c r="D129" s="316"/>
      <c r="E129" s="436"/>
      <c r="F129" s="372"/>
      <c r="G129" s="374"/>
      <c r="H129" s="374"/>
      <c r="I129" s="63" t="str">
        <f t="shared" si="90"/>
        <v/>
      </c>
      <c r="J129" s="318">
        <f t="shared" si="91"/>
        <v>0</v>
      </c>
      <c r="K129" s="318">
        <f t="shared" si="92"/>
        <v>0</v>
      </c>
      <c r="L129" s="318">
        <f t="shared" si="93"/>
        <v>0</v>
      </c>
      <c r="M129" s="318">
        <f t="shared" si="94"/>
        <v>0</v>
      </c>
      <c r="N129" s="318">
        <f t="shared" si="83"/>
        <v>0</v>
      </c>
      <c r="O129" s="318">
        <f t="shared" si="84"/>
        <v>0</v>
      </c>
      <c r="P129" s="318">
        <f t="shared" si="95"/>
        <v>0</v>
      </c>
      <c r="Q129" s="318">
        <f t="shared" si="96"/>
        <v>0</v>
      </c>
      <c r="R129" s="318">
        <f t="shared" si="97"/>
        <v>0</v>
      </c>
      <c r="S129" s="318">
        <f t="shared" si="98"/>
        <v>0</v>
      </c>
      <c r="T129" s="318">
        <f t="shared" si="85"/>
        <v>0</v>
      </c>
      <c r="U129" s="318">
        <f t="shared" si="86"/>
        <v>0</v>
      </c>
      <c r="V129" s="318">
        <f t="shared" si="99"/>
        <v>0</v>
      </c>
      <c r="W129" s="318">
        <f t="shared" si="100"/>
        <v>0</v>
      </c>
      <c r="X129" s="318">
        <f t="shared" si="101"/>
        <v>0</v>
      </c>
      <c r="Y129" s="318">
        <f t="shared" si="102"/>
        <v>0</v>
      </c>
      <c r="Z129" s="318">
        <f t="shared" si="103"/>
        <v>0</v>
      </c>
      <c r="AA129" s="318">
        <f t="shared" si="104"/>
        <v>0</v>
      </c>
      <c r="AB129" s="318">
        <f t="shared" si="105"/>
        <v>0</v>
      </c>
      <c r="AC129" s="318">
        <f t="shared" si="106"/>
        <v>0</v>
      </c>
      <c r="AD129" s="318">
        <f t="shared" si="107"/>
        <v>0</v>
      </c>
      <c r="AE129" s="318">
        <f t="shared" si="108"/>
        <v>0</v>
      </c>
      <c r="AF129" s="318">
        <f t="shared" si="87"/>
        <v>0</v>
      </c>
      <c r="AG129" s="318">
        <f t="shared" si="88"/>
        <v>0</v>
      </c>
      <c r="AH129" s="318">
        <f t="shared" si="109"/>
        <v>0</v>
      </c>
      <c r="AI129" s="318">
        <f t="shared" si="110"/>
        <v>0</v>
      </c>
      <c r="AJ129" s="318">
        <f t="shared" si="111"/>
        <v>0</v>
      </c>
      <c r="AK129" s="318">
        <f t="shared" si="112"/>
        <v>0</v>
      </c>
      <c r="AL129" s="318">
        <f t="shared" si="113"/>
        <v>0</v>
      </c>
      <c r="AM129" s="318">
        <f t="shared" si="114"/>
        <v>0</v>
      </c>
      <c r="AN129" s="318">
        <f t="shared" si="115"/>
        <v>0</v>
      </c>
      <c r="AO129" s="318">
        <f t="shared" si="116"/>
        <v>0</v>
      </c>
      <c r="AP129" s="318">
        <f t="shared" si="117"/>
        <v>0</v>
      </c>
      <c r="AQ129" s="318">
        <f t="shared" si="118"/>
        <v>0</v>
      </c>
      <c r="AR129" s="318">
        <f t="shared" si="119"/>
        <v>0</v>
      </c>
      <c r="AS129" s="318">
        <f t="shared" si="120"/>
        <v>0</v>
      </c>
      <c r="AT129" s="318">
        <f t="shared" si="121"/>
        <v>0</v>
      </c>
      <c r="AU129" s="318">
        <f t="shared" si="122"/>
        <v>0</v>
      </c>
      <c r="AV129" s="318">
        <f t="shared" si="123"/>
        <v>0</v>
      </c>
      <c r="AW129" s="318">
        <f t="shared" si="124"/>
        <v>0</v>
      </c>
      <c r="AX129" s="318">
        <f t="shared" si="125"/>
        <v>0</v>
      </c>
      <c r="AY129" s="318">
        <f t="shared" si="126"/>
        <v>0</v>
      </c>
      <c r="AZ129" s="318">
        <f t="shared" si="127"/>
        <v>0</v>
      </c>
      <c r="BA129" s="318">
        <f t="shared" si="128"/>
        <v>0</v>
      </c>
    </row>
    <row r="130" spans="1:53" s="315" customFormat="1" ht="16.5" customHeight="1">
      <c r="A130" s="63" t="str">
        <f t="array" ref="A130">IF(C130&lt;&gt;0,SUM(($C$11:C130&lt;&gt;0)*1),"")</f>
        <v/>
      </c>
      <c r="B130" s="316"/>
      <c r="C130" s="316"/>
      <c r="D130" s="316"/>
      <c r="E130" s="436"/>
      <c r="F130" s="372"/>
      <c r="G130" s="374"/>
      <c r="H130" s="374"/>
      <c r="I130" s="63" t="str">
        <f t="shared" si="90"/>
        <v/>
      </c>
      <c r="J130" s="318">
        <f t="shared" si="91"/>
        <v>0</v>
      </c>
      <c r="K130" s="318">
        <f t="shared" si="92"/>
        <v>0</v>
      </c>
      <c r="L130" s="318">
        <f t="shared" si="93"/>
        <v>0</v>
      </c>
      <c r="M130" s="318">
        <f t="shared" si="94"/>
        <v>0</v>
      </c>
      <c r="N130" s="318">
        <f t="shared" si="83"/>
        <v>0</v>
      </c>
      <c r="O130" s="318">
        <f t="shared" si="84"/>
        <v>0</v>
      </c>
      <c r="P130" s="318">
        <f t="shared" si="95"/>
        <v>0</v>
      </c>
      <c r="Q130" s="318">
        <f t="shared" si="96"/>
        <v>0</v>
      </c>
      <c r="R130" s="318">
        <f t="shared" si="97"/>
        <v>0</v>
      </c>
      <c r="S130" s="318">
        <f t="shared" si="98"/>
        <v>0</v>
      </c>
      <c r="T130" s="318">
        <f t="shared" si="85"/>
        <v>0</v>
      </c>
      <c r="U130" s="318">
        <f t="shared" si="86"/>
        <v>0</v>
      </c>
      <c r="V130" s="318">
        <f t="shared" si="99"/>
        <v>0</v>
      </c>
      <c r="W130" s="318">
        <f t="shared" si="100"/>
        <v>0</v>
      </c>
      <c r="X130" s="318">
        <f t="shared" si="101"/>
        <v>0</v>
      </c>
      <c r="Y130" s="318">
        <f t="shared" si="102"/>
        <v>0</v>
      </c>
      <c r="Z130" s="318">
        <f t="shared" si="103"/>
        <v>0</v>
      </c>
      <c r="AA130" s="318">
        <f t="shared" si="104"/>
        <v>0</v>
      </c>
      <c r="AB130" s="318">
        <f t="shared" si="105"/>
        <v>0</v>
      </c>
      <c r="AC130" s="318">
        <f t="shared" si="106"/>
        <v>0</v>
      </c>
      <c r="AD130" s="318">
        <f t="shared" si="107"/>
        <v>0</v>
      </c>
      <c r="AE130" s="318">
        <f t="shared" si="108"/>
        <v>0</v>
      </c>
      <c r="AF130" s="318">
        <f t="shared" si="87"/>
        <v>0</v>
      </c>
      <c r="AG130" s="318">
        <f t="shared" si="88"/>
        <v>0</v>
      </c>
      <c r="AH130" s="318">
        <f t="shared" si="109"/>
        <v>0</v>
      </c>
      <c r="AI130" s="318">
        <f t="shared" si="110"/>
        <v>0</v>
      </c>
      <c r="AJ130" s="318">
        <f t="shared" si="111"/>
        <v>0</v>
      </c>
      <c r="AK130" s="318">
        <f t="shared" si="112"/>
        <v>0</v>
      </c>
      <c r="AL130" s="318">
        <f t="shared" si="113"/>
        <v>0</v>
      </c>
      <c r="AM130" s="318">
        <f t="shared" si="114"/>
        <v>0</v>
      </c>
      <c r="AN130" s="318">
        <f t="shared" si="115"/>
        <v>0</v>
      </c>
      <c r="AO130" s="318">
        <f t="shared" si="116"/>
        <v>0</v>
      </c>
      <c r="AP130" s="318">
        <f t="shared" si="117"/>
        <v>0</v>
      </c>
      <c r="AQ130" s="318">
        <f t="shared" si="118"/>
        <v>0</v>
      </c>
      <c r="AR130" s="318">
        <f t="shared" si="119"/>
        <v>0</v>
      </c>
      <c r="AS130" s="318">
        <f t="shared" si="120"/>
        <v>0</v>
      </c>
      <c r="AT130" s="318">
        <f t="shared" si="121"/>
        <v>0</v>
      </c>
      <c r="AU130" s="318">
        <f t="shared" si="122"/>
        <v>0</v>
      </c>
      <c r="AV130" s="318">
        <f t="shared" si="123"/>
        <v>0</v>
      </c>
      <c r="AW130" s="318">
        <f t="shared" si="124"/>
        <v>0</v>
      </c>
      <c r="AX130" s="318">
        <f t="shared" si="125"/>
        <v>0</v>
      </c>
      <c r="AY130" s="318">
        <f t="shared" si="126"/>
        <v>0</v>
      </c>
      <c r="AZ130" s="318">
        <f t="shared" si="127"/>
        <v>0</v>
      </c>
      <c r="BA130" s="318">
        <f t="shared" si="128"/>
        <v>0</v>
      </c>
    </row>
    <row r="131" spans="1:53" s="315" customFormat="1" ht="16.5" customHeight="1">
      <c r="A131" s="63" t="str">
        <f t="array" ref="A131">IF(C131&lt;&gt;0,SUM(($C$11:C131&lt;&gt;0)*1),"")</f>
        <v/>
      </c>
      <c r="B131" s="316"/>
      <c r="C131" s="316"/>
      <c r="D131" s="316"/>
      <c r="E131" s="436"/>
      <c r="F131" s="372"/>
      <c r="G131" s="374"/>
      <c r="H131" s="374"/>
      <c r="I131" s="63" t="str">
        <f>A131</f>
        <v/>
      </c>
      <c r="J131" s="318">
        <f>IF($G131="1111",$F131,0)</f>
        <v>0</v>
      </c>
      <c r="K131" s="318">
        <f>IF($H131="1111",$F131,0)</f>
        <v>0</v>
      </c>
      <c r="L131" s="318">
        <f>IF($G131="1121",$F131,0)</f>
        <v>0</v>
      </c>
      <c r="M131" s="318">
        <f>IF($H131="1121",$F131,0)</f>
        <v>0</v>
      </c>
      <c r="N131" s="318">
        <f t="shared" si="83"/>
        <v>0</v>
      </c>
      <c r="O131" s="318">
        <f t="shared" si="84"/>
        <v>0</v>
      </c>
      <c r="P131" s="318">
        <f>IF($G131="1331",$F131,0)</f>
        <v>0</v>
      </c>
      <c r="Q131" s="318">
        <f>IF($H131="1331",$F131,0)</f>
        <v>0</v>
      </c>
      <c r="R131" s="318">
        <f>IF($G131="1388",$F131,0)</f>
        <v>0</v>
      </c>
      <c r="S131" s="318">
        <f>IF($H131="1388",$F131,0)</f>
        <v>0</v>
      </c>
      <c r="T131" s="318">
        <f t="shared" si="85"/>
        <v>0</v>
      </c>
      <c r="U131" s="318">
        <f t="shared" si="86"/>
        <v>0</v>
      </c>
      <c r="V131" s="318">
        <f>IF($G131="331",$F131,0)</f>
        <v>0</v>
      </c>
      <c r="W131" s="318">
        <f>IF($H131="331",$F131,0)</f>
        <v>0</v>
      </c>
      <c r="X131" s="318">
        <f>IF($G131="3334",$F131,0)</f>
        <v>0</v>
      </c>
      <c r="Y131" s="318">
        <f>IF($H131="3334",$F131,0)</f>
        <v>0</v>
      </c>
      <c r="Z131" s="318">
        <f>IF($G131="33382",$F131,0)</f>
        <v>0</v>
      </c>
      <c r="AA131" s="318">
        <f>IF($H131="33382",$F131,0)</f>
        <v>0</v>
      </c>
      <c r="AB131" s="318">
        <f>IF($G131="3388",$F131,0)</f>
        <v>0</v>
      </c>
      <c r="AC131" s="318">
        <f>IF($H131="3388",$F131,0)</f>
        <v>0</v>
      </c>
      <c r="AD131" s="318">
        <f>IF($G131="3411",$F131,0)</f>
        <v>0</v>
      </c>
      <c r="AE131" s="318">
        <f>IF($H131="3411",$F131,0)</f>
        <v>0</v>
      </c>
      <c r="AF131" s="318">
        <f t="shared" si="87"/>
        <v>0</v>
      </c>
      <c r="AG131" s="318">
        <f t="shared" si="88"/>
        <v>0</v>
      </c>
      <c r="AH131" s="318">
        <f>IF($G131="4111",$F131,0)</f>
        <v>0</v>
      </c>
      <c r="AI131" s="318">
        <f>IF($H131="4111",$F131,0)</f>
        <v>0</v>
      </c>
      <c r="AJ131" s="318">
        <f>IF($G131="4211",$F131,0)</f>
        <v>0</v>
      </c>
      <c r="AK131" s="318">
        <f>IF($H131="4211",$F131,0)</f>
        <v>0</v>
      </c>
      <c r="AL131" s="318">
        <f>IF($G131="4212",$F131,0)</f>
        <v>0</v>
      </c>
      <c r="AM131" s="318">
        <f>IF($H131="4212",$F131,0)</f>
        <v>0</v>
      </c>
      <c r="AN131" s="318">
        <f>IF($G131="515",$F131,0)</f>
        <v>0</v>
      </c>
      <c r="AO131" s="318">
        <f>IF($H131="515",$F131,0)</f>
        <v>0</v>
      </c>
      <c r="AP131" s="318">
        <f>IF($G131="635",$F131,0)</f>
        <v>0</v>
      </c>
      <c r="AQ131" s="318">
        <f>IF($H131="635",$F131,0)</f>
        <v>0</v>
      </c>
      <c r="AR131" s="318">
        <f>IF($G131="642",$F131,0)</f>
        <v>0</v>
      </c>
      <c r="AS131" s="318">
        <f>IF($H131="642",$F131,0)</f>
        <v>0</v>
      </c>
      <c r="AT131" s="318">
        <f>IF($G131="711",$F131,0)</f>
        <v>0</v>
      </c>
      <c r="AU131" s="318">
        <f>IF($H131="711",$F131,0)</f>
        <v>0</v>
      </c>
      <c r="AV131" s="318">
        <f>IF($G131="811",$F131,0)</f>
        <v>0</v>
      </c>
      <c r="AW131" s="318">
        <f>IF($H131="811",$F131,0)</f>
        <v>0</v>
      </c>
      <c r="AX131" s="318">
        <f>IF($G131="821",$F131,0)</f>
        <v>0</v>
      </c>
      <c r="AY131" s="318">
        <f>IF($H131="821",$F131,0)</f>
        <v>0</v>
      </c>
      <c r="AZ131" s="318">
        <f>IF($G131="911",$F131,0)</f>
        <v>0</v>
      </c>
      <c r="BA131" s="318">
        <f>IF($H131="911",$F131,0)</f>
        <v>0</v>
      </c>
    </row>
    <row r="132" spans="1:53" s="315" customFormat="1" ht="16.5" customHeight="1">
      <c r="A132" s="63" t="str">
        <f t="array" ref="A132">IF(C132&lt;&gt;0,SUM(($C$11:C132&lt;&gt;0)*1),"")</f>
        <v/>
      </c>
      <c r="B132" s="316"/>
      <c r="C132" s="316"/>
      <c r="D132" s="316"/>
      <c r="E132" s="436"/>
      <c r="F132" s="372"/>
      <c r="G132" s="374"/>
      <c r="H132" s="374"/>
      <c r="I132" s="63" t="str">
        <f>A132</f>
        <v/>
      </c>
      <c r="J132" s="318">
        <f>IF($G132="1111",$F132,0)</f>
        <v>0</v>
      </c>
      <c r="K132" s="318">
        <f>IF($H132="1111",$F132,0)</f>
        <v>0</v>
      </c>
      <c r="L132" s="318">
        <f>IF($G132="1121",$F132,0)</f>
        <v>0</v>
      </c>
      <c r="M132" s="318">
        <f>IF($H132="1121",$F132,0)</f>
        <v>0</v>
      </c>
      <c r="N132" s="318">
        <f t="shared" si="83"/>
        <v>0</v>
      </c>
      <c r="O132" s="318">
        <f t="shared" si="84"/>
        <v>0</v>
      </c>
      <c r="P132" s="318">
        <f>IF($G132="1331",$F132,0)</f>
        <v>0</v>
      </c>
      <c r="Q132" s="318">
        <f>IF($H132="1331",$F132,0)</f>
        <v>0</v>
      </c>
      <c r="R132" s="318">
        <f>IF($G132="1388",$F132,0)</f>
        <v>0</v>
      </c>
      <c r="S132" s="318">
        <f>IF($H132="1388",$F132,0)</f>
        <v>0</v>
      </c>
      <c r="T132" s="318">
        <f t="shared" si="85"/>
        <v>0</v>
      </c>
      <c r="U132" s="318">
        <f t="shared" si="86"/>
        <v>0</v>
      </c>
      <c r="V132" s="318">
        <f>IF($G132="331",$F132,0)</f>
        <v>0</v>
      </c>
      <c r="W132" s="318">
        <f>IF($H132="331",$F132,0)</f>
        <v>0</v>
      </c>
      <c r="X132" s="318">
        <f>IF($G132="3334",$F132,0)</f>
        <v>0</v>
      </c>
      <c r="Y132" s="318">
        <f>IF($H132="3334",$F132,0)</f>
        <v>0</v>
      </c>
      <c r="Z132" s="318">
        <f>IF($G132="33382",$F132,0)</f>
        <v>0</v>
      </c>
      <c r="AA132" s="318">
        <f>IF($H132="33382",$F132,0)</f>
        <v>0</v>
      </c>
      <c r="AB132" s="318">
        <f>IF($G132="3388",$F132,0)</f>
        <v>0</v>
      </c>
      <c r="AC132" s="318">
        <f>IF($H132="3388",$F132,0)</f>
        <v>0</v>
      </c>
      <c r="AD132" s="318">
        <f>IF($G132="3411",$F132,0)</f>
        <v>0</v>
      </c>
      <c r="AE132" s="318">
        <f>IF($H132="3411",$F132,0)</f>
        <v>0</v>
      </c>
      <c r="AF132" s="318">
        <f t="shared" si="87"/>
        <v>0</v>
      </c>
      <c r="AG132" s="318">
        <f t="shared" si="88"/>
        <v>0</v>
      </c>
      <c r="AH132" s="318">
        <f>IF($G132="4111",$F132,0)</f>
        <v>0</v>
      </c>
      <c r="AI132" s="318">
        <f>IF($H132="4111",$F132,0)</f>
        <v>0</v>
      </c>
      <c r="AJ132" s="318">
        <f>IF($G132="4211",$F132,0)</f>
        <v>0</v>
      </c>
      <c r="AK132" s="318">
        <f>IF($H132="4211",$F132,0)</f>
        <v>0</v>
      </c>
      <c r="AL132" s="318">
        <f>IF($G132="4212",$F132,0)</f>
        <v>0</v>
      </c>
      <c r="AM132" s="318">
        <f>IF($H132="4212",$F132,0)</f>
        <v>0</v>
      </c>
      <c r="AN132" s="318">
        <f>IF($G132="515",$F132,0)</f>
        <v>0</v>
      </c>
      <c r="AO132" s="318">
        <f>IF($H132="515",$F132,0)</f>
        <v>0</v>
      </c>
      <c r="AP132" s="318">
        <f>IF($G132="635",$F132,0)</f>
        <v>0</v>
      </c>
      <c r="AQ132" s="318">
        <f>IF($H132="635",$F132,0)</f>
        <v>0</v>
      </c>
      <c r="AR132" s="318">
        <f>IF($G132="642",$F132,0)</f>
        <v>0</v>
      </c>
      <c r="AS132" s="318">
        <f>IF($H132="642",$F132,0)</f>
        <v>0</v>
      </c>
      <c r="AT132" s="318">
        <f>IF($G132="711",$F132,0)</f>
        <v>0</v>
      </c>
      <c r="AU132" s="318">
        <f>IF($H132="711",$F132,0)</f>
        <v>0</v>
      </c>
      <c r="AV132" s="318">
        <f>IF($G132="811",$F132,0)</f>
        <v>0</v>
      </c>
      <c r="AW132" s="318">
        <f>IF($H132="811",$F132,0)</f>
        <v>0</v>
      </c>
      <c r="AX132" s="318">
        <f>IF($G132="821",$F132,0)</f>
        <v>0</v>
      </c>
      <c r="AY132" s="318">
        <f>IF($H132="821",$F132,0)</f>
        <v>0</v>
      </c>
      <c r="AZ132" s="318">
        <f>IF($G132="911",$F132,0)</f>
        <v>0</v>
      </c>
      <c r="BA132" s="318">
        <f>IF($H132="911",$F132,0)</f>
        <v>0</v>
      </c>
    </row>
    <row r="133" spans="1:53" s="315" customFormat="1" ht="16.5" customHeight="1">
      <c r="A133" s="63" t="str">
        <f t="array" ref="A133">IF(C133&lt;&gt;0,SUM(($C$11:C133&lt;&gt;0)*1),"")</f>
        <v/>
      </c>
      <c r="B133" s="316"/>
      <c r="C133" s="316"/>
      <c r="D133" s="316"/>
      <c r="E133" s="436"/>
      <c r="F133" s="372"/>
      <c r="G133" s="374"/>
      <c r="H133" s="374"/>
      <c r="I133" s="63" t="str">
        <f>A133</f>
        <v/>
      </c>
      <c r="J133" s="318">
        <f>IF($G133="1111",$F133,0)</f>
        <v>0</v>
      </c>
      <c r="K133" s="318">
        <f>IF($H133="1111",$F133,0)</f>
        <v>0</v>
      </c>
      <c r="L133" s="318">
        <f>IF($G133="1121",$F133,0)</f>
        <v>0</v>
      </c>
      <c r="M133" s="318">
        <f>IF($H133="1121",$F133,0)</f>
        <v>0</v>
      </c>
      <c r="N133" s="318">
        <f t="shared" si="83"/>
        <v>0</v>
      </c>
      <c r="O133" s="318">
        <f t="shared" si="84"/>
        <v>0</v>
      </c>
      <c r="P133" s="318">
        <f>IF($G133="1331",$F133,0)</f>
        <v>0</v>
      </c>
      <c r="Q133" s="318">
        <f>IF($H133="1331",$F133,0)</f>
        <v>0</v>
      </c>
      <c r="R133" s="318">
        <f>IF($G133="1388",$F133,0)</f>
        <v>0</v>
      </c>
      <c r="S133" s="318">
        <f>IF($H133="1388",$F133,0)</f>
        <v>0</v>
      </c>
      <c r="T133" s="318">
        <f t="shared" si="85"/>
        <v>0</v>
      </c>
      <c r="U133" s="318">
        <f t="shared" si="86"/>
        <v>0</v>
      </c>
      <c r="V133" s="318">
        <f>IF($G133="331",$F133,0)</f>
        <v>0</v>
      </c>
      <c r="W133" s="318">
        <f>IF($H133="331",$F133,0)</f>
        <v>0</v>
      </c>
      <c r="X133" s="318">
        <f>IF($G133="3334",$F133,0)</f>
        <v>0</v>
      </c>
      <c r="Y133" s="318">
        <f>IF($H133="3334",$F133,0)</f>
        <v>0</v>
      </c>
      <c r="Z133" s="318">
        <f>IF($G133="33382",$F133,0)</f>
        <v>0</v>
      </c>
      <c r="AA133" s="318">
        <f>IF($H133="33382",$F133,0)</f>
        <v>0</v>
      </c>
      <c r="AB133" s="318">
        <f>IF($G133="3388",$F133,0)</f>
        <v>0</v>
      </c>
      <c r="AC133" s="318">
        <f>IF($H133="3388",$F133,0)</f>
        <v>0</v>
      </c>
      <c r="AD133" s="318">
        <f>IF($G133="3411",$F133,0)</f>
        <v>0</v>
      </c>
      <c r="AE133" s="318">
        <f>IF($H133="3411",$F133,0)</f>
        <v>0</v>
      </c>
      <c r="AF133" s="318">
        <f t="shared" si="87"/>
        <v>0</v>
      </c>
      <c r="AG133" s="318">
        <f t="shared" si="88"/>
        <v>0</v>
      </c>
      <c r="AH133" s="318">
        <f>IF($G133="4111",$F133,0)</f>
        <v>0</v>
      </c>
      <c r="AI133" s="318">
        <f>IF($H133="4111",$F133,0)</f>
        <v>0</v>
      </c>
      <c r="AJ133" s="318">
        <f>IF($G133="4211",$F133,0)</f>
        <v>0</v>
      </c>
      <c r="AK133" s="318">
        <f>IF($H133="4211",$F133,0)</f>
        <v>0</v>
      </c>
      <c r="AL133" s="318">
        <f>IF($G133="4212",$F133,0)</f>
        <v>0</v>
      </c>
      <c r="AM133" s="318">
        <f>IF($H133="4212",$F133,0)</f>
        <v>0</v>
      </c>
      <c r="AN133" s="318">
        <f>IF($G133="515",$F133,0)</f>
        <v>0</v>
      </c>
      <c r="AO133" s="318">
        <f>IF($H133="515",$F133,0)</f>
        <v>0</v>
      </c>
      <c r="AP133" s="318">
        <f>IF($G133="635",$F133,0)</f>
        <v>0</v>
      </c>
      <c r="AQ133" s="318">
        <f>IF($H133="635",$F133,0)</f>
        <v>0</v>
      </c>
      <c r="AR133" s="318">
        <f>IF($G133="642",$F133,0)</f>
        <v>0</v>
      </c>
      <c r="AS133" s="318">
        <f>IF($H133="642",$F133,0)</f>
        <v>0</v>
      </c>
      <c r="AT133" s="318">
        <f>IF($G133="711",$F133,0)</f>
        <v>0</v>
      </c>
      <c r="AU133" s="318">
        <f>IF($H133="711",$F133,0)</f>
        <v>0</v>
      </c>
      <c r="AV133" s="318">
        <f>IF($G133="811",$F133,0)</f>
        <v>0</v>
      </c>
      <c r="AW133" s="318">
        <f>IF($H133="811",$F133,0)</f>
        <v>0</v>
      </c>
      <c r="AX133" s="318">
        <f>IF($G133="821",$F133,0)</f>
        <v>0</v>
      </c>
      <c r="AY133" s="318">
        <f>IF($H133="821",$F133,0)</f>
        <v>0</v>
      </c>
      <c r="AZ133" s="318">
        <f>IF($G133="911",$F133,0)</f>
        <v>0</v>
      </c>
      <c r="BA133" s="318">
        <f>IF($H133="911",$F133,0)</f>
        <v>0</v>
      </c>
    </row>
    <row r="134" spans="1:53" s="315" customFormat="1" ht="16.5" customHeight="1">
      <c r="A134" s="63" t="str">
        <f t="array" ref="A134">IF(C134&lt;&gt;0,SUM(($C$11:C134&lt;&gt;0)*1),"")</f>
        <v/>
      </c>
      <c r="B134" s="316"/>
      <c r="C134" s="316"/>
      <c r="D134" s="316"/>
      <c r="E134" s="436"/>
      <c r="F134" s="372"/>
      <c r="G134" s="374"/>
      <c r="H134" s="374"/>
      <c r="I134" s="63" t="str">
        <f>A134</f>
        <v/>
      </c>
      <c r="J134" s="318">
        <f>IF($G134="1111",$F134,0)</f>
        <v>0</v>
      </c>
      <c r="K134" s="318">
        <f>IF($H134="1111",$F134,0)</f>
        <v>0</v>
      </c>
      <c r="L134" s="318">
        <f>IF($G134="1121",$F134,0)</f>
        <v>0</v>
      </c>
      <c r="M134" s="318">
        <f>IF($H134="1121",$F134,0)</f>
        <v>0</v>
      </c>
      <c r="N134" s="318">
        <f t="shared" si="83"/>
        <v>0</v>
      </c>
      <c r="O134" s="318">
        <f t="shared" si="84"/>
        <v>0</v>
      </c>
      <c r="P134" s="318">
        <f>IF($G134="1331",$F134,0)</f>
        <v>0</v>
      </c>
      <c r="Q134" s="318">
        <f>IF($H134="1331",$F134,0)</f>
        <v>0</v>
      </c>
      <c r="R134" s="318">
        <f>IF($G134="1388",$F134,0)</f>
        <v>0</v>
      </c>
      <c r="S134" s="318">
        <f>IF($H134="1388",$F134,0)</f>
        <v>0</v>
      </c>
      <c r="T134" s="318">
        <f t="shared" si="85"/>
        <v>0</v>
      </c>
      <c r="U134" s="318">
        <f t="shared" si="86"/>
        <v>0</v>
      </c>
      <c r="V134" s="318">
        <f>IF($G134="331",$F134,0)</f>
        <v>0</v>
      </c>
      <c r="W134" s="318">
        <f>IF($H134="331",$F134,0)</f>
        <v>0</v>
      </c>
      <c r="X134" s="318">
        <f>IF($G134="3334",$F134,0)</f>
        <v>0</v>
      </c>
      <c r="Y134" s="318">
        <f>IF($H134="3334",$F134,0)</f>
        <v>0</v>
      </c>
      <c r="Z134" s="318">
        <f>IF($G134="33382",$F134,0)</f>
        <v>0</v>
      </c>
      <c r="AA134" s="318">
        <f>IF($H134="33382",$F134,0)</f>
        <v>0</v>
      </c>
      <c r="AB134" s="318">
        <f>IF($G134="3388",$F134,0)</f>
        <v>0</v>
      </c>
      <c r="AC134" s="318">
        <f>IF($H134="3388",$F134,0)</f>
        <v>0</v>
      </c>
      <c r="AD134" s="318">
        <f>IF($G134="3411",$F134,0)</f>
        <v>0</v>
      </c>
      <c r="AE134" s="318">
        <f>IF($H134="3411",$F134,0)</f>
        <v>0</v>
      </c>
      <c r="AF134" s="318">
        <f t="shared" si="87"/>
        <v>0</v>
      </c>
      <c r="AG134" s="318">
        <f t="shared" si="88"/>
        <v>0</v>
      </c>
      <c r="AH134" s="318">
        <f>IF($G134="4111",$F134,0)</f>
        <v>0</v>
      </c>
      <c r="AI134" s="318">
        <f>IF($H134="4111",$F134,0)</f>
        <v>0</v>
      </c>
      <c r="AJ134" s="318">
        <f>IF($G134="4211",$F134,0)</f>
        <v>0</v>
      </c>
      <c r="AK134" s="318">
        <f>IF($H134="4211",$F134,0)</f>
        <v>0</v>
      </c>
      <c r="AL134" s="318">
        <f>IF($G134="4212",$F134,0)</f>
        <v>0</v>
      </c>
      <c r="AM134" s="318">
        <f>IF($H134="4212",$F134,0)</f>
        <v>0</v>
      </c>
      <c r="AN134" s="318">
        <f>IF($G134="515",$F134,0)</f>
        <v>0</v>
      </c>
      <c r="AO134" s="318">
        <f>IF($H134="515",$F134,0)</f>
        <v>0</v>
      </c>
      <c r="AP134" s="318">
        <f>IF($G134="635",$F134,0)</f>
        <v>0</v>
      </c>
      <c r="AQ134" s="318">
        <f>IF($H134="635",$F134,0)</f>
        <v>0</v>
      </c>
      <c r="AR134" s="318">
        <f>IF($G134="642",$F134,0)</f>
        <v>0</v>
      </c>
      <c r="AS134" s="318">
        <f>IF($H134="642",$F134,0)</f>
        <v>0</v>
      </c>
      <c r="AT134" s="318">
        <f>IF($G134="711",$F134,0)</f>
        <v>0</v>
      </c>
      <c r="AU134" s="318">
        <f>IF($H134="711",$F134,0)</f>
        <v>0</v>
      </c>
      <c r="AV134" s="318">
        <f>IF($G134="811",$F134,0)</f>
        <v>0</v>
      </c>
      <c r="AW134" s="318">
        <f>IF($H134="811",$F134,0)</f>
        <v>0</v>
      </c>
      <c r="AX134" s="318">
        <f>IF($G134="821",$F134,0)</f>
        <v>0</v>
      </c>
      <c r="AY134" s="318">
        <f>IF($H134="821",$F134,0)</f>
        <v>0</v>
      </c>
      <c r="AZ134" s="318">
        <f>IF($G134="911",$F134,0)</f>
        <v>0</v>
      </c>
      <c r="BA134" s="318">
        <f>IF($H134="911",$F134,0)</f>
        <v>0</v>
      </c>
    </row>
    <row r="135" spans="1:53" s="315" customFormat="1" ht="16.5" customHeight="1">
      <c r="A135" s="63" t="str">
        <f t="array" ref="A135">IF(C135&lt;&gt;0,SUM(($C$11:C135&lt;&gt;0)*1),"")</f>
        <v/>
      </c>
      <c r="B135" s="316"/>
      <c r="C135" s="316"/>
      <c r="D135" s="316"/>
      <c r="E135" s="436"/>
      <c r="F135" s="372"/>
      <c r="G135" s="374"/>
      <c r="H135" s="374"/>
      <c r="I135" s="63" t="str">
        <f t="shared" ref="I135:I206" si="129">A135</f>
        <v/>
      </c>
      <c r="J135" s="318">
        <f t="shared" ref="J135:J206" si="130">IF($G135="1111",$F135,0)</f>
        <v>0</v>
      </c>
      <c r="K135" s="318">
        <f t="shared" ref="K135:K206" si="131">IF($H135="1111",$F135,0)</f>
        <v>0</v>
      </c>
      <c r="L135" s="318">
        <f t="shared" ref="L135:L207" si="132">IF($G135="1121",$F135,0)</f>
        <v>0</v>
      </c>
      <c r="M135" s="318">
        <f t="shared" ref="M135:M207" si="133">IF($H135="1121",$F135,0)</f>
        <v>0</v>
      </c>
      <c r="N135" s="318">
        <f t="shared" si="83"/>
        <v>0</v>
      </c>
      <c r="O135" s="318">
        <f t="shared" si="84"/>
        <v>0</v>
      </c>
      <c r="P135" s="318">
        <f t="shared" ref="P135:P207" si="134">IF($G135="1331",$F135,0)</f>
        <v>0</v>
      </c>
      <c r="Q135" s="318">
        <f t="shared" ref="Q135:Q207" si="135">IF($H135="1331",$F135,0)</f>
        <v>0</v>
      </c>
      <c r="R135" s="318">
        <f t="shared" ref="R135:R207" si="136">IF($G135="1388",$F135,0)</f>
        <v>0</v>
      </c>
      <c r="S135" s="318">
        <f t="shared" ref="S135:S207" si="137">IF($H135="1388",$F135,0)</f>
        <v>0</v>
      </c>
      <c r="T135" s="318">
        <f t="shared" si="85"/>
        <v>0</v>
      </c>
      <c r="U135" s="318">
        <f t="shared" si="86"/>
        <v>0</v>
      </c>
      <c r="V135" s="318">
        <f t="shared" ref="V135:V207" si="138">IF($G135="331",$F135,0)</f>
        <v>0</v>
      </c>
      <c r="W135" s="318">
        <f t="shared" ref="W135:W207" si="139">IF($H135="331",$F135,0)</f>
        <v>0</v>
      </c>
      <c r="X135" s="318">
        <f t="shared" ref="X135:X207" si="140">IF($G135="3334",$F135,0)</f>
        <v>0</v>
      </c>
      <c r="Y135" s="318">
        <f t="shared" ref="Y135:Y207" si="141">IF($H135="3334",$F135,0)</f>
        <v>0</v>
      </c>
      <c r="Z135" s="318">
        <f t="shared" ref="Z135:Z206" si="142">IF($G135="33382",$F135,0)</f>
        <v>0</v>
      </c>
      <c r="AA135" s="318">
        <f t="shared" ref="AA135:AA206" si="143">IF($H135="33382",$F135,0)</f>
        <v>0</v>
      </c>
      <c r="AB135" s="318">
        <f t="shared" ref="AB135:AB207" si="144">IF($G135="3388",$F135,0)</f>
        <v>0</v>
      </c>
      <c r="AC135" s="318">
        <f t="shared" ref="AC135:AC207" si="145">IF($H135="3388",$F135,0)</f>
        <v>0</v>
      </c>
      <c r="AD135" s="318">
        <f t="shared" ref="AD135:AD206" si="146">IF($G135="3411",$F135,0)</f>
        <v>0</v>
      </c>
      <c r="AE135" s="318">
        <f t="shared" ref="AE135:AE206" si="147">IF($H135="3411",$F135,0)</f>
        <v>0</v>
      </c>
      <c r="AF135" s="318">
        <f t="shared" si="87"/>
        <v>0</v>
      </c>
      <c r="AG135" s="318">
        <f t="shared" si="88"/>
        <v>0</v>
      </c>
      <c r="AH135" s="318">
        <f t="shared" ref="AH135:AH207" si="148">IF($G135="4111",$F135,0)</f>
        <v>0</v>
      </c>
      <c r="AI135" s="318">
        <f t="shared" ref="AI135:AI207" si="149">IF($H135="4111",$F135,0)</f>
        <v>0</v>
      </c>
      <c r="AJ135" s="318">
        <f t="shared" ref="AJ135:AJ207" si="150">IF($G135="4211",$F135,0)</f>
        <v>0</v>
      </c>
      <c r="AK135" s="318">
        <f t="shared" ref="AK135:AK207" si="151">IF($H135="4211",$F135,0)</f>
        <v>0</v>
      </c>
      <c r="AL135" s="318">
        <f t="shared" ref="AL135:AL207" si="152">IF($G135="4212",$F135,0)</f>
        <v>0</v>
      </c>
      <c r="AM135" s="318">
        <f t="shared" ref="AM135:AM207" si="153">IF($H135="4212",$F135,0)</f>
        <v>0</v>
      </c>
      <c r="AN135" s="318">
        <f t="shared" ref="AN135:AN207" si="154">IF($G135="515",$F135,0)</f>
        <v>0</v>
      </c>
      <c r="AO135" s="318">
        <f t="shared" ref="AO135:AO207" si="155">IF($H135="515",$F135,0)</f>
        <v>0</v>
      </c>
      <c r="AP135" s="318">
        <f t="shared" ref="AP135:AP207" si="156">IF($G135="635",$F135,0)</f>
        <v>0</v>
      </c>
      <c r="AQ135" s="318">
        <f t="shared" ref="AQ135:AQ207" si="157">IF($H135="635",$F135,0)</f>
        <v>0</v>
      </c>
      <c r="AR135" s="318">
        <f t="shared" ref="AR135:AR206" si="158">IF($G135="642",$F135,0)</f>
        <v>0</v>
      </c>
      <c r="AS135" s="318">
        <f t="shared" ref="AS135:AS206" si="159">IF($H135="642",$F135,0)</f>
        <v>0</v>
      </c>
      <c r="AT135" s="318">
        <f t="shared" ref="AT135:AT207" si="160">IF($G135="711",$F135,0)</f>
        <v>0</v>
      </c>
      <c r="AU135" s="318">
        <f t="shared" ref="AU135:AU207" si="161">IF($H135="711",$F135,0)</f>
        <v>0</v>
      </c>
      <c r="AV135" s="318">
        <f t="shared" ref="AV135:AV207" si="162">IF($G135="811",$F135,0)</f>
        <v>0</v>
      </c>
      <c r="AW135" s="318">
        <f t="shared" ref="AW135:AW207" si="163">IF($H135="811",$F135,0)</f>
        <v>0</v>
      </c>
      <c r="AX135" s="318">
        <f t="shared" ref="AX135:AX206" si="164">IF($G135="821",$F135,0)</f>
        <v>0</v>
      </c>
      <c r="AY135" s="318">
        <f t="shared" ref="AY135:AY206" si="165">IF($H135="821",$F135,0)</f>
        <v>0</v>
      </c>
      <c r="AZ135" s="318">
        <f t="shared" ref="AZ135:AZ206" si="166">IF($G135="911",$F135,0)</f>
        <v>0</v>
      </c>
      <c r="BA135" s="318">
        <f t="shared" ref="BA135:BA206" si="167">IF($H135="911",$F135,0)</f>
        <v>0</v>
      </c>
    </row>
    <row r="136" spans="1:53" s="315" customFormat="1" ht="16.5" customHeight="1">
      <c r="A136" s="63" t="str">
        <f t="array" ref="A136">IF(C136&lt;&gt;0,SUM(($C$11:C136&lt;&gt;0)*1),"")</f>
        <v/>
      </c>
      <c r="B136" s="316"/>
      <c r="C136" s="316"/>
      <c r="D136" s="316"/>
      <c r="E136" s="436"/>
      <c r="F136" s="372"/>
      <c r="G136" s="374"/>
      <c r="H136" s="374"/>
      <c r="I136" s="63" t="str">
        <f t="shared" si="129"/>
        <v/>
      </c>
      <c r="J136" s="318">
        <f t="shared" si="130"/>
        <v>0</v>
      </c>
      <c r="K136" s="318">
        <f t="shared" si="131"/>
        <v>0</v>
      </c>
      <c r="L136" s="318">
        <f t="shared" si="132"/>
        <v>0</v>
      </c>
      <c r="M136" s="318">
        <f t="shared" si="133"/>
        <v>0</v>
      </c>
      <c r="N136" s="318">
        <f t="shared" si="83"/>
        <v>0</v>
      </c>
      <c r="O136" s="318">
        <f t="shared" si="84"/>
        <v>0</v>
      </c>
      <c r="P136" s="318">
        <f t="shared" si="134"/>
        <v>0</v>
      </c>
      <c r="Q136" s="318">
        <f t="shared" si="135"/>
        <v>0</v>
      </c>
      <c r="R136" s="318">
        <f t="shared" si="136"/>
        <v>0</v>
      </c>
      <c r="S136" s="318">
        <f t="shared" si="137"/>
        <v>0</v>
      </c>
      <c r="T136" s="318">
        <f t="shared" si="85"/>
        <v>0</v>
      </c>
      <c r="U136" s="318">
        <f t="shared" si="86"/>
        <v>0</v>
      </c>
      <c r="V136" s="318">
        <f t="shared" si="138"/>
        <v>0</v>
      </c>
      <c r="W136" s="318">
        <f t="shared" si="139"/>
        <v>0</v>
      </c>
      <c r="X136" s="318">
        <f t="shared" si="140"/>
        <v>0</v>
      </c>
      <c r="Y136" s="318">
        <f t="shared" si="141"/>
        <v>0</v>
      </c>
      <c r="Z136" s="318">
        <f t="shared" si="142"/>
        <v>0</v>
      </c>
      <c r="AA136" s="318">
        <f t="shared" si="143"/>
        <v>0</v>
      </c>
      <c r="AB136" s="318">
        <f t="shared" si="144"/>
        <v>0</v>
      </c>
      <c r="AC136" s="318">
        <f t="shared" si="145"/>
        <v>0</v>
      </c>
      <c r="AD136" s="318">
        <f t="shared" si="146"/>
        <v>0</v>
      </c>
      <c r="AE136" s="318">
        <f t="shared" si="147"/>
        <v>0</v>
      </c>
      <c r="AF136" s="318">
        <f t="shared" si="87"/>
        <v>0</v>
      </c>
      <c r="AG136" s="318">
        <f t="shared" si="88"/>
        <v>0</v>
      </c>
      <c r="AH136" s="318">
        <f t="shared" si="148"/>
        <v>0</v>
      </c>
      <c r="AI136" s="318">
        <f t="shared" si="149"/>
        <v>0</v>
      </c>
      <c r="AJ136" s="318">
        <f t="shared" si="150"/>
        <v>0</v>
      </c>
      <c r="AK136" s="318">
        <f t="shared" si="151"/>
        <v>0</v>
      </c>
      <c r="AL136" s="318">
        <f t="shared" si="152"/>
        <v>0</v>
      </c>
      <c r="AM136" s="318">
        <f t="shared" si="153"/>
        <v>0</v>
      </c>
      <c r="AN136" s="318">
        <f t="shared" si="154"/>
        <v>0</v>
      </c>
      <c r="AO136" s="318">
        <f t="shared" si="155"/>
        <v>0</v>
      </c>
      <c r="AP136" s="318">
        <f t="shared" si="156"/>
        <v>0</v>
      </c>
      <c r="AQ136" s="318">
        <f t="shared" si="157"/>
        <v>0</v>
      </c>
      <c r="AR136" s="318">
        <f t="shared" si="158"/>
        <v>0</v>
      </c>
      <c r="AS136" s="318">
        <f t="shared" si="159"/>
        <v>0</v>
      </c>
      <c r="AT136" s="318">
        <f t="shared" si="160"/>
        <v>0</v>
      </c>
      <c r="AU136" s="318">
        <f t="shared" si="161"/>
        <v>0</v>
      </c>
      <c r="AV136" s="318">
        <f t="shared" si="162"/>
        <v>0</v>
      </c>
      <c r="AW136" s="318">
        <f t="shared" si="163"/>
        <v>0</v>
      </c>
      <c r="AX136" s="318">
        <f t="shared" si="164"/>
        <v>0</v>
      </c>
      <c r="AY136" s="318">
        <f t="shared" si="165"/>
        <v>0</v>
      </c>
      <c r="AZ136" s="318">
        <f t="shared" si="166"/>
        <v>0</v>
      </c>
      <c r="BA136" s="318">
        <f t="shared" si="167"/>
        <v>0</v>
      </c>
    </row>
    <row r="137" spans="1:53" s="315" customFormat="1" ht="16.5" customHeight="1">
      <c r="A137" s="63" t="str">
        <f t="array" ref="A137">IF(C137&lt;&gt;0,SUM(($C$11:C137&lt;&gt;0)*1),"")</f>
        <v/>
      </c>
      <c r="B137" s="316"/>
      <c r="C137" s="316"/>
      <c r="D137" s="316"/>
      <c r="E137" s="436"/>
      <c r="F137" s="372"/>
      <c r="G137" s="374"/>
      <c r="H137" s="374"/>
      <c r="I137" s="63" t="str">
        <f t="shared" si="129"/>
        <v/>
      </c>
      <c r="J137" s="318">
        <f t="shared" si="130"/>
        <v>0</v>
      </c>
      <c r="K137" s="318">
        <f t="shared" si="131"/>
        <v>0</v>
      </c>
      <c r="L137" s="318">
        <f t="shared" si="132"/>
        <v>0</v>
      </c>
      <c r="M137" s="318">
        <f t="shared" si="133"/>
        <v>0</v>
      </c>
      <c r="N137" s="318">
        <f t="shared" si="83"/>
        <v>0</v>
      </c>
      <c r="O137" s="318">
        <f t="shared" si="84"/>
        <v>0</v>
      </c>
      <c r="P137" s="318">
        <f t="shared" si="134"/>
        <v>0</v>
      </c>
      <c r="Q137" s="318">
        <f t="shared" si="135"/>
        <v>0</v>
      </c>
      <c r="R137" s="318">
        <f t="shared" si="136"/>
        <v>0</v>
      </c>
      <c r="S137" s="318">
        <f t="shared" si="137"/>
        <v>0</v>
      </c>
      <c r="T137" s="318">
        <f t="shared" si="85"/>
        <v>0</v>
      </c>
      <c r="U137" s="318">
        <f t="shared" si="86"/>
        <v>0</v>
      </c>
      <c r="V137" s="318">
        <f t="shared" si="138"/>
        <v>0</v>
      </c>
      <c r="W137" s="318">
        <f t="shared" si="139"/>
        <v>0</v>
      </c>
      <c r="X137" s="318">
        <f t="shared" si="140"/>
        <v>0</v>
      </c>
      <c r="Y137" s="318">
        <f t="shared" si="141"/>
        <v>0</v>
      </c>
      <c r="Z137" s="318">
        <f t="shared" si="142"/>
        <v>0</v>
      </c>
      <c r="AA137" s="318">
        <f t="shared" si="143"/>
        <v>0</v>
      </c>
      <c r="AB137" s="318">
        <f t="shared" si="144"/>
        <v>0</v>
      </c>
      <c r="AC137" s="318">
        <f t="shared" si="145"/>
        <v>0</v>
      </c>
      <c r="AD137" s="318">
        <f t="shared" si="146"/>
        <v>0</v>
      </c>
      <c r="AE137" s="318">
        <f t="shared" si="147"/>
        <v>0</v>
      </c>
      <c r="AF137" s="318">
        <f t="shared" si="87"/>
        <v>0</v>
      </c>
      <c r="AG137" s="318">
        <f t="shared" si="88"/>
        <v>0</v>
      </c>
      <c r="AH137" s="318">
        <f t="shared" si="148"/>
        <v>0</v>
      </c>
      <c r="AI137" s="318">
        <f t="shared" si="149"/>
        <v>0</v>
      </c>
      <c r="AJ137" s="318">
        <f t="shared" si="150"/>
        <v>0</v>
      </c>
      <c r="AK137" s="318">
        <f t="shared" si="151"/>
        <v>0</v>
      </c>
      <c r="AL137" s="318">
        <f t="shared" si="152"/>
        <v>0</v>
      </c>
      <c r="AM137" s="318">
        <f t="shared" si="153"/>
        <v>0</v>
      </c>
      <c r="AN137" s="318">
        <f t="shared" si="154"/>
        <v>0</v>
      </c>
      <c r="AO137" s="318">
        <f t="shared" si="155"/>
        <v>0</v>
      </c>
      <c r="AP137" s="318">
        <f t="shared" si="156"/>
        <v>0</v>
      </c>
      <c r="AQ137" s="318">
        <f t="shared" si="157"/>
        <v>0</v>
      </c>
      <c r="AR137" s="318">
        <f t="shared" si="158"/>
        <v>0</v>
      </c>
      <c r="AS137" s="318">
        <f t="shared" si="159"/>
        <v>0</v>
      </c>
      <c r="AT137" s="318">
        <f t="shared" si="160"/>
        <v>0</v>
      </c>
      <c r="AU137" s="318">
        <f t="shared" si="161"/>
        <v>0</v>
      </c>
      <c r="AV137" s="318">
        <f t="shared" si="162"/>
        <v>0</v>
      </c>
      <c r="AW137" s="318">
        <f t="shared" si="163"/>
        <v>0</v>
      </c>
      <c r="AX137" s="318">
        <f t="shared" si="164"/>
        <v>0</v>
      </c>
      <c r="AY137" s="318">
        <f t="shared" si="165"/>
        <v>0</v>
      </c>
      <c r="AZ137" s="318">
        <f t="shared" si="166"/>
        <v>0</v>
      </c>
      <c r="BA137" s="318">
        <f t="shared" si="167"/>
        <v>0</v>
      </c>
    </row>
    <row r="138" spans="1:53" s="315" customFormat="1" ht="16.5" customHeight="1">
      <c r="A138" s="63" t="str">
        <f t="array" ref="A138">IF(C138&lt;&gt;0,SUM(($C$11:C138&lt;&gt;0)*1),"")</f>
        <v/>
      </c>
      <c r="B138" s="316"/>
      <c r="C138" s="316"/>
      <c r="D138" s="316"/>
      <c r="E138" s="436"/>
      <c r="F138" s="372"/>
      <c r="G138" s="374"/>
      <c r="H138" s="374"/>
      <c r="I138" s="63" t="str">
        <f t="shared" si="129"/>
        <v/>
      </c>
      <c r="J138" s="318">
        <f t="shared" si="130"/>
        <v>0</v>
      </c>
      <c r="K138" s="318">
        <f t="shared" si="131"/>
        <v>0</v>
      </c>
      <c r="L138" s="318">
        <f t="shared" si="132"/>
        <v>0</v>
      </c>
      <c r="M138" s="318">
        <f t="shared" si="133"/>
        <v>0</v>
      </c>
      <c r="N138" s="318">
        <f t="shared" si="83"/>
        <v>0</v>
      </c>
      <c r="O138" s="318">
        <f t="shared" si="84"/>
        <v>0</v>
      </c>
      <c r="P138" s="318">
        <f t="shared" si="134"/>
        <v>0</v>
      </c>
      <c r="Q138" s="318">
        <f t="shared" si="135"/>
        <v>0</v>
      </c>
      <c r="R138" s="318">
        <f t="shared" si="136"/>
        <v>0</v>
      </c>
      <c r="S138" s="318">
        <f t="shared" si="137"/>
        <v>0</v>
      </c>
      <c r="T138" s="318">
        <f t="shared" si="85"/>
        <v>0</v>
      </c>
      <c r="U138" s="318">
        <f t="shared" si="86"/>
        <v>0</v>
      </c>
      <c r="V138" s="318">
        <f t="shared" si="138"/>
        <v>0</v>
      </c>
      <c r="W138" s="318">
        <f t="shared" si="139"/>
        <v>0</v>
      </c>
      <c r="X138" s="318">
        <f t="shared" si="140"/>
        <v>0</v>
      </c>
      <c r="Y138" s="318">
        <f t="shared" si="141"/>
        <v>0</v>
      </c>
      <c r="Z138" s="318">
        <f t="shared" si="142"/>
        <v>0</v>
      </c>
      <c r="AA138" s="318">
        <f t="shared" si="143"/>
        <v>0</v>
      </c>
      <c r="AB138" s="318">
        <f t="shared" si="144"/>
        <v>0</v>
      </c>
      <c r="AC138" s="318">
        <f t="shared" si="145"/>
        <v>0</v>
      </c>
      <c r="AD138" s="318">
        <f t="shared" si="146"/>
        <v>0</v>
      </c>
      <c r="AE138" s="318">
        <f t="shared" si="147"/>
        <v>0</v>
      </c>
      <c r="AF138" s="318">
        <f t="shared" si="87"/>
        <v>0</v>
      </c>
      <c r="AG138" s="318">
        <f t="shared" si="88"/>
        <v>0</v>
      </c>
      <c r="AH138" s="318">
        <f t="shared" si="148"/>
        <v>0</v>
      </c>
      <c r="AI138" s="318">
        <f t="shared" si="149"/>
        <v>0</v>
      </c>
      <c r="AJ138" s="318">
        <f t="shared" si="150"/>
        <v>0</v>
      </c>
      <c r="AK138" s="318">
        <f t="shared" si="151"/>
        <v>0</v>
      </c>
      <c r="AL138" s="318">
        <f t="shared" si="152"/>
        <v>0</v>
      </c>
      <c r="AM138" s="318">
        <f t="shared" si="153"/>
        <v>0</v>
      </c>
      <c r="AN138" s="318">
        <f t="shared" si="154"/>
        <v>0</v>
      </c>
      <c r="AO138" s="318">
        <f t="shared" si="155"/>
        <v>0</v>
      </c>
      <c r="AP138" s="318">
        <f t="shared" si="156"/>
        <v>0</v>
      </c>
      <c r="AQ138" s="318">
        <f t="shared" si="157"/>
        <v>0</v>
      </c>
      <c r="AR138" s="318">
        <f t="shared" si="158"/>
        <v>0</v>
      </c>
      <c r="AS138" s="318">
        <f t="shared" si="159"/>
        <v>0</v>
      </c>
      <c r="AT138" s="318">
        <f t="shared" si="160"/>
        <v>0</v>
      </c>
      <c r="AU138" s="318">
        <f t="shared" si="161"/>
        <v>0</v>
      </c>
      <c r="AV138" s="318">
        <f t="shared" si="162"/>
        <v>0</v>
      </c>
      <c r="AW138" s="318">
        <f t="shared" si="163"/>
        <v>0</v>
      </c>
      <c r="AX138" s="318">
        <f t="shared" si="164"/>
        <v>0</v>
      </c>
      <c r="AY138" s="318">
        <f t="shared" si="165"/>
        <v>0</v>
      </c>
      <c r="AZ138" s="318">
        <f t="shared" si="166"/>
        <v>0</v>
      </c>
      <c r="BA138" s="318">
        <f t="shared" si="167"/>
        <v>0</v>
      </c>
    </row>
    <row r="139" spans="1:53" s="315" customFormat="1" ht="16.5" customHeight="1">
      <c r="A139" s="63" t="str">
        <f t="array" ref="A139">IF(C139&lt;&gt;0,SUM(($C$11:C139&lt;&gt;0)*1),"")</f>
        <v/>
      </c>
      <c r="B139" s="316"/>
      <c r="C139" s="316"/>
      <c r="D139" s="316"/>
      <c r="E139" s="436"/>
      <c r="F139" s="372"/>
      <c r="G139" s="374"/>
      <c r="H139" s="374"/>
      <c r="I139" s="63" t="str">
        <f t="shared" si="129"/>
        <v/>
      </c>
      <c r="J139" s="318">
        <f t="shared" si="130"/>
        <v>0</v>
      </c>
      <c r="K139" s="318">
        <f t="shared" si="131"/>
        <v>0</v>
      </c>
      <c r="L139" s="318">
        <f t="shared" si="132"/>
        <v>0</v>
      </c>
      <c r="M139" s="318">
        <f t="shared" si="133"/>
        <v>0</v>
      </c>
      <c r="N139" s="318">
        <f t="shared" si="83"/>
        <v>0</v>
      </c>
      <c r="O139" s="318">
        <f t="shared" si="84"/>
        <v>0</v>
      </c>
      <c r="P139" s="318">
        <f t="shared" si="134"/>
        <v>0</v>
      </c>
      <c r="Q139" s="318">
        <f t="shared" si="135"/>
        <v>0</v>
      </c>
      <c r="R139" s="318">
        <f t="shared" si="136"/>
        <v>0</v>
      </c>
      <c r="S139" s="318">
        <f t="shared" si="137"/>
        <v>0</v>
      </c>
      <c r="T139" s="318">
        <f t="shared" si="85"/>
        <v>0</v>
      </c>
      <c r="U139" s="318">
        <f t="shared" si="86"/>
        <v>0</v>
      </c>
      <c r="V139" s="318">
        <f t="shared" si="138"/>
        <v>0</v>
      </c>
      <c r="W139" s="318">
        <f t="shared" si="139"/>
        <v>0</v>
      </c>
      <c r="X139" s="318">
        <f t="shared" si="140"/>
        <v>0</v>
      </c>
      <c r="Y139" s="318">
        <f t="shared" si="141"/>
        <v>0</v>
      </c>
      <c r="Z139" s="318">
        <f t="shared" si="142"/>
        <v>0</v>
      </c>
      <c r="AA139" s="318">
        <f t="shared" si="143"/>
        <v>0</v>
      </c>
      <c r="AB139" s="318">
        <f t="shared" si="144"/>
        <v>0</v>
      </c>
      <c r="AC139" s="318">
        <f t="shared" si="145"/>
        <v>0</v>
      </c>
      <c r="AD139" s="318">
        <f t="shared" si="146"/>
        <v>0</v>
      </c>
      <c r="AE139" s="318">
        <f t="shared" si="147"/>
        <v>0</v>
      </c>
      <c r="AF139" s="318">
        <f t="shared" si="87"/>
        <v>0</v>
      </c>
      <c r="AG139" s="318">
        <f t="shared" si="88"/>
        <v>0</v>
      </c>
      <c r="AH139" s="318">
        <f t="shared" si="148"/>
        <v>0</v>
      </c>
      <c r="AI139" s="318">
        <f t="shared" si="149"/>
        <v>0</v>
      </c>
      <c r="AJ139" s="318">
        <f t="shared" si="150"/>
        <v>0</v>
      </c>
      <c r="AK139" s="318">
        <f t="shared" si="151"/>
        <v>0</v>
      </c>
      <c r="AL139" s="318">
        <f t="shared" si="152"/>
        <v>0</v>
      </c>
      <c r="AM139" s="318">
        <f t="shared" si="153"/>
        <v>0</v>
      </c>
      <c r="AN139" s="318">
        <f t="shared" si="154"/>
        <v>0</v>
      </c>
      <c r="AO139" s="318">
        <f t="shared" si="155"/>
        <v>0</v>
      </c>
      <c r="AP139" s="318">
        <f t="shared" si="156"/>
        <v>0</v>
      </c>
      <c r="AQ139" s="318">
        <f t="shared" si="157"/>
        <v>0</v>
      </c>
      <c r="AR139" s="318">
        <f t="shared" si="158"/>
        <v>0</v>
      </c>
      <c r="AS139" s="318">
        <f t="shared" si="159"/>
        <v>0</v>
      </c>
      <c r="AT139" s="318">
        <f t="shared" si="160"/>
        <v>0</v>
      </c>
      <c r="AU139" s="318">
        <f t="shared" si="161"/>
        <v>0</v>
      </c>
      <c r="AV139" s="318">
        <f t="shared" si="162"/>
        <v>0</v>
      </c>
      <c r="AW139" s="318">
        <f t="shared" si="163"/>
        <v>0</v>
      </c>
      <c r="AX139" s="318">
        <f t="shared" si="164"/>
        <v>0</v>
      </c>
      <c r="AY139" s="318">
        <f t="shared" si="165"/>
        <v>0</v>
      </c>
      <c r="AZ139" s="318">
        <f t="shared" si="166"/>
        <v>0</v>
      </c>
      <c r="BA139" s="318">
        <f t="shared" si="167"/>
        <v>0</v>
      </c>
    </row>
    <row r="140" spans="1:53" s="315" customFormat="1" ht="16.5" customHeight="1">
      <c r="A140" s="63" t="str">
        <f t="array" ref="A140">IF(C140&lt;&gt;0,SUM(($C$11:C140&lt;&gt;0)*1),"")</f>
        <v/>
      </c>
      <c r="B140" s="316"/>
      <c r="C140" s="316"/>
      <c r="D140" s="316"/>
      <c r="E140" s="436"/>
      <c r="F140" s="372"/>
      <c r="G140" s="374"/>
      <c r="H140" s="374"/>
      <c r="I140" s="63" t="str">
        <f t="shared" si="129"/>
        <v/>
      </c>
      <c r="J140" s="318">
        <f t="shared" si="130"/>
        <v>0</v>
      </c>
      <c r="K140" s="318">
        <f t="shared" si="131"/>
        <v>0</v>
      </c>
      <c r="L140" s="318">
        <f t="shared" si="132"/>
        <v>0</v>
      </c>
      <c r="M140" s="318">
        <f t="shared" si="133"/>
        <v>0</v>
      </c>
      <c r="N140" s="318">
        <f t="shared" ref="N140:N203" si="168">IF($G140="1122",$F140,0)</f>
        <v>0</v>
      </c>
      <c r="O140" s="318">
        <f t="shared" ref="O140:O203" si="169">IF($H140="1122",$F140,0)</f>
        <v>0</v>
      </c>
      <c r="P140" s="318">
        <f t="shared" si="134"/>
        <v>0</v>
      </c>
      <c r="Q140" s="318">
        <f t="shared" si="135"/>
        <v>0</v>
      </c>
      <c r="R140" s="318">
        <f t="shared" si="136"/>
        <v>0</v>
      </c>
      <c r="S140" s="318">
        <f t="shared" si="137"/>
        <v>0</v>
      </c>
      <c r="T140" s="318">
        <f t="shared" ref="T140:T203" si="170">IF($G140="2412",$F140,0)</f>
        <v>0</v>
      </c>
      <c r="U140" s="318">
        <f t="shared" ref="U140:U203" si="171">IF($H140="2412",$F140,0)</f>
        <v>0</v>
      </c>
      <c r="V140" s="318">
        <f t="shared" si="138"/>
        <v>0</v>
      </c>
      <c r="W140" s="318">
        <f t="shared" si="139"/>
        <v>0</v>
      </c>
      <c r="X140" s="318">
        <f t="shared" si="140"/>
        <v>0</v>
      </c>
      <c r="Y140" s="318">
        <f t="shared" si="141"/>
        <v>0</v>
      </c>
      <c r="Z140" s="318">
        <f t="shared" si="142"/>
        <v>0</v>
      </c>
      <c r="AA140" s="318">
        <f t="shared" si="143"/>
        <v>0</v>
      </c>
      <c r="AB140" s="318">
        <f t="shared" si="144"/>
        <v>0</v>
      </c>
      <c r="AC140" s="318">
        <f t="shared" si="145"/>
        <v>0</v>
      </c>
      <c r="AD140" s="318">
        <f t="shared" si="146"/>
        <v>0</v>
      </c>
      <c r="AE140" s="318">
        <f t="shared" si="147"/>
        <v>0</v>
      </c>
      <c r="AF140" s="318">
        <f t="shared" ref="AF140:AF203" si="172">IF($G140="3412",$F140,0)</f>
        <v>0</v>
      </c>
      <c r="AG140" s="318">
        <f t="shared" ref="AG140:AG203" si="173">IF($H140="3412",$F140,0)</f>
        <v>0</v>
      </c>
      <c r="AH140" s="318">
        <f t="shared" si="148"/>
        <v>0</v>
      </c>
      <c r="AI140" s="318">
        <f t="shared" si="149"/>
        <v>0</v>
      </c>
      <c r="AJ140" s="318">
        <f t="shared" si="150"/>
        <v>0</v>
      </c>
      <c r="AK140" s="318">
        <f t="shared" si="151"/>
        <v>0</v>
      </c>
      <c r="AL140" s="318">
        <f t="shared" si="152"/>
        <v>0</v>
      </c>
      <c r="AM140" s="318">
        <f t="shared" si="153"/>
        <v>0</v>
      </c>
      <c r="AN140" s="318">
        <f t="shared" si="154"/>
        <v>0</v>
      </c>
      <c r="AO140" s="318">
        <f t="shared" si="155"/>
        <v>0</v>
      </c>
      <c r="AP140" s="318">
        <f t="shared" si="156"/>
        <v>0</v>
      </c>
      <c r="AQ140" s="318">
        <f t="shared" si="157"/>
        <v>0</v>
      </c>
      <c r="AR140" s="318">
        <f t="shared" si="158"/>
        <v>0</v>
      </c>
      <c r="AS140" s="318">
        <f t="shared" si="159"/>
        <v>0</v>
      </c>
      <c r="AT140" s="318">
        <f t="shared" si="160"/>
        <v>0</v>
      </c>
      <c r="AU140" s="318">
        <f t="shared" si="161"/>
        <v>0</v>
      </c>
      <c r="AV140" s="318">
        <f t="shared" si="162"/>
        <v>0</v>
      </c>
      <c r="AW140" s="318">
        <f t="shared" si="163"/>
        <v>0</v>
      </c>
      <c r="AX140" s="318">
        <f t="shared" si="164"/>
        <v>0</v>
      </c>
      <c r="AY140" s="318">
        <f t="shared" si="165"/>
        <v>0</v>
      </c>
      <c r="AZ140" s="318">
        <f t="shared" si="166"/>
        <v>0</v>
      </c>
      <c r="BA140" s="318">
        <f t="shared" si="167"/>
        <v>0</v>
      </c>
    </row>
    <row r="141" spans="1:53" s="315" customFormat="1" ht="16.5" customHeight="1">
      <c r="A141" s="63" t="str">
        <f t="array" ref="A141">IF(C141&lt;&gt;0,SUM(($C$11:C141&lt;&gt;0)*1),"")</f>
        <v/>
      </c>
      <c r="B141" s="316"/>
      <c r="C141" s="316"/>
      <c r="D141" s="316"/>
      <c r="E141" s="436"/>
      <c r="F141" s="372"/>
      <c r="G141" s="374"/>
      <c r="H141" s="374"/>
      <c r="I141" s="63" t="str">
        <f t="shared" si="129"/>
        <v/>
      </c>
      <c r="J141" s="318">
        <f t="shared" si="130"/>
        <v>0</v>
      </c>
      <c r="K141" s="318">
        <f t="shared" si="131"/>
        <v>0</v>
      </c>
      <c r="L141" s="318">
        <f t="shared" si="132"/>
        <v>0</v>
      </c>
      <c r="M141" s="318">
        <f t="shared" si="133"/>
        <v>0</v>
      </c>
      <c r="N141" s="318">
        <f t="shared" si="168"/>
        <v>0</v>
      </c>
      <c r="O141" s="318">
        <f t="shared" si="169"/>
        <v>0</v>
      </c>
      <c r="P141" s="318">
        <f t="shared" si="134"/>
        <v>0</v>
      </c>
      <c r="Q141" s="318">
        <f t="shared" si="135"/>
        <v>0</v>
      </c>
      <c r="R141" s="318">
        <f t="shared" si="136"/>
        <v>0</v>
      </c>
      <c r="S141" s="318">
        <f t="shared" si="137"/>
        <v>0</v>
      </c>
      <c r="T141" s="318">
        <f t="shared" si="170"/>
        <v>0</v>
      </c>
      <c r="U141" s="318">
        <f t="shared" si="171"/>
        <v>0</v>
      </c>
      <c r="V141" s="318">
        <f t="shared" si="138"/>
        <v>0</v>
      </c>
      <c r="W141" s="318">
        <f t="shared" si="139"/>
        <v>0</v>
      </c>
      <c r="X141" s="318">
        <f t="shared" si="140"/>
        <v>0</v>
      </c>
      <c r="Y141" s="318">
        <f t="shared" si="141"/>
        <v>0</v>
      </c>
      <c r="Z141" s="318">
        <f t="shared" si="142"/>
        <v>0</v>
      </c>
      <c r="AA141" s="318">
        <f t="shared" si="143"/>
        <v>0</v>
      </c>
      <c r="AB141" s="318">
        <f t="shared" si="144"/>
        <v>0</v>
      </c>
      <c r="AC141" s="318">
        <f t="shared" si="145"/>
        <v>0</v>
      </c>
      <c r="AD141" s="318">
        <f t="shared" si="146"/>
        <v>0</v>
      </c>
      <c r="AE141" s="318">
        <f t="shared" si="147"/>
        <v>0</v>
      </c>
      <c r="AF141" s="318">
        <f t="shared" si="172"/>
        <v>0</v>
      </c>
      <c r="AG141" s="318">
        <f t="shared" si="173"/>
        <v>0</v>
      </c>
      <c r="AH141" s="318">
        <f t="shared" si="148"/>
        <v>0</v>
      </c>
      <c r="AI141" s="318">
        <f t="shared" si="149"/>
        <v>0</v>
      </c>
      <c r="AJ141" s="318">
        <f t="shared" si="150"/>
        <v>0</v>
      </c>
      <c r="AK141" s="318">
        <f t="shared" si="151"/>
        <v>0</v>
      </c>
      <c r="AL141" s="318">
        <f t="shared" si="152"/>
        <v>0</v>
      </c>
      <c r="AM141" s="318">
        <f t="shared" si="153"/>
        <v>0</v>
      </c>
      <c r="AN141" s="318">
        <f t="shared" si="154"/>
        <v>0</v>
      </c>
      <c r="AO141" s="318">
        <f t="shared" si="155"/>
        <v>0</v>
      </c>
      <c r="AP141" s="318">
        <f t="shared" si="156"/>
        <v>0</v>
      </c>
      <c r="AQ141" s="318">
        <f t="shared" si="157"/>
        <v>0</v>
      </c>
      <c r="AR141" s="318">
        <f t="shared" si="158"/>
        <v>0</v>
      </c>
      <c r="AS141" s="318">
        <f t="shared" si="159"/>
        <v>0</v>
      </c>
      <c r="AT141" s="318">
        <f t="shared" si="160"/>
        <v>0</v>
      </c>
      <c r="AU141" s="318">
        <f t="shared" si="161"/>
        <v>0</v>
      </c>
      <c r="AV141" s="318">
        <f t="shared" si="162"/>
        <v>0</v>
      </c>
      <c r="AW141" s="318">
        <f t="shared" si="163"/>
        <v>0</v>
      </c>
      <c r="AX141" s="318">
        <f t="shared" si="164"/>
        <v>0</v>
      </c>
      <c r="AY141" s="318">
        <f t="shared" si="165"/>
        <v>0</v>
      </c>
      <c r="AZ141" s="318">
        <f t="shared" si="166"/>
        <v>0</v>
      </c>
      <c r="BA141" s="318">
        <f t="shared" si="167"/>
        <v>0</v>
      </c>
    </row>
    <row r="142" spans="1:53" s="315" customFormat="1" ht="16.5" customHeight="1">
      <c r="A142" s="63" t="str">
        <f t="array" ref="A142">IF(C142&lt;&gt;0,SUM(($C$11:C142&lt;&gt;0)*1),"")</f>
        <v/>
      </c>
      <c r="B142" s="316"/>
      <c r="C142" s="316"/>
      <c r="D142" s="316"/>
      <c r="E142" s="436"/>
      <c r="F142" s="372"/>
      <c r="G142" s="374"/>
      <c r="H142" s="374"/>
      <c r="I142" s="63" t="str">
        <f t="shared" si="129"/>
        <v/>
      </c>
      <c r="J142" s="318">
        <f t="shared" si="130"/>
        <v>0</v>
      </c>
      <c r="K142" s="318">
        <f t="shared" si="131"/>
        <v>0</v>
      </c>
      <c r="L142" s="318">
        <f t="shared" si="132"/>
        <v>0</v>
      </c>
      <c r="M142" s="318">
        <f t="shared" si="133"/>
        <v>0</v>
      </c>
      <c r="N142" s="318">
        <f t="shared" si="168"/>
        <v>0</v>
      </c>
      <c r="O142" s="318">
        <f t="shared" si="169"/>
        <v>0</v>
      </c>
      <c r="P142" s="318">
        <f t="shared" si="134"/>
        <v>0</v>
      </c>
      <c r="Q142" s="318">
        <f t="shared" si="135"/>
        <v>0</v>
      </c>
      <c r="R142" s="318">
        <f t="shared" si="136"/>
        <v>0</v>
      </c>
      <c r="S142" s="318">
        <f t="shared" si="137"/>
        <v>0</v>
      </c>
      <c r="T142" s="318">
        <f t="shared" si="170"/>
        <v>0</v>
      </c>
      <c r="U142" s="318">
        <f t="shared" si="171"/>
        <v>0</v>
      </c>
      <c r="V142" s="318">
        <f t="shared" si="138"/>
        <v>0</v>
      </c>
      <c r="W142" s="318">
        <f t="shared" si="139"/>
        <v>0</v>
      </c>
      <c r="X142" s="318">
        <f t="shared" si="140"/>
        <v>0</v>
      </c>
      <c r="Y142" s="318">
        <f t="shared" si="141"/>
        <v>0</v>
      </c>
      <c r="Z142" s="318">
        <f t="shared" si="142"/>
        <v>0</v>
      </c>
      <c r="AA142" s="318">
        <f t="shared" si="143"/>
        <v>0</v>
      </c>
      <c r="AB142" s="318">
        <f t="shared" si="144"/>
        <v>0</v>
      </c>
      <c r="AC142" s="318">
        <f t="shared" si="145"/>
        <v>0</v>
      </c>
      <c r="AD142" s="318">
        <f t="shared" si="146"/>
        <v>0</v>
      </c>
      <c r="AE142" s="318">
        <f t="shared" si="147"/>
        <v>0</v>
      </c>
      <c r="AF142" s="318">
        <f t="shared" si="172"/>
        <v>0</v>
      </c>
      <c r="AG142" s="318">
        <f t="shared" si="173"/>
        <v>0</v>
      </c>
      <c r="AH142" s="318">
        <f t="shared" si="148"/>
        <v>0</v>
      </c>
      <c r="AI142" s="318">
        <f t="shared" si="149"/>
        <v>0</v>
      </c>
      <c r="AJ142" s="318">
        <f t="shared" si="150"/>
        <v>0</v>
      </c>
      <c r="AK142" s="318">
        <f t="shared" si="151"/>
        <v>0</v>
      </c>
      <c r="AL142" s="318">
        <f t="shared" si="152"/>
        <v>0</v>
      </c>
      <c r="AM142" s="318">
        <f t="shared" si="153"/>
        <v>0</v>
      </c>
      <c r="AN142" s="318">
        <f t="shared" si="154"/>
        <v>0</v>
      </c>
      <c r="AO142" s="318">
        <f t="shared" si="155"/>
        <v>0</v>
      </c>
      <c r="AP142" s="318">
        <f t="shared" si="156"/>
        <v>0</v>
      </c>
      <c r="AQ142" s="318">
        <f t="shared" si="157"/>
        <v>0</v>
      </c>
      <c r="AR142" s="318">
        <f t="shared" si="158"/>
        <v>0</v>
      </c>
      <c r="AS142" s="318">
        <f t="shared" si="159"/>
        <v>0</v>
      </c>
      <c r="AT142" s="318">
        <f t="shared" si="160"/>
        <v>0</v>
      </c>
      <c r="AU142" s="318">
        <f t="shared" si="161"/>
        <v>0</v>
      </c>
      <c r="AV142" s="318">
        <f t="shared" si="162"/>
        <v>0</v>
      </c>
      <c r="AW142" s="318">
        <f t="shared" si="163"/>
        <v>0</v>
      </c>
      <c r="AX142" s="318">
        <f t="shared" si="164"/>
        <v>0</v>
      </c>
      <c r="AY142" s="318">
        <f t="shared" si="165"/>
        <v>0</v>
      </c>
      <c r="AZ142" s="318">
        <f t="shared" si="166"/>
        <v>0</v>
      </c>
      <c r="BA142" s="318">
        <f t="shared" si="167"/>
        <v>0</v>
      </c>
    </row>
    <row r="143" spans="1:53" s="315" customFormat="1" ht="16.5" customHeight="1">
      <c r="A143" s="63" t="str">
        <f t="array" ref="A143">IF(C143&lt;&gt;0,SUM(($C$11:C143&lt;&gt;0)*1),"")</f>
        <v/>
      </c>
      <c r="B143" s="316"/>
      <c r="C143" s="316"/>
      <c r="D143" s="316"/>
      <c r="E143" s="436"/>
      <c r="F143" s="372"/>
      <c r="G143" s="374"/>
      <c r="H143" s="374"/>
      <c r="I143" s="63" t="str">
        <f t="shared" si="129"/>
        <v/>
      </c>
      <c r="J143" s="318">
        <f t="shared" si="130"/>
        <v>0</v>
      </c>
      <c r="K143" s="318">
        <f t="shared" si="131"/>
        <v>0</v>
      </c>
      <c r="L143" s="318">
        <f t="shared" si="132"/>
        <v>0</v>
      </c>
      <c r="M143" s="318">
        <f t="shared" si="133"/>
        <v>0</v>
      </c>
      <c r="N143" s="318">
        <f t="shared" si="168"/>
        <v>0</v>
      </c>
      <c r="O143" s="318">
        <f t="shared" si="169"/>
        <v>0</v>
      </c>
      <c r="P143" s="318">
        <f t="shared" si="134"/>
        <v>0</v>
      </c>
      <c r="Q143" s="318">
        <f t="shared" si="135"/>
        <v>0</v>
      </c>
      <c r="R143" s="318">
        <f t="shared" si="136"/>
        <v>0</v>
      </c>
      <c r="S143" s="318">
        <f t="shared" si="137"/>
        <v>0</v>
      </c>
      <c r="T143" s="318">
        <f t="shared" si="170"/>
        <v>0</v>
      </c>
      <c r="U143" s="318">
        <f t="shared" si="171"/>
        <v>0</v>
      </c>
      <c r="V143" s="318">
        <f t="shared" si="138"/>
        <v>0</v>
      </c>
      <c r="W143" s="318">
        <f t="shared" si="139"/>
        <v>0</v>
      </c>
      <c r="X143" s="318">
        <f t="shared" si="140"/>
        <v>0</v>
      </c>
      <c r="Y143" s="318">
        <f t="shared" si="141"/>
        <v>0</v>
      </c>
      <c r="Z143" s="318">
        <f t="shared" si="142"/>
        <v>0</v>
      </c>
      <c r="AA143" s="318">
        <f t="shared" si="143"/>
        <v>0</v>
      </c>
      <c r="AB143" s="318">
        <f t="shared" si="144"/>
        <v>0</v>
      </c>
      <c r="AC143" s="318">
        <f t="shared" si="145"/>
        <v>0</v>
      </c>
      <c r="AD143" s="318">
        <f t="shared" si="146"/>
        <v>0</v>
      </c>
      <c r="AE143" s="318">
        <f t="shared" si="147"/>
        <v>0</v>
      </c>
      <c r="AF143" s="318">
        <f t="shared" si="172"/>
        <v>0</v>
      </c>
      <c r="AG143" s="318">
        <f t="shared" si="173"/>
        <v>0</v>
      </c>
      <c r="AH143" s="318">
        <f t="shared" si="148"/>
        <v>0</v>
      </c>
      <c r="AI143" s="318">
        <f t="shared" si="149"/>
        <v>0</v>
      </c>
      <c r="AJ143" s="318">
        <f t="shared" si="150"/>
        <v>0</v>
      </c>
      <c r="AK143" s="318">
        <f t="shared" si="151"/>
        <v>0</v>
      </c>
      <c r="AL143" s="318">
        <f t="shared" si="152"/>
        <v>0</v>
      </c>
      <c r="AM143" s="318">
        <f t="shared" si="153"/>
        <v>0</v>
      </c>
      <c r="AN143" s="318">
        <f t="shared" si="154"/>
        <v>0</v>
      </c>
      <c r="AO143" s="318">
        <f t="shared" si="155"/>
        <v>0</v>
      </c>
      <c r="AP143" s="318">
        <f t="shared" si="156"/>
        <v>0</v>
      </c>
      <c r="AQ143" s="318">
        <f t="shared" si="157"/>
        <v>0</v>
      </c>
      <c r="AR143" s="318">
        <f t="shared" si="158"/>
        <v>0</v>
      </c>
      <c r="AS143" s="318">
        <f t="shared" si="159"/>
        <v>0</v>
      </c>
      <c r="AT143" s="318">
        <f t="shared" si="160"/>
        <v>0</v>
      </c>
      <c r="AU143" s="318">
        <f t="shared" si="161"/>
        <v>0</v>
      </c>
      <c r="AV143" s="318">
        <f t="shared" si="162"/>
        <v>0</v>
      </c>
      <c r="AW143" s="318">
        <f t="shared" si="163"/>
        <v>0</v>
      </c>
      <c r="AX143" s="318">
        <f t="shared" si="164"/>
        <v>0</v>
      </c>
      <c r="AY143" s="318">
        <f t="shared" si="165"/>
        <v>0</v>
      </c>
      <c r="AZ143" s="318">
        <f t="shared" si="166"/>
        <v>0</v>
      </c>
      <c r="BA143" s="318">
        <f t="shared" si="167"/>
        <v>0</v>
      </c>
    </row>
    <row r="144" spans="1:53" s="315" customFormat="1" ht="16.5" customHeight="1">
      <c r="A144" s="63" t="str">
        <f t="array" ref="A144">IF(C144&lt;&gt;0,SUM(($C$11:C144&lt;&gt;0)*1),"")</f>
        <v/>
      </c>
      <c r="B144" s="316"/>
      <c r="C144" s="316"/>
      <c r="D144" s="316"/>
      <c r="E144" s="436"/>
      <c r="F144" s="372"/>
      <c r="G144" s="374"/>
      <c r="H144" s="374"/>
      <c r="I144" s="63" t="str">
        <f t="shared" si="129"/>
        <v/>
      </c>
      <c r="J144" s="318">
        <f t="shared" si="130"/>
        <v>0</v>
      </c>
      <c r="K144" s="318">
        <f t="shared" si="131"/>
        <v>0</v>
      </c>
      <c r="L144" s="318">
        <f t="shared" si="132"/>
        <v>0</v>
      </c>
      <c r="M144" s="318">
        <f t="shared" si="133"/>
        <v>0</v>
      </c>
      <c r="N144" s="318">
        <f t="shared" si="168"/>
        <v>0</v>
      </c>
      <c r="O144" s="318">
        <f t="shared" si="169"/>
        <v>0</v>
      </c>
      <c r="P144" s="318">
        <f t="shared" si="134"/>
        <v>0</v>
      </c>
      <c r="Q144" s="318">
        <f t="shared" si="135"/>
        <v>0</v>
      </c>
      <c r="R144" s="318">
        <f t="shared" si="136"/>
        <v>0</v>
      </c>
      <c r="S144" s="318">
        <f t="shared" si="137"/>
        <v>0</v>
      </c>
      <c r="T144" s="318">
        <f t="shared" si="170"/>
        <v>0</v>
      </c>
      <c r="U144" s="318">
        <f t="shared" si="171"/>
        <v>0</v>
      </c>
      <c r="V144" s="318">
        <f t="shared" si="138"/>
        <v>0</v>
      </c>
      <c r="W144" s="318">
        <f t="shared" si="139"/>
        <v>0</v>
      </c>
      <c r="X144" s="318">
        <f t="shared" si="140"/>
        <v>0</v>
      </c>
      <c r="Y144" s="318">
        <f t="shared" si="141"/>
        <v>0</v>
      </c>
      <c r="Z144" s="318">
        <f t="shared" si="142"/>
        <v>0</v>
      </c>
      <c r="AA144" s="318">
        <f t="shared" si="143"/>
        <v>0</v>
      </c>
      <c r="AB144" s="318">
        <f t="shared" si="144"/>
        <v>0</v>
      </c>
      <c r="AC144" s="318">
        <f t="shared" si="145"/>
        <v>0</v>
      </c>
      <c r="AD144" s="318">
        <f t="shared" si="146"/>
        <v>0</v>
      </c>
      <c r="AE144" s="318">
        <f t="shared" si="147"/>
        <v>0</v>
      </c>
      <c r="AF144" s="318">
        <f t="shared" si="172"/>
        <v>0</v>
      </c>
      <c r="AG144" s="318">
        <f t="shared" si="173"/>
        <v>0</v>
      </c>
      <c r="AH144" s="318">
        <f t="shared" si="148"/>
        <v>0</v>
      </c>
      <c r="AI144" s="318">
        <f t="shared" si="149"/>
        <v>0</v>
      </c>
      <c r="AJ144" s="318">
        <f t="shared" si="150"/>
        <v>0</v>
      </c>
      <c r="AK144" s="318">
        <f t="shared" si="151"/>
        <v>0</v>
      </c>
      <c r="AL144" s="318">
        <f t="shared" si="152"/>
        <v>0</v>
      </c>
      <c r="AM144" s="318">
        <f t="shared" si="153"/>
        <v>0</v>
      </c>
      <c r="AN144" s="318">
        <f t="shared" si="154"/>
        <v>0</v>
      </c>
      <c r="AO144" s="318">
        <f t="shared" si="155"/>
        <v>0</v>
      </c>
      <c r="AP144" s="318">
        <f t="shared" si="156"/>
        <v>0</v>
      </c>
      <c r="AQ144" s="318">
        <f t="shared" si="157"/>
        <v>0</v>
      </c>
      <c r="AR144" s="318">
        <f t="shared" si="158"/>
        <v>0</v>
      </c>
      <c r="AS144" s="318">
        <f t="shared" si="159"/>
        <v>0</v>
      </c>
      <c r="AT144" s="318">
        <f t="shared" si="160"/>
        <v>0</v>
      </c>
      <c r="AU144" s="318">
        <f t="shared" si="161"/>
        <v>0</v>
      </c>
      <c r="AV144" s="318">
        <f t="shared" si="162"/>
        <v>0</v>
      </c>
      <c r="AW144" s="318">
        <f t="shared" si="163"/>
        <v>0</v>
      </c>
      <c r="AX144" s="318">
        <f t="shared" si="164"/>
        <v>0</v>
      </c>
      <c r="AY144" s="318">
        <f t="shared" si="165"/>
        <v>0</v>
      </c>
      <c r="AZ144" s="318">
        <f t="shared" si="166"/>
        <v>0</v>
      </c>
      <c r="BA144" s="318">
        <f t="shared" si="167"/>
        <v>0</v>
      </c>
    </row>
    <row r="145" spans="1:53" s="315" customFormat="1" ht="16.5" customHeight="1">
      <c r="A145" s="63" t="str">
        <f t="array" ref="A145">IF(C145&lt;&gt;0,SUM(($C$11:C145&lt;&gt;0)*1),"")</f>
        <v/>
      </c>
      <c r="B145" s="316"/>
      <c r="C145" s="316"/>
      <c r="D145" s="316"/>
      <c r="E145" s="436"/>
      <c r="F145" s="372"/>
      <c r="G145" s="374"/>
      <c r="H145" s="374"/>
      <c r="I145" s="63" t="str">
        <f t="shared" si="129"/>
        <v/>
      </c>
      <c r="J145" s="318">
        <f t="shared" si="130"/>
        <v>0</v>
      </c>
      <c r="K145" s="318">
        <f t="shared" si="131"/>
        <v>0</v>
      </c>
      <c r="L145" s="318">
        <f t="shared" si="132"/>
        <v>0</v>
      </c>
      <c r="M145" s="318">
        <f t="shared" si="133"/>
        <v>0</v>
      </c>
      <c r="N145" s="318">
        <f t="shared" si="168"/>
        <v>0</v>
      </c>
      <c r="O145" s="318">
        <f t="shared" si="169"/>
        <v>0</v>
      </c>
      <c r="P145" s="318">
        <f t="shared" si="134"/>
        <v>0</v>
      </c>
      <c r="Q145" s="318">
        <f t="shared" si="135"/>
        <v>0</v>
      </c>
      <c r="R145" s="318">
        <f t="shared" si="136"/>
        <v>0</v>
      </c>
      <c r="S145" s="318">
        <f t="shared" si="137"/>
        <v>0</v>
      </c>
      <c r="T145" s="318">
        <f t="shared" si="170"/>
        <v>0</v>
      </c>
      <c r="U145" s="318">
        <f t="shared" si="171"/>
        <v>0</v>
      </c>
      <c r="V145" s="318">
        <f t="shared" si="138"/>
        <v>0</v>
      </c>
      <c r="W145" s="318">
        <f t="shared" si="139"/>
        <v>0</v>
      </c>
      <c r="X145" s="318">
        <f t="shared" si="140"/>
        <v>0</v>
      </c>
      <c r="Y145" s="318">
        <f t="shared" si="141"/>
        <v>0</v>
      </c>
      <c r="Z145" s="318">
        <f t="shared" si="142"/>
        <v>0</v>
      </c>
      <c r="AA145" s="318">
        <f t="shared" si="143"/>
        <v>0</v>
      </c>
      <c r="AB145" s="318">
        <f t="shared" si="144"/>
        <v>0</v>
      </c>
      <c r="AC145" s="318">
        <f t="shared" si="145"/>
        <v>0</v>
      </c>
      <c r="AD145" s="318">
        <f t="shared" si="146"/>
        <v>0</v>
      </c>
      <c r="AE145" s="318">
        <f t="shared" si="147"/>
        <v>0</v>
      </c>
      <c r="AF145" s="318">
        <f t="shared" si="172"/>
        <v>0</v>
      </c>
      <c r="AG145" s="318">
        <f t="shared" si="173"/>
        <v>0</v>
      </c>
      <c r="AH145" s="318">
        <f t="shared" si="148"/>
        <v>0</v>
      </c>
      <c r="AI145" s="318">
        <f t="shared" si="149"/>
        <v>0</v>
      </c>
      <c r="AJ145" s="318">
        <f t="shared" si="150"/>
        <v>0</v>
      </c>
      <c r="AK145" s="318">
        <f t="shared" si="151"/>
        <v>0</v>
      </c>
      <c r="AL145" s="318">
        <f t="shared" si="152"/>
        <v>0</v>
      </c>
      <c r="AM145" s="318">
        <f t="shared" si="153"/>
        <v>0</v>
      </c>
      <c r="AN145" s="318">
        <f t="shared" si="154"/>
        <v>0</v>
      </c>
      <c r="AO145" s="318">
        <f t="shared" si="155"/>
        <v>0</v>
      </c>
      <c r="AP145" s="318">
        <f t="shared" si="156"/>
        <v>0</v>
      </c>
      <c r="AQ145" s="318">
        <f t="shared" si="157"/>
        <v>0</v>
      </c>
      <c r="AR145" s="318">
        <f t="shared" si="158"/>
        <v>0</v>
      </c>
      <c r="AS145" s="318">
        <f t="shared" si="159"/>
        <v>0</v>
      </c>
      <c r="AT145" s="318">
        <f t="shared" si="160"/>
        <v>0</v>
      </c>
      <c r="AU145" s="318">
        <f t="shared" si="161"/>
        <v>0</v>
      </c>
      <c r="AV145" s="318">
        <f t="shared" si="162"/>
        <v>0</v>
      </c>
      <c r="AW145" s="318">
        <f t="shared" si="163"/>
        <v>0</v>
      </c>
      <c r="AX145" s="318">
        <f t="shared" si="164"/>
        <v>0</v>
      </c>
      <c r="AY145" s="318">
        <f t="shared" si="165"/>
        <v>0</v>
      </c>
      <c r="AZ145" s="318">
        <f t="shared" si="166"/>
        <v>0</v>
      </c>
      <c r="BA145" s="318">
        <f t="shared" si="167"/>
        <v>0</v>
      </c>
    </row>
    <row r="146" spans="1:53" s="315" customFormat="1" ht="16.5" customHeight="1">
      <c r="A146" s="63" t="str">
        <f t="array" ref="A146">IF(C146&lt;&gt;0,SUM(($C$11:C146&lt;&gt;0)*1),"")</f>
        <v/>
      </c>
      <c r="B146" s="316"/>
      <c r="C146" s="316"/>
      <c r="D146" s="316"/>
      <c r="E146" s="436"/>
      <c r="F146" s="372"/>
      <c r="G146" s="374"/>
      <c r="H146" s="374"/>
      <c r="I146" s="63" t="str">
        <f t="shared" si="129"/>
        <v/>
      </c>
      <c r="J146" s="318">
        <f t="shared" si="130"/>
        <v>0</v>
      </c>
      <c r="K146" s="318">
        <f t="shared" si="131"/>
        <v>0</v>
      </c>
      <c r="L146" s="318">
        <f t="shared" si="132"/>
        <v>0</v>
      </c>
      <c r="M146" s="318">
        <f t="shared" si="133"/>
        <v>0</v>
      </c>
      <c r="N146" s="318">
        <f t="shared" si="168"/>
        <v>0</v>
      </c>
      <c r="O146" s="318">
        <f t="shared" si="169"/>
        <v>0</v>
      </c>
      <c r="P146" s="318">
        <f t="shared" si="134"/>
        <v>0</v>
      </c>
      <c r="Q146" s="318">
        <f t="shared" si="135"/>
        <v>0</v>
      </c>
      <c r="R146" s="318">
        <f t="shared" si="136"/>
        <v>0</v>
      </c>
      <c r="S146" s="318">
        <f t="shared" si="137"/>
        <v>0</v>
      </c>
      <c r="T146" s="318">
        <f t="shared" si="170"/>
        <v>0</v>
      </c>
      <c r="U146" s="318">
        <f t="shared" si="171"/>
        <v>0</v>
      </c>
      <c r="V146" s="318">
        <f t="shared" si="138"/>
        <v>0</v>
      </c>
      <c r="W146" s="318">
        <f t="shared" si="139"/>
        <v>0</v>
      </c>
      <c r="X146" s="318">
        <f t="shared" si="140"/>
        <v>0</v>
      </c>
      <c r="Y146" s="318">
        <f t="shared" si="141"/>
        <v>0</v>
      </c>
      <c r="Z146" s="318">
        <f t="shared" si="142"/>
        <v>0</v>
      </c>
      <c r="AA146" s="318">
        <f t="shared" si="143"/>
        <v>0</v>
      </c>
      <c r="AB146" s="318">
        <f t="shared" si="144"/>
        <v>0</v>
      </c>
      <c r="AC146" s="318">
        <f t="shared" si="145"/>
        <v>0</v>
      </c>
      <c r="AD146" s="318">
        <f t="shared" si="146"/>
        <v>0</v>
      </c>
      <c r="AE146" s="318">
        <f t="shared" si="147"/>
        <v>0</v>
      </c>
      <c r="AF146" s="318">
        <f t="shared" si="172"/>
        <v>0</v>
      </c>
      <c r="AG146" s="318">
        <f t="shared" si="173"/>
        <v>0</v>
      </c>
      <c r="AH146" s="318">
        <f t="shared" si="148"/>
        <v>0</v>
      </c>
      <c r="AI146" s="318">
        <f t="shared" si="149"/>
        <v>0</v>
      </c>
      <c r="AJ146" s="318">
        <f t="shared" si="150"/>
        <v>0</v>
      </c>
      <c r="AK146" s="318">
        <f t="shared" si="151"/>
        <v>0</v>
      </c>
      <c r="AL146" s="318">
        <f t="shared" si="152"/>
        <v>0</v>
      </c>
      <c r="AM146" s="318">
        <f t="shared" si="153"/>
        <v>0</v>
      </c>
      <c r="AN146" s="318">
        <f t="shared" si="154"/>
        <v>0</v>
      </c>
      <c r="AO146" s="318">
        <f t="shared" si="155"/>
        <v>0</v>
      </c>
      <c r="AP146" s="318">
        <f t="shared" si="156"/>
        <v>0</v>
      </c>
      <c r="AQ146" s="318">
        <f t="shared" si="157"/>
        <v>0</v>
      </c>
      <c r="AR146" s="318">
        <f t="shared" si="158"/>
        <v>0</v>
      </c>
      <c r="AS146" s="318">
        <f t="shared" si="159"/>
        <v>0</v>
      </c>
      <c r="AT146" s="318">
        <f t="shared" si="160"/>
        <v>0</v>
      </c>
      <c r="AU146" s="318">
        <f t="shared" si="161"/>
        <v>0</v>
      </c>
      <c r="AV146" s="318">
        <f t="shared" si="162"/>
        <v>0</v>
      </c>
      <c r="AW146" s="318">
        <f t="shared" si="163"/>
        <v>0</v>
      </c>
      <c r="AX146" s="318">
        <f t="shared" si="164"/>
        <v>0</v>
      </c>
      <c r="AY146" s="318">
        <f t="shared" si="165"/>
        <v>0</v>
      </c>
      <c r="AZ146" s="318">
        <f t="shared" si="166"/>
        <v>0</v>
      </c>
      <c r="BA146" s="318">
        <f t="shared" si="167"/>
        <v>0</v>
      </c>
    </row>
    <row r="147" spans="1:53" s="315" customFormat="1" ht="16.5" customHeight="1">
      <c r="A147" s="63" t="str">
        <f t="array" ref="A147">IF(C147&lt;&gt;0,SUM(($C$11:C147&lt;&gt;0)*1),"")</f>
        <v/>
      </c>
      <c r="B147" s="316"/>
      <c r="C147" s="316"/>
      <c r="D147" s="316"/>
      <c r="E147" s="436"/>
      <c r="F147" s="372"/>
      <c r="G147" s="374"/>
      <c r="H147" s="374"/>
      <c r="I147" s="63" t="str">
        <f t="shared" si="129"/>
        <v/>
      </c>
      <c r="J147" s="318">
        <f t="shared" si="130"/>
        <v>0</v>
      </c>
      <c r="K147" s="318">
        <f t="shared" si="131"/>
        <v>0</v>
      </c>
      <c r="L147" s="318">
        <f t="shared" si="132"/>
        <v>0</v>
      </c>
      <c r="M147" s="318">
        <f t="shared" si="133"/>
        <v>0</v>
      </c>
      <c r="N147" s="318">
        <f t="shared" si="168"/>
        <v>0</v>
      </c>
      <c r="O147" s="318">
        <f t="shared" si="169"/>
        <v>0</v>
      </c>
      <c r="P147" s="318">
        <f t="shared" si="134"/>
        <v>0</v>
      </c>
      <c r="Q147" s="318">
        <f t="shared" si="135"/>
        <v>0</v>
      </c>
      <c r="R147" s="318">
        <f t="shared" si="136"/>
        <v>0</v>
      </c>
      <c r="S147" s="318">
        <f t="shared" si="137"/>
        <v>0</v>
      </c>
      <c r="T147" s="318">
        <f t="shared" si="170"/>
        <v>0</v>
      </c>
      <c r="U147" s="318">
        <f t="shared" si="171"/>
        <v>0</v>
      </c>
      <c r="V147" s="318">
        <f t="shared" si="138"/>
        <v>0</v>
      </c>
      <c r="W147" s="318">
        <f t="shared" si="139"/>
        <v>0</v>
      </c>
      <c r="X147" s="318">
        <f t="shared" si="140"/>
        <v>0</v>
      </c>
      <c r="Y147" s="318">
        <f t="shared" si="141"/>
        <v>0</v>
      </c>
      <c r="Z147" s="318">
        <f t="shared" si="142"/>
        <v>0</v>
      </c>
      <c r="AA147" s="318">
        <f t="shared" si="143"/>
        <v>0</v>
      </c>
      <c r="AB147" s="318">
        <f t="shared" si="144"/>
        <v>0</v>
      </c>
      <c r="AC147" s="318">
        <f t="shared" si="145"/>
        <v>0</v>
      </c>
      <c r="AD147" s="318">
        <f t="shared" si="146"/>
        <v>0</v>
      </c>
      <c r="AE147" s="318">
        <f t="shared" si="147"/>
        <v>0</v>
      </c>
      <c r="AF147" s="318">
        <f t="shared" si="172"/>
        <v>0</v>
      </c>
      <c r="AG147" s="318">
        <f t="shared" si="173"/>
        <v>0</v>
      </c>
      <c r="AH147" s="318">
        <f t="shared" si="148"/>
        <v>0</v>
      </c>
      <c r="AI147" s="318">
        <f t="shared" si="149"/>
        <v>0</v>
      </c>
      <c r="AJ147" s="318">
        <f t="shared" si="150"/>
        <v>0</v>
      </c>
      <c r="AK147" s="318">
        <f t="shared" si="151"/>
        <v>0</v>
      </c>
      <c r="AL147" s="318">
        <f t="shared" si="152"/>
        <v>0</v>
      </c>
      <c r="AM147" s="318">
        <f t="shared" si="153"/>
        <v>0</v>
      </c>
      <c r="AN147" s="318">
        <f t="shared" si="154"/>
        <v>0</v>
      </c>
      <c r="AO147" s="318">
        <f t="shared" si="155"/>
        <v>0</v>
      </c>
      <c r="AP147" s="318">
        <f t="shared" si="156"/>
        <v>0</v>
      </c>
      <c r="AQ147" s="318">
        <f t="shared" si="157"/>
        <v>0</v>
      </c>
      <c r="AR147" s="318">
        <f t="shared" si="158"/>
        <v>0</v>
      </c>
      <c r="AS147" s="318">
        <f t="shared" si="159"/>
        <v>0</v>
      </c>
      <c r="AT147" s="318">
        <f t="shared" si="160"/>
        <v>0</v>
      </c>
      <c r="AU147" s="318">
        <f t="shared" si="161"/>
        <v>0</v>
      </c>
      <c r="AV147" s="318">
        <f t="shared" si="162"/>
        <v>0</v>
      </c>
      <c r="AW147" s="318">
        <f t="shared" si="163"/>
        <v>0</v>
      </c>
      <c r="AX147" s="318">
        <f t="shared" si="164"/>
        <v>0</v>
      </c>
      <c r="AY147" s="318">
        <f t="shared" si="165"/>
        <v>0</v>
      </c>
      <c r="AZ147" s="318">
        <f t="shared" si="166"/>
        <v>0</v>
      </c>
      <c r="BA147" s="318">
        <f t="shared" si="167"/>
        <v>0</v>
      </c>
    </row>
    <row r="148" spans="1:53" s="315" customFormat="1" ht="16.5" customHeight="1">
      <c r="A148" s="63" t="str">
        <f t="array" ref="A148">IF(C148&lt;&gt;0,SUM(($C$11:C148&lt;&gt;0)*1),"")</f>
        <v/>
      </c>
      <c r="B148" s="316"/>
      <c r="C148" s="316"/>
      <c r="D148" s="316"/>
      <c r="E148" s="436"/>
      <c r="F148" s="372"/>
      <c r="G148" s="374"/>
      <c r="H148" s="374"/>
      <c r="I148" s="63" t="str">
        <f t="shared" si="129"/>
        <v/>
      </c>
      <c r="J148" s="318">
        <f t="shared" si="130"/>
        <v>0</v>
      </c>
      <c r="K148" s="318">
        <f t="shared" si="131"/>
        <v>0</v>
      </c>
      <c r="L148" s="318">
        <f t="shared" si="132"/>
        <v>0</v>
      </c>
      <c r="M148" s="318">
        <f t="shared" si="133"/>
        <v>0</v>
      </c>
      <c r="N148" s="318">
        <f t="shared" si="168"/>
        <v>0</v>
      </c>
      <c r="O148" s="318">
        <f t="shared" si="169"/>
        <v>0</v>
      </c>
      <c r="P148" s="318">
        <f t="shared" si="134"/>
        <v>0</v>
      </c>
      <c r="Q148" s="318">
        <f t="shared" si="135"/>
        <v>0</v>
      </c>
      <c r="R148" s="318">
        <f t="shared" si="136"/>
        <v>0</v>
      </c>
      <c r="S148" s="318">
        <f t="shared" si="137"/>
        <v>0</v>
      </c>
      <c r="T148" s="318">
        <f t="shared" si="170"/>
        <v>0</v>
      </c>
      <c r="U148" s="318">
        <f t="shared" si="171"/>
        <v>0</v>
      </c>
      <c r="V148" s="318">
        <f t="shared" si="138"/>
        <v>0</v>
      </c>
      <c r="W148" s="318">
        <f t="shared" si="139"/>
        <v>0</v>
      </c>
      <c r="X148" s="318">
        <f t="shared" si="140"/>
        <v>0</v>
      </c>
      <c r="Y148" s="318">
        <f t="shared" si="141"/>
        <v>0</v>
      </c>
      <c r="Z148" s="318">
        <f t="shared" si="142"/>
        <v>0</v>
      </c>
      <c r="AA148" s="318">
        <f t="shared" si="143"/>
        <v>0</v>
      </c>
      <c r="AB148" s="318">
        <f t="shared" si="144"/>
        <v>0</v>
      </c>
      <c r="AC148" s="318">
        <f t="shared" si="145"/>
        <v>0</v>
      </c>
      <c r="AD148" s="318">
        <f t="shared" si="146"/>
        <v>0</v>
      </c>
      <c r="AE148" s="318">
        <f t="shared" si="147"/>
        <v>0</v>
      </c>
      <c r="AF148" s="318">
        <f t="shared" si="172"/>
        <v>0</v>
      </c>
      <c r="AG148" s="318">
        <f t="shared" si="173"/>
        <v>0</v>
      </c>
      <c r="AH148" s="318">
        <f t="shared" si="148"/>
        <v>0</v>
      </c>
      <c r="AI148" s="318">
        <f t="shared" si="149"/>
        <v>0</v>
      </c>
      <c r="AJ148" s="318">
        <f t="shared" si="150"/>
        <v>0</v>
      </c>
      <c r="AK148" s="318">
        <f t="shared" si="151"/>
        <v>0</v>
      </c>
      <c r="AL148" s="318">
        <f t="shared" si="152"/>
        <v>0</v>
      </c>
      <c r="AM148" s="318">
        <f t="shared" si="153"/>
        <v>0</v>
      </c>
      <c r="AN148" s="318">
        <f t="shared" si="154"/>
        <v>0</v>
      </c>
      <c r="AO148" s="318">
        <f t="shared" si="155"/>
        <v>0</v>
      </c>
      <c r="AP148" s="318">
        <f t="shared" si="156"/>
        <v>0</v>
      </c>
      <c r="AQ148" s="318">
        <f t="shared" si="157"/>
        <v>0</v>
      </c>
      <c r="AR148" s="318">
        <f t="shared" si="158"/>
        <v>0</v>
      </c>
      <c r="AS148" s="318">
        <f t="shared" si="159"/>
        <v>0</v>
      </c>
      <c r="AT148" s="318">
        <f t="shared" si="160"/>
        <v>0</v>
      </c>
      <c r="AU148" s="318">
        <f t="shared" si="161"/>
        <v>0</v>
      </c>
      <c r="AV148" s="318">
        <f t="shared" si="162"/>
        <v>0</v>
      </c>
      <c r="AW148" s="318">
        <f t="shared" si="163"/>
        <v>0</v>
      </c>
      <c r="AX148" s="318">
        <f t="shared" si="164"/>
        <v>0</v>
      </c>
      <c r="AY148" s="318">
        <f t="shared" si="165"/>
        <v>0</v>
      </c>
      <c r="AZ148" s="318">
        <f t="shared" si="166"/>
        <v>0</v>
      </c>
      <c r="BA148" s="318">
        <f t="shared" si="167"/>
        <v>0</v>
      </c>
    </row>
    <row r="149" spans="1:53" s="315" customFormat="1" ht="16.5" customHeight="1">
      <c r="A149" s="63" t="str">
        <f t="array" ref="A149">IF(C149&lt;&gt;0,SUM(($C$11:C149&lt;&gt;0)*1),"")</f>
        <v/>
      </c>
      <c r="B149" s="316"/>
      <c r="C149" s="316"/>
      <c r="D149" s="316"/>
      <c r="E149" s="436"/>
      <c r="F149" s="372"/>
      <c r="G149" s="374"/>
      <c r="H149" s="374"/>
      <c r="I149" s="63" t="str">
        <f t="shared" si="129"/>
        <v/>
      </c>
      <c r="J149" s="318">
        <f t="shared" si="130"/>
        <v>0</v>
      </c>
      <c r="K149" s="318">
        <f t="shared" si="131"/>
        <v>0</v>
      </c>
      <c r="L149" s="318">
        <f t="shared" si="132"/>
        <v>0</v>
      </c>
      <c r="M149" s="318">
        <f t="shared" si="133"/>
        <v>0</v>
      </c>
      <c r="N149" s="318">
        <f t="shared" si="168"/>
        <v>0</v>
      </c>
      <c r="O149" s="318">
        <f t="shared" si="169"/>
        <v>0</v>
      </c>
      <c r="P149" s="318">
        <f t="shared" si="134"/>
        <v>0</v>
      </c>
      <c r="Q149" s="318">
        <f t="shared" si="135"/>
        <v>0</v>
      </c>
      <c r="R149" s="318">
        <f t="shared" si="136"/>
        <v>0</v>
      </c>
      <c r="S149" s="318">
        <f t="shared" si="137"/>
        <v>0</v>
      </c>
      <c r="T149" s="318">
        <f t="shared" si="170"/>
        <v>0</v>
      </c>
      <c r="U149" s="318">
        <f t="shared" si="171"/>
        <v>0</v>
      </c>
      <c r="V149" s="318">
        <f t="shared" si="138"/>
        <v>0</v>
      </c>
      <c r="W149" s="318">
        <f t="shared" si="139"/>
        <v>0</v>
      </c>
      <c r="X149" s="318">
        <f t="shared" si="140"/>
        <v>0</v>
      </c>
      <c r="Y149" s="318">
        <f t="shared" si="141"/>
        <v>0</v>
      </c>
      <c r="Z149" s="318">
        <f t="shared" si="142"/>
        <v>0</v>
      </c>
      <c r="AA149" s="318">
        <f t="shared" si="143"/>
        <v>0</v>
      </c>
      <c r="AB149" s="318">
        <f t="shared" si="144"/>
        <v>0</v>
      </c>
      <c r="AC149" s="318">
        <f t="shared" si="145"/>
        <v>0</v>
      </c>
      <c r="AD149" s="318">
        <f t="shared" si="146"/>
        <v>0</v>
      </c>
      <c r="AE149" s="318">
        <f t="shared" si="147"/>
        <v>0</v>
      </c>
      <c r="AF149" s="318">
        <f t="shared" si="172"/>
        <v>0</v>
      </c>
      <c r="AG149" s="318">
        <f t="shared" si="173"/>
        <v>0</v>
      </c>
      <c r="AH149" s="318">
        <f t="shared" si="148"/>
        <v>0</v>
      </c>
      <c r="AI149" s="318">
        <f t="shared" si="149"/>
        <v>0</v>
      </c>
      <c r="AJ149" s="318">
        <f t="shared" si="150"/>
        <v>0</v>
      </c>
      <c r="AK149" s="318">
        <f t="shared" si="151"/>
        <v>0</v>
      </c>
      <c r="AL149" s="318">
        <f t="shared" si="152"/>
        <v>0</v>
      </c>
      <c r="AM149" s="318">
        <f t="shared" si="153"/>
        <v>0</v>
      </c>
      <c r="AN149" s="318">
        <f t="shared" si="154"/>
        <v>0</v>
      </c>
      <c r="AO149" s="318">
        <f t="shared" si="155"/>
        <v>0</v>
      </c>
      <c r="AP149" s="318">
        <f t="shared" si="156"/>
        <v>0</v>
      </c>
      <c r="AQ149" s="318">
        <f t="shared" si="157"/>
        <v>0</v>
      </c>
      <c r="AR149" s="318">
        <f t="shared" si="158"/>
        <v>0</v>
      </c>
      <c r="AS149" s="318">
        <f t="shared" si="159"/>
        <v>0</v>
      </c>
      <c r="AT149" s="318">
        <f t="shared" si="160"/>
        <v>0</v>
      </c>
      <c r="AU149" s="318">
        <f t="shared" si="161"/>
        <v>0</v>
      </c>
      <c r="AV149" s="318">
        <f t="shared" si="162"/>
        <v>0</v>
      </c>
      <c r="AW149" s="318">
        <f t="shared" si="163"/>
        <v>0</v>
      </c>
      <c r="AX149" s="318">
        <f t="shared" si="164"/>
        <v>0</v>
      </c>
      <c r="AY149" s="318">
        <f t="shared" si="165"/>
        <v>0</v>
      </c>
      <c r="AZ149" s="318">
        <f t="shared" si="166"/>
        <v>0</v>
      </c>
      <c r="BA149" s="318">
        <f t="shared" si="167"/>
        <v>0</v>
      </c>
    </row>
    <row r="150" spans="1:53" s="315" customFormat="1" ht="16.5" customHeight="1">
      <c r="A150" s="63" t="str">
        <f t="array" ref="A150">IF(C150&lt;&gt;0,SUM(($C$11:C150&lt;&gt;0)*1),"")</f>
        <v/>
      </c>
      <c r="B150" s="316"/>
      <c r="C150" s="316"/>
      <c r="D150" s="316"/>
      <c r="E150" s="436"/>
      <c r="F150" s="372"/>
      <c r="G150" s="374"/>
      <c r="H150" s="374"/>
      <c r="I150" s="63" t="str">
        <f t="shared" si="129"/>
        <v/>
      </c>
      <c r="J150" s="318">
        <f t="shared" si="130"/>
        <v>0</v>
      </c>
      <c r="K150" s="318">
        <f t="shared" si="131"/>
        <v>0</v>
      </c>
      <c r="L150" s="318">
        <f t="shared" si="132"/>
        <v>0</v>
      </c>
      <c r="M150" s="318">
        <f t="shared" si="133"/>
        <v>0</v>
      </c>
      <c r="N150" s="318">
        <f t="shared" si="168"/>
        <v>0</v>
      </c>
      <c r="O150" s="318">
        <f t="shared" si="169"/>
        <v>0</v>
      </c>
      <c r="P150" s="318">
        <f t="shared" si="134"/>
        <v>0</v>
      </c>
      <c r="Q150" s="318">
        <f t="shared" si="135"/>
        <v>0</v>
      </c>
      <c r="R150" s="318">
        <f t="shared" si="136"/>
        <v>0</v>
      </c>
      <c r="S150" s="318">
        <f t="shared" si="137"/>
        <v>0</v>
      </c>
      <c r="T150" s="318">
        <f t="shared" si="170"/>
        <v>0</v>
      </c>
      <c r="U150" s="318">
        <f t="shared" si="171"/>
        <v>0</v>
      </c>
      <c r="V150" s="318">
        <f t="shared" si="138"/>
        <v>0</v>
      </c>
      <c r="W150" s="318">
        <f t="shared" si="139"/>
        <v>0</v>
      </c>
      <c r="X150" s="318">
        <f t="shared" si="140"/>
        <v>0</v>
      </c>
      <c r="Y150" s="318">
        <f t="shared" si="141"/>
        <v>0</v>
      </c>
      <c r="Z150" s="318">
        <f t="shared" si="142"/>
        <v>0</v>
      </c>
      <c r="AA150" s="318">
        <f t="shared" si="143"/>
        <v>0</v>
      </c>
      <c r="AB150" s="318">
        <f t="shared" si="144"/>
        <v>0</v>
      </c>
      <c r="AC150" s="318">
        <f t="shared" si="145"/>
        <v>0</v>
      </c>
      <c r="AD150" s="318">
        <f t="shared" si="146"/>
        <v>0</v>
      </c>
      <c r="AE150" s="318">
        <f t="shared" si="147"/>
        <v>0</v>
      </c>
      <c r="AF150" s="318">
        <f t="shared" si="172"/>
        <v>0</v>
      </c>
      <c r="AG150" s="318">
        <f t="shared" si="173"/>
        <v>0</v>
      </c>
      <c r="AH150" s="318">
        <f t="shared" si="148"/>
        <v>0</v>
      </c>
      <c r="AI150" s="318">
        <f t="shared" si="149"/>
        <v>0</v>
      </c>
      <c r="AJ150" s="318">
        <f t="shared" si="150"/>
        <v>0</v>
      </c>
      <c r="AK150" s="318">
        <f t="shared" si="151"/>
        <v>0</v>
      </c>
      <c r="AL150" s="318">
        <f t="shared" si="152"/>
        <v>0</v>
      </c>
      <c r="AM150" s="318">
        <f t="shared" si="153"/>
        <v>0</v>
      </c>
      <c r="AN150" s="318">
        <f t="shared" si="154"/>
        <v>0</v>
      </c>
      <c r="AO150" s="318">
        <f t="shared" si="155"/>
        <v>0</v>
      </c>
      <c r="AP150" s="318">
        <f t="shared" si="156"/>
        <v>0</v>
      </c>
      <c r="AQ150" s="318">
        <f t="shared" si="157"/>
        <v>0</v>
      </c>
      <c r="AR150" s="318">
        <f t="shared" si="158"/>
        <v>0</v>
      </c>
      <c r="AS150" s="318">
        <f t="shared" si="159"/>
        <v>0</v>
      </c>
      <c r="AT150" s="318">
        <f t="shared" si="160"/>
        <v>0</v>
      </c>
      <c r="AU150" s="318">
        <f t="shared" si="161"/>
        <v>0</v>
      </c>
      <c r="AV150" s="318">
        <f t="shared" si="162"/>
        <v>0</v>
      </c>
      <c r="AW150" s="318">
        <f t="shared" si="163"/>
        <v>0</v>
      </c>
      <c r="AX150" s="318">
        <f t="shared" si="164"/>
        <v>0</v>
      </c>
      <c r="AY150" s="318">
        <f t="shared" si="165"/>
        <v>0</v>
      </c>
      <c r="AZ150" s="318">
        <f t="shared" si="166"/>
        <v>0</v>
      </c>
      <c r="BA150" s="318">
        <f t="shared" si="167"/>
        <v>0</v>
      </c>
    </row>
    <row r="151" spans="1:53" s="315" customFormat="1" ht="16.5" customHeight="1">
      <c r="A151" s="63" t="str">
        <f t="array" ref="A151">IF(C151&lt;&gt;0,SUM(($C$11:C151&lt;&gt;0)*1),"")</f>
        <v/>
      </c>
      <c r="B151" s="316"/>
      <c r="C151" s="316"/>
      <c r="D151" s="316"/>
      <c r="E151" s="436"/>
      <c r="F151" s="372"/>
      <c r="G151" s="374"/>
      <c r="H151" s="374"/>
      <c r="I151" s="63" t="str">
        <f t="shared" si="129"/>
        <v/>
      </c>
      <c r="J151" s="318">
        <f t="shared" si="130"/>
        <v>0</v>
      </c>
      <c r="K151" s="318">
        <f t="shared" si="131"/>
        <v>0</v>
      </c>
      <c r="L151" s="318">
        <f t="shared" si="132"/>
        <v>0</v>
      </c>
      <c r="M151" s="318">
        <f t="shared" si="133"/>
        <v>0</v>
      </c>
      <c r="N151" s="318">
        <f t="shared" si="168"/>
        <v>0</v>
      </c>
      <c r="O151" s="318">
        <f t="shared" si="169"/>
        <v>0</v>
      </c>
      <c r="P151" s="318">
        <f t="shared" si="134"/>
        <v>0</v>
      </c>
      <c r="Q151" s="318">
        <f t="shared" si="135"/>
        <v>0</v>
      </c>
      <c r="R151" s="318">
        <f t="shared" si="136"/>
        <v>0</v>
      </c>
      <c r="S151" s="318">
        <f t="shared" si="137"/>
        <v>0</v>
      </c>
      <c r="T151" s="318">
        <f t="shared" si="170"/>
        <v>0</v>
      </c>
      <c r="U151" s="318">
        <f t="shared" si="171"/>
        <v>0</v>
      </c>
      <c r="V151" s="318">
        <f t="shared" si="138"/>
        <v>0</v>
      </c>
      <c r="W151" s="318">
        <f t="shared" si="139"/>
        <v>0</v>
      </c>
      <c r="X151" s="318">
        <f t="shared" si="140"/>
        <v>0</v>
      </c>
      <c r="Y151" s="318">
        <f t="shared" si="141"/>
        <v>0</v>
      </c>
      <c r="Z151" s="318">
        <f t="shared" si="142"/>
        <v>0</v>
      </c>
      <c r="AA151" s="318">
        <f t="shared" si="143"/>
        <v>0</v>
      </c>
      <c r="AB151" s="318">
        <f t="shared" si="144"/>
        <v>0</v>
      </c>
      <c r="AC151" s="318">
        <f t="shared" si="145"/>
        <v>0</v>
      </c>
      <c r="AD151" s="318">
        <f t="shared" si="146"/>
        <v>0</v>
      </c>
      <c r="AE151" s="318">
        <f t="shared" si="147"/>
        <v>0</v>
      </c>
      <c r="AF151" s="318">
        <f t="shared" si="172"/>
        <v>0</v>
      </c>
      <c r="AG151" s="318">
        <f t="shared" si="173"/>
        <v>0</v>
      </c>
      <c r="AH151" s="318">
        <f t="shared" si="148"/>
        <v>0</v>
      </c>
      <c r="AI151" s="318">
        <f t="shared" si="149"/>
        <v>0</v>
      </c>
      <c r="AJ151" s="318">
        <f t="shared" si="150"/>
        <v>0</v>
      </c>
      <c r="AK151" s="318">
        <f t="shared" si="151"/>
        <v>0</v>
      </c>
      <c r="AL151" s="318">
        <f t="shared" si="152"/>
        <v>0</v>
      </c>
      <c r="AM151" s="318">
        <f t="shared" si="153"/>
        <v>0</v>
      </c>
      <c r="AN151" s="318">
        <f t="shared" si="154"/>
        <v>0</v>
      </c>
      <c r="AO151" s="318">
        <f t="shared" si="155"/>
        <v>0</v>
      </c>
      <c r="AP151" s="318">
        <f t="shared" si="156"/>
        <v>0</v>
      </c>
      <c r="AQ151" s="318">
        <f t="shared" si="157"/>
        <v>0</v>
      </c>
      <c r="AR151" s="318">
        <f t="shared" si="158"/>
        <v>0</v>
      </c>
      <c r="AS151" s="318">
        <f t="shared" si="159"/>
        <v>0</v>
      </c>
      <c r="AT151" s="318">
        <f t="shared" si="160"/>
        <v>0</v>
      </c>
      <c r="AU151" s="318">
        <f t="shared" si="161"/>
        <v>0</v>
      </c>
      <c r="AV151" s="318">
        <f t="shared" si="162"/>
        <v>0</v>
      </c>
      <c r="AW151" s="318">
        <f t="shared" si="163"/>
        <v>0</v>
      </c>
      <c r="AX151" s="318">
        <f t="shared" si="164"/>
        <v>0</v>
      </c>
      <c r="AY151" s="318">
        <f t="shared" si="165"/>
        <v>0</v>
      </c>
      <c r="AZ151" s="318">
        <f t="shared" si="166"/>
        <v>0</v>
      </c>
      <c r="BA151" s="318">
        <f t="shared" si="167"/>
        <v>0</v>
      </c>
    </row>
    <row r="152" spans="1:53" s="315" customFormat="1" ht="16.5" customHeight="1">
      <c r="A152" s="63" t="str">
        <f t="array" ref="A152">IF(C152&lt;&gt;0,SUM(($C$11:C152&lt;&gt;0)*1),"")</f>
        <v/>
      </c>
      <c r="B152" s="316"/>
      <c r="C152" s="316"/>
      <c r="D152" s="316"/>
      <c r="E152" s="436"/>
      <c r="F152" s="372"/>
      <c r="G152" s="374"/>
      <c r="H152" s="374"/>
      <c r="I152" s="63" t="str">
        <f t="shared" si="129"/>
        <v/>
      </c>
      <c r="J152" s="318">
        <f t="shared" si="130"/>
        <v>0</v>
      </c>
      <c r="K152" s="318">
        <f t="shared" si="131"/>
        <v>0</v>
      </c>
      <c r="L152" s="318">
        <f t="shared" si="132"/>
        <v>0</v>
      </c>
      <c r="M152" s="318">
        <f t="shared" si="133"/>
        <v>0</v>
      </c>
      <c r="N152" s="318">
        <f t="shared" si="168"/>
        <v>0</v>
      </c>
      <c r="O152" s="318">
        <f t="shared" si="169"/>
        <v>0</v>
      </c>
      <c r="P152" s="318">
        <f t="shared" si="134"/>
        <v>0</v>
      </c>
      <c r="Q152" s="318">
        <f t="shared" si="135"/>
        <v>0</v>
      </c>
      <c r="R152" s="318">
        <f t="shared" si="136"/>
        <v>0</v>
      </c>
      <c r="S152" s="318">
        <f t="shared" si="137"/>
        <v>0</v>
      </c>
      <c r="T152" s="318">
        <f t="shared" si="170"/>
        <v>0</v>
      </c>
      <c r="U152" s="318">
        <f t="shared" si="171"/>
        <v>0</v>
      </c>
      <c r="V152" s="318">
        <f t="shared" si="138"/>
        <v>0</v>
      </c>
      <c r="W152" s="318">
        <f t="shared" si="139"/>
        <v>0</v>
      </c>
      <c r="X152" s="318">
        <f t="shared" si="140"/>
        <v>0</v>
      </c>
      <c r="Y152" s="318">
        <f t="shared" si="141"/>
        <v>0</v>
      </c>
      <c r="Z152" s="318">
        <f t="shared" si="142"/>
        <v>0</v>
      </c>
      <c r="AA152" s="318">
        <f t="shared" si="143"/>
        <v>0</v>
      </c>
      <c r="AB152" s="318">
        <f t="shared" si="144"/>
        <v>0</v>
      </c>
      <c r="AC152" s="318">
        <f t="shared" si="145"/>
        <v>0</v>
      </c>
      <c r="AD152" s="318">
        <f t="shared" si="146"/>
        <v>0</v>
      </c>
      <c r="AE152" s="318">
        <f t="shared" si="147"/>
        <v>0</v>
      </c>
      <c r="AF152" s="318">
        <f t="shared" si="172"/>
        <v>0</v>
      </c>
      <c r="AG152" s="318">
        <f t="shared" si="173"/>
        <v>0</v>
      </c>
      <c r="AH152" s="318">
        <f t="shared" si="148"/>
        <v>0</v>
      </c>
      <c r="AI152" s="318">
        <f t="shared" si="149"/>
        <v>0</v>
      </c>
      <c r="AJ152" s="318">
        <f t="shared" si="150"/>
        <v>0</v>
      </c>
      <c r="AK152" s="318">
        <f t="shared" si="151"/>
        <v>0</v>
      </c>
      <c r="AL152" s="318">
        <f t="shared" si="152"/>
        <v>0</v>
      </c>
      <c r="AM152" s="318">
        <f t="shared" si="153"/>
        <v>0</v>
      </c>
      <c r="AN152" s="318">
        <f t="shared" si="154"/>
        <v>0</v>
      </c>
      <c r="AO152" s="318">
        <f t="shared" si="155"/>
        <v>0</v>
      </c>
      <c r="AP152" s="318">
        <f t="shared" si="156"/>
        <v>0</v>
      </c>
      <c r="AQ152" s="318">
        <f t="shared" si="157"/>
        <v>0</v>
      </c>
      <c r="AR152" s="318">
        <f t="shared" si="158"/>
        <v>0</v>
      </c>
      <c r="AS152" s="318">
        <f t="shared" si="159"/>
        <v>0</v>
      </c>
      <c r="AT152" s="318">
        <f t="shared" si="160"/>
        <v>0</v>
      </c>
      <c r="AU152" s="318">
        <f t="shared" si="161"/>
        <v>0</v>
      </c>
      <c r="AV152" s="318">
        <f t="shared" si="162"/>
        <v>0</v>
      </c>
      <c r="AW152" s="318">
        <f t="shared" si="163"/>
        <v>0</v>
      </c>
      <c r="AX152" s="318">
        <f t="shared" si="164"/>
        <v>0</v>
      </c>
      <c r="AY152" s="318">
        <f t="shared" si="165"/>
        <v>0</v>
      </c>
      <c r="AZ152" s="318">
        <f t="shared" si="166"/>
        <v>0</v>
      </c>
      <c r="BA152" s="318">
        <f t="shared" si="167"/>
        <v>0</v>
      </c>
    </row>
    <row r="153" spans="1:53" s="315" customFormat="1" ht="16.5" customHeight="1">
      <c r="A153" s="63" t="str">
        <f t="array" ref="A153">IF(C153&lt;&gt;0,SUM(($C$11:C153&lt;&gt;0)*1),"")</f>
        <v/>
      </c>
      <c r="B153" s="316"/>
      <c r="C153" s="316"/>
      <c r="D153" s="316"/>
      <c r="E153" s="436"/>
      <c r="F153" s="372"/>
      <c r="G153" s="374"/>
      <c r="H153" s="374"/>
      <c r="I153" s="63" t="str">
        <f t="shared" si="129"/>
        <v/>
      </c>
      <c r="J153" s="318">
        <f t="shared" si="130"/>
        <v>0</v>
      </c>
      <c r="K153" s="318">
        <f t="shared" si="131"/>
        <v>0</v>
      </c>
      <c r="L153" s="318">
        <f t="shared" si="132"/>
        <v>0</v>
      </c>
      <c r="M153" s="318">
        <f t="shared" si="133"/>
        <v>0</v>
      </c>
      <c r="N153" s="318">
        <f t="shared" si="168"/>
        <v>0</v>
      </c>
      <c r="O153" s="318">
        <f t="shared" si="169"/>
        <v>0</v>
      </c>
      <c r="P153" s="318">
        <f t="shared" si="134"/>
        <v>0</v>
      </c>
      <c r="Q153" s="318">
        <f t="shared" si="135"/>
        <v>0</v>
      </c>
      <c r="R153" s="318">
        <f t="shared" si="136"/>
        <v>0</v>
      </c>
      <c r="S153" s="318">
        <f t="shared" si="137"/>
        <v>0</v>
      </c>
      <c r="T153" s="318">
        <f t="shared" si="170"/>
        <v>0</v>
      </c>
      <c r="U153" s="318">
        <f t="shared" si="171"/>
        <v>0</v>
      </c>
      <c r="V153" s="318">
        <f t="shared" si="138"/>
        <v>0</v>
      </c>
      <c r="W153" s="318">
        <f t="shared" si="139"/>
        <v>0</v>
      </c>
      <c r="X153" s="318">
        <f t="shared" si="140"/>
        <v>0</v>
      </c>
      <c r="Y153" s="318">
        <f t="shared" si="141"/>
        <v>0</v>
      </c>
      <c r="Z153" s="318">
        <f t="shared" si="142"/>
        <v>0</v>
      </c>
      <c r="AA153" s="318">
        <f t="shared" si="143"/>
        <v>0</v>
      </c>
      <c r="AB153" s="318">
        <f t="shared" si="144"/>
        <v>0</v>
      </c>
      <c r="AC153" s="318">
        <f t="shared" si="145"/>
        <v>0</v>
      </c>
      <c r="AD153" s="318">
        <f t="shared" si="146"/>
        <v>0</v>
      </c>
      <c r="AE153" s="318">
        <f t="shared" si="147"/>
        <v>0</v>
      </c>
      <c r="AF153" s="318">
        <f t="shared" si="172"/>
        <v>0</v>
      </c>
      <c r="AG153" s="318">
        <f t="shared" si="173"/>
        <v>0</v>
      </c>
      <c r="AH153" s="318">
        <f t="shared" si="148"/>
        <v>0</v>
      </c>
      <c r="AI153" s="318">
        <f t="shared" si="149"/>
        <v>0</v>
      </c>
      <c r="AJ153" s="318">
        <f t="shared" si="150"/>
        <v>0</v>
      </c>
      <c r="AK153" s="318">
        <f t="shared" si="151"/>
        <v>0</v>
      </c>
      <c r="AL153" s="318">
        <f t="shared" si="152"/>
        <v>0</v>
      </c>
      <c r="AM153" s="318">
        <f t="shared" si="153"/>
        <v>0</v>
      </c>
      <c r="AN153" s="318">
        <f t="shared" si="154"/>
        <v>0</v>
      </c>
      <c r="AO153" s="318">
        <f t="shared" si="155"/>
        <v>0</v>
      </c>
      <c r="AP153" s="318">
        <f t="shared" si="156"/>
        <v>0</v>
      </c>
      <c r="AQ153" s="318">
        <f t="shared" si="157"/>
        <v>0</v>
      </c>
      <c r="AR153" s="318">
        <f t="shared" si="158"/>
        <v>0</v>
      </c>
      <c r="AS153" s="318">
        <f t="shared" si="159"/>
        <v>0</v>
      </c>
      <c r="AT153" s="318">
        <f t="shared" si="160"/>
        <v>0</v>
      </c>
      <c r="AU153" s="318">
        <f t="shared" si="161"/>
        <v>0</v>
      </c>
      <c r="AV153" s="318">
        <f t="shared" si="162"/>
        <v>0</v>
      </c>
      <c r="AW153" s="318">
        <f t="shared" si="163"/>
        <v>0</v>
      </c>
      <c r="AX153" s="318">
        <f t="shared" si="164"/>
        <v>0</v>
      </c>
      <c r="AY153" s="318">
        <f t="shared" si="165"/>
        <v>0</v>
      </c>
      <c r="AZ153" s="318">
        <f t="shared" si="166"/>
        <v>0</v>
      </c>
      <c r="BA153" s="318">
        <f t="shared" si="167"/>
        <v>0</v>
      </c>
    </row>
    <row r="154" spans="1:53" s="315" customFormat="1" ht="16.5" customHeight="1">
      <c r="A154" s="63" t="str">
        <f t="array" ref="A154">IF(C154&lt;&gt;0,SUM(($C$11:C154&lt;&gt;0)*1),"")</f>
        <v/>
      </c>
      <c r="B154" s="316"/>
      <c r="C154" s="316"/>
      <c r="D154" s="316"/>
      <c r="E154" s="436"/>
      <c r="F154" s="372"/>
      <c r="G154" s="374"/>
      <c r="H154" s="374"/>
      <c r="I154" s="63" t="str">
        <f t="shared" si="129"/>
        <v/>
      </c>
      <c r="J154" s="318">
        <f t="shared" si="130"/>
        <v>0</v>
      </c>
      <c r="K154" s="318">
        <f t="shared" si="131"/>
        <v>0</v>
      </c>
      <c r="L154" s="318">
        <f t="shared" si="132"/>
        <v>0</v>
      </c>
      <c r="M154" s="318">
        <f t="shared" si="133"/>
        <v>0</v>
      </c>
      <c r="N154" s="318">
        <f t="shared" si="168"/>
        <v>0</v>
      </c>
      <c r="O154" s="318">
        <f t="shared" si="169"/>
        <v>0</v>
      </c>
      <c r="P154" s="318">
        <f t="shared" si="134"/>
        <v>0</v>
      </c>
      <c r="Q154" s="318">
        <f t="shared" si="135"/>
        <v>0</v>
      </c>
      <c r="R154" s="318">
        <f t="shared" si="136"/>
        <v>0</v>
      </c>
      <c r="S154" s="318">
        <f t="shared" si="137"/>
        <v>0</v>
      </c>
      <c r="T154" s="318">
        <f t="shared" si="170"/>
        <v>0</v>
      </c>
      <c r="U154" s="318">
        <f t="shared" si="171"/>
        <v>0</v>
      </c>
      <c r="V154" s="318">
        <f t="shared" si="138"/>
        <v>0</v>
      </c>
      <c r="W154" s="318">
        <f t="shared" si="139"/>
        <v>0</v>
      </c>
      <c r="X154" s="318">
        <f t="shared" si="140"/>
        <v>0</v>
      </c>
      <c r="Y154" s="318">
        <f t="shared" si="141"/>
        <v>0</v>
      </c>
      <c r="Z154" s="318">
        <f t="shared" si="142"/>
        <v>0</v>
      </c>
      <c r="AA154" s="318">
        <f t="shared" si="143"/>
        <v>0</v>
      </c>
      <c r="AB154" s="318">
        <f t="shared" si="144"/>
        <v>0</v>
      </c>
      <c r="AC154" s="318">
        <f t="shared" si="145"/>
        <v>0</v>
      </c>
      <c r="AD154" s="318">
        <f t="shared" si="146"/>
        <v>0</v>
      </c>
      <c r="AE154" s="318">
        <f t="shared" si="147"/>
        <v>0</v>
      </c>
      <c r="AF154" s="318">
        <f t="shared" si="172"/>
        <v>0</v>
      </c>
      <c r="AG154" s="318">
        <f t="shared" si="173"/>
        <v>0</v>
      </c>
      <c r="AH154" s="318">
        <f t="shared" si="148"/>
        <v>0</v>
      </c>
      <c r="AI154" s="318">
        <f t="shared" si="149"/>
        <v>0</v>
      </c>
      <c r="AJ154" s="318">
        <f t="shared" si="150"/>
        <v>0</v>
      </c>
      <c r="AK154" s="318">
        <f t="shared" si="151"/>
        <v>0</v>
      </c>
      <c r="AL154" s="318">
        <f t="shared" si="152"/>
        <v>0</v>
      </c>
      <c r="AM154" s="318">
        <f t="shared" si="153"/>
        <v>0</v>
      </c>
      <c r="AN154" s="318">
        <f t="shared" si="154"/>
        <v>0</v>
      </c>
      <c r="AO154" s="318">
        <f t="shared" si="155"/>
        <v>0</v>
      </c>
      <c r="AP154" s="318">
        <f t="shared" si="156"/>
        <v>0</v>
      </c>
      <c r="AQ154" s="318">
        <f t="shared" si="157"/>
        <v>0</v>
      </c>
      <c r="AR154" s="318">
        <f t="shared" si="158"/>
        <v>0</v>
      </c>
      <c r="AS154" s="318">
        <f t="shared" si="159"/>
        <v>0</v>
      </c>
      <c r="AT154" s="318">
        <f t="shared" si="160"/>
        <v>0</v>
      </c>
      <c r="AU154" s="318">
        <f t="shared" si="161"/>
        <v>0</v>
      </c>
      <c r="AV154" s="318">
        <f t="shared" si="162"/>
        <v>0</v>
      </c>
      <c r="AW154" s="318">
        <f t="shared" si="163"/>
        <v>0</v>
      </c>
      <c r="AX154" s="318">
        <f t="shared" si="164"/>
        <v>0</v>
      </c>
      <c r="AY154" s="318">
        <f t="shared" si="165"/>
        <v>0</v>
      </c>
      <c r="AZ154" s="318">
        <f t="shared" si="166"/>
        <v>0</v>
      </c>
      <c r="BA154" s="318">
        <f t="shared" si="167"/>
        <v>0</v>
      </c>
    </row>
    <row r="155" spans="1:53" s="315" customFormat="1" ht="16.5" customHeight="1">
      <c r="A155" s="63" t="str">
        <f t="array" ref="A155">IF(C155&lt;&gt;0,SUM(($C$11:C155&lt;&gt;0)*1),"")</f>
        <v/>
      </c>
      <c r="B155" s="316"/>
      <c r="C155" s="316"/>
      <c r="D155" s="316"/>
      <c r="E155" s="436"/>
      <c r="F155" s="372"/>
      <c r="G155" s="374"/>
      <c r="H155" s="374"/>
      <c r="I155" s="63" t="str">
        <f t="shared" si="129"/>
        <v/>
      </c>
      <c r="J155" s="318">
        <f t="shared" si="130"/>
        <v>0</v>
      </c>
      <c r="K155" s="318">
        <f t="shared" si="131"/>
        <v>0</v>
      </c>
      <c r="L155" s="318">
        <f t="shared" si="132"/>
        <v>0</v>
      </c>
      <c r="M155" s="318">
        <f t="shared" si="133"/>
        <v>0</v>
      </c>
      <c r="N155" s="318">
        <f t="shared" si="168"/>
        <v>0</v>
      </c>
      <c r="O155" s="318">
        <f t="shared" si="169"/>
        <v>0</v>
      </c>
      <c r="P155" s="318">
        <f t="shared" si="134"/>
        <v>0</v>
      </c>
      <c r="Q155" s="318">
        <f t="shared" si="135"/>
        <v>0</v>
      </c>
      <c r="R155" s="318">
        <f t="shared" si="136"/>
        <v>0</v>
      </c>
      <c r="S155" s="318">
        <f t="shared" si="137"/>
        <v>0</v>
      </c>
      <c r="T155" s="318">
        <f t="shared" si="170"/>
        <v>0</v>
      </c>
      <c r="U155" s="318">
        <f t="shared" si="171"/>
        <v>0</v>
      </c>
      <c r="V155" s="318">
        <f t="shared" si="138"/>
        <v>0</v>
      </c>
      <c r="W155" s="318">
        <f t="shared" si="139"/>
        <v>0</v>
      </c>
      <c r="X155" s="318">
        <f t="shared" si="140"/>
        <v>0</v>
      </c>
      <c r="Y155" s="318">
        <f t="shared" si="141"/>
        <v>0</v>
      </c>
      <c r="Z155" s="318">
        <f t="shared" si="142"/>
        <v>0</v>
      </c>
      <c r="AA155" s="318">
        <f t="shared" si="143"/>
        <v>0</v>
      </c>
      <c r="AB155" s="318">
        <f t="shared" si="144"/>
        <v>0</v>
      </c>
      <c r="AC155" s="318">
        <f t="shared" si="145"/>
        <v>0</v>
      </c>
      <c r="AD155" s="318">
        <f t="shared" si="146"/>
        <v>0</v>
      </c>
      <c r="AE155" s="318">
        <f t="shared" si="147"/>
        <v>0</v>
      </c>
      <c r="AF155" s="318">
        <f t="shared" si="172"/>
        <v>0</v>
      </c>
      <c r="AG155" s="318">
        <f t="shared" si="173"/>
        <v>0</v>
      </c>
      <c r="AH155" s="318">
        <f t="shared" si="148"/>
        <v>0</v>
      </c>
      <c r="AI155" s="318">
        <f t="shared" si="149"/>
        <v>0</v>
      </c>
      <c r="AJ155" s="318">
        <f t="shared" si="150"/>
        <v>0</v>
      </c>
      <c r="AK155" s="318">
        <f t="shared" si="151"/>
        <v>0</v>
      </c>
      <c r="AL155" s="318">
        <f t="shared" si="152"/>
        <v>0</v>
      </c>
      <c r="AM155" s="318">
        <f t="shared" si="153"/>
        <v>0</v>
      </c>
      <c r="AN155" s="318">
        <f t="shared" si="154"/>
        <v>0</v>
      </c>
      <c r="AO155" s="318">
        <f t="shared" si="155"/>
        <v>0</v>
      </c>
      <c r="AP155" s="318">
        <f t="shared" si="156"/>
        <v>0</v>
      </c>
      <c r="AQ155" s="318">
        <f t="shared" si="157"/>
        <v>0</v>
      </c>
      <c r="AR155" s="318">
        <f t="shared" si="158"/>
        <v>0</v>
      </c>
      <c r="AS155" s="318">
        <f t="shared" si="159"/>
        <v>0</v>
      </c>
      <c r="AT155" s="318">
        <f t="shared" si="160"/>
        <v>0</v>
      </c>
      <c r="AU155" s="318">
        <f t="shared" si="161"/>
        <v>0</v>
      </c>
      <c r="AV155" s="318">
        <f t="shared" si="162"/>
        <v>0</v>
      </c>
      <c r="AW155" s="318">
        <f t="shared" si="163"/>
        <v>0</v>
      </c>
      <c r="AX155" s="318">
        <f t="shared" si="164"/>
        <v>0</v>
      </c>
      <c r="AY155" s="318">
        <f t="shared" si="165"/>
        <v>0</v>
      </c>
      <c r="AZ155" s="318">
        <f t="shared" si="166"/>
        <v>0</v>
      </c>
      <c r="BA155" s="318">
        <f t="shared" si="167"/>
        <v>0</v>
      </c>
    </row>
    <row r="156" spans="1:53" s="315" customFormat="1" ht="16.5" customHeight="1">
      <c r="A156" s="63" t="str">
        <f t="array" ref="A156">IF(C156&lt;&gt;0,SUM(($C$11:C156&lt;&gt;0)*1),"")</f>
        <v/>
      </c>
      <c r="B156" s="316"/>
      <c r="C156" s="316"/>
      <c r="D156" s="316"/>
      <c r="E156" s="436"/>
      <c r="F156" s="372"/>
      <c r="G156" s="374"/>
      <c r="H156" s="374"/>
      <c r="I156" s="63" t="str">
        <f t="shared" si="129"/>
        <v/>
      </c>
      <c r="J156" s="318">
        <f t="shared" si="130"/>
        <v>0</v>
      </c>
      <c r="K156" s="318">
        <f t="shared" si="131"/>
        <v>0</v>
      </c>
      <c r="L156" s="318">
        <f t="shared" si="132"/>
        <v>0</v>
      </c>
      <c r="M156" s="318">
        <f t="shared" si="133"/>
        <v>0</v>
      </c>
      <c r="N156" s="318">
        <f t="shared" si="168"/>
        <v>0</v>
      </c>
      <c r="O156" s="318">
        <f t="shared" si="169"/>
        <v>0</v>
      </c>
      <c r="P156" s="318">
        <f t="shared" si="134"/>
        <v>0</v>
      </c>
      <c r="Q156" s="318">
        <f t="shared" si="135"/>
        <v>0</v>
      </c>
      <c r="R156" s="318">
        <f t="shared" si="136"/>
        <v>0</v>
      </c>
      <c r="S156" s="318">
        <f t="shared" si="137"/>
        <v>0</v>
      </c>
      <c r="T156" s="318">
        <f t="shared" si="170"/>
        <v>0</v>
      </c>
      <c r="U156" s="318">
        <f t="shared" si="171"/>
        <v>0</v>
      </c>
      <c r="V156" s="318">
        <f t="shared" si="138"/>
        <v>0</v>
      </c>
      <c r="W156" s="318">
        <f t="shared" si="139"/>
        <v>0</v>
      </c>
      <c r="X156" s="318">
        <f t="shared" si="140"/>
        <v>0</v>
      </c>
      <c r="Y156" s="318">
        <f t="shared" si="141"/>
        <v>0</v>
      </c>
      <c r="Z156" s="318">
        <f t="shared" si="142"/>
        <v>0</v>
      </c>
      <c r="AA156" s="318">
        <f t="shared" si="143"/>
        <v>0</v>
      </c>
      <c r="AB156" s="318">
        <f t="shared" si="144"/>
        <v>0</v>
      </c>
      <c r="AC156" s="318">
        <f t="shared" si="145"/>
        <v>0</v>
      </c>
      <c r="AD156" s="318">
        <f t="shared" si="146"/>
        <v>0</v>
      </c>
      <c r="AE156" s="318">
        <f t="shared" si="147"/>
        <v>0</v>
      </c>
      <c r="AF156" s="318">
        <f t="shared" si="172"/>
        <v>0</v>
      </c>
      <c r="AG156" s="318">
        <f t="shared" si="173"/>
        <v>0</v>
      </c>
      <c r="AH156" s="318">
        <f t="shared" si="148"/>
        <v>0</v>
      </c>
      <c r="AI156" s="318">
        <f t="shared" si="149"/>
        <v>0</v>
      </c>
      <c r="AJ156" s="318">
        <f t="shared" si="150"/>
        <v>0</v>
      </c>
      <c r="AK156" s="318">
        <f t="shared" si="151"/>
        <v>0</v>
      </c>
      <c r="AL156" s="318">
        <f t="shared" si="152"/>
        <v>0</v>
      </c>
      <c r="AM156" s="318">
        <f t="shared" si="153"/>
        <v>0</v>
      </c>
      <c r="AN156" s="318">
        <f t="shared" si="154"/>
        <v>0</v>
      </c>
      <c r="AO156" s="318">
        <f t="shared" si="155"/>
        <v>0</v>
      </c>
      <c r="AP156" s="318">
        <f t="shared" si="156"/>
        <v>0</v>
      </c>
      <c r="AQ156" s="318">
        <f t="shared" si="157"/>
        <v>0</v>
      </c>
      <c r="AR156" s="318">
        <f t="shared" si="158"/>
        <v>0</v>
      </c>
      <c r="AS156" s="318">
        <f t="shared" si="159"/>
        <v>0</v>
      </c>
      <c r="AT156" s="318">
        <f t="shared" si="160"/>
        <v>0</v>
      </c>
      <c r="AU156" s="318">
        <f t="shared" si="161"/>
        <v>0</v>
      </c>
      <c r="AV156" s="318">
        <f t="shared" si="162"/>
        <v>0</v>
      </c>
      <c r="AW156" s="318">
        <f t="shared" si="163"/>
        <v>0</v>
      </c>
      <c r="AX156" s="318">
        <f t="shared" si="164"/>
        <v>0</v>
      </c>
      <c r="AY156" s="318">
        <f t="shared" si="165"/>
        <v>0</v>
      </c>
      <c r="AZ156" s="318">
        <f t="shared" si="166"/>
        <v>0</v>
      </c>
      <c r="BA156" s="318">
        <f t="shared" si="167"/>
        <v>0</v>
      </c>
    </row>
    <row r="157" spans="1:53" s="315" customFormat="1" ht="16.5" customHeight="1">
      <c r="A157" s="63" t="str">
        <f t="array" ref="A157">IF(C157&lt;&gt;0,SUM(($C$11:C157&lt;&gt;0)*1),"")</f>
        <v/>
      </c>
      <c r="B157" s="316"/>
      <c r="C157" s="316"/>
      <c r="D157" s="316"/>
      <c r="E157" s="436"/>
      <c r="F157" s="372"/>
      <c r="G157" s="374"/>
      <c r="H157" s="374"/>
      <c r="I157" s="63" t="str">
        <f t="shared" si="129"/>
        <v/>
      </c>
      <c r="J157" s="318">
        <f t="shared" si="130"/>
        <v>0</v>
      </c>
      <c r="K157" s="318">
        <f t="shared" si="131"/>
        <v>0</v>
      </c>
      <c r="L157" s="318">
        <f t="shared" si="132"/>
        <v>0</v>
      </c>
      <c r="M157" s="318">
        <f t="shared" si="133"/>
        <v>0</v>
      </c>
      <c r="N157" s="318">
        <f t="shared" si="168"/>
        <v>0</v>
      </c>
      <c r="O157" s="318">
        <f t="shared" si="169"/>
        <v>0</v>
      </c>
      <c r="P157" s="318">
        <f t="shared" si="134"/>
        <v>0</v>
      </c>
      <c r="Q157" s="318">
        <f t="shared" si="135"/>
        <v>0</v>
      </c>
      <c r="R157" s="318">
        <f t="shared" si="136"/>
        <v>0</v>
      </c>
      <c r="S157" s="318">
        <f t="shared" si="137"/>
        <v>0</v>
      </c>
      <c r="T157" s="318">
        <f t="shared" si="170"/>
        <v>0</v>
      </c>
      <c r="U157" s="318">
        <f t="shared" si="171"/>
        <v>0</v>
      </c>
      <c r="V157" s="318">
        <f t="shared" si="138"/>
        <v>0</v>
      </c>
      <c r="W157" s="318">
        <f t="shared" si="139"/>
        <v>0</v>
      </c>
      <c r="X157" s="318">
        <f t="shared" si="140"/>
        <v>0</v>
      </c>
      <c r="Y157" s="318">
        <f t="shared" si="141"/>
        <v>0</v>
      </c>
      <c r="Z157" s="318">
        <f t="shared" si="142"/>
        <v>0</v>
      </c>
      <c r="AA157" s="318">
        <f t="shared" si="143"/>
        <v>0</v>
      </c>
      <c r="AB157" s="318">
        <f t="shared" si="144"/>
        <v>0</v>
      </c>
      <c r="AC157" s="318">
        <f t="shared" si="145"/>
        <v>0</v>
      </c>
      <c r="AD157" s="318">
        <f t="shared" si="146"/>
        <v>0</v>
      </c>
      <c r="AE157" s="318">
        <f t="shared" si="147"/>
        <v>0</v>
      </c>
      <c r="AF157" s="318">
        <f t="shared" si="172"/>
        <v>0</v>
      </c>
      <c r="AG157" s="318">
        <f t="shared" si="173"/>
        <v>0</v>
      </c>
      <c r="AH157" s="318">
        <f t="shared" si="148"/>
        <v>0</v>
      </c>
      <c r="AI157" s="318">
        <f t="shared" si="149"/>
        <v>0</v>
      </c>
      <c r="AJ157" s="318">
        <f t="shared" si="150"/>
        <v>0</v>
      </c>
      <c r="AK157" s="318">
        <f t="shared" si="151"/>
        <v>0</v>
      </c>
      <c r="AL157" s="318">
        <f t="shared" si="152"/>
        <v>0</v>
      </c>
      <c r="AM157" s="318">
        <f t="shared" si="153"/>
        <v>0</v>
      </c>
      <c r="AN157" s="318">
        <f t="shared" si="154"/>
        <v>0</v>
      </c>
      <c r="AO157" s="318">
        <f t="shared" si="155"/>
        <v>0</v>
      </c>
      <c r="AP157" s="318">
        <f t="shared" si="156"/>
        <v>0</v>
      </c>
      <c r="AQ157" s="318">
        <f t="shared" si="157"/>
        <v>0</v>
      </c>
      <c r="AR157" s="318">
        <f t="shared" si="158"/>
        <v>0</v>
      </c>
      <c r="AS157" s="318">
        <f t="shared" si="159"/>
        <v>0</v>
      </c>
      <c r="AT157" s="318">
        <f t="shared" si="160"/>
        <v>0</v>
      </c>
      <c r="AU157" s="318">
        <f t="shared" si="161"/>
        <v>0</v>
      </c>
      <c r="AV157" s="318">
        <f t="shared" si="162"/>
        <v>0</v>
      </c>
      <c r="AW157" s="318">
        <f t="shared" si="163"/>
        <v>0</v>
      </c>
      <c r="AX157" s="318">
        <f t="shared" si="164"/>
        <v>0</v>
      </c>
      <c r="AY157" s="318">
        <f t="shared" si="165"/>
        <v>0</v>
      </c>
      <c r="AZ157" s="318">
        <f t="shared" si="166"/>
        <v>0</v>
      </c>
      <c r="BA157" s="318">
        <f t="shared" si="167"/>
        <v>0</v>
      </c>
    </row>
    <row r="158" spans="1:53" s="315" customFormat="1" ht="16.5" customHeight="1">
      <c r="A158" s="63" t="str">
        <f t="array" ref="A158">IF(C158&lt;&gt;0,SUM(($C$11:C158&lt;&gt;0)*1),"")</f>
        <v/>
      </c>
      <c r="B158" s="316"/>
      <c r="C158" s="316"/>
      <c r="D158" s="316"/>
      <c r="E158" s="436"/>
      <c r="F158" s="372"/>
      <c r="G158" s="374"/>
      <c r="H158" s="374"/>
      <c r="I158" s="63" t="str">
        <f t="shared" si="129"/>
        <v/>
      </c>
      <c r="J158" s="318">
        <f t="shared" si="130"/>
        <v>0</v>
      </c>
      <c r="K158" s="318">
        <f t="shared" si="131"/>
        <v>0</v>
      </c>
      <c r="L158" s="318">
        <f t="shared" si="132"/>
        <v>0</v>
      </c>
      <c r="M158" s="318">
        <f t="shared" si="133"/>
        <v>0</v>
      </c>
      <c r="N158" s="318">
        <f t="shared" si="168"/>
        <v>0</v>
      </c>
      <c r="O158" s="318">
        <f t="shared" si="169"/>
        <v>0</v>
      </c>
      <c r="P158" s="318">
        <f t="shared" si="134"/>
        <v>0</v>
      </c>
      <c r="Q158" s="318">
        <f t="shared" si="135"/>
        <v>0</v>
      </c>
      <c r="R158" s="318">
        <f t="shared" si="136"/>
        <v>0</v>
      </c>
      <c r="S158" s="318">
        <f t="shared" si="137"/>
        <v>0</v>
      </c>
      <c r="T158" s="318">
        <f t="shared" si="170"/>
        <v>0</v>
      </c>
      <c r="U158" s="318">
        <f t="shared" si="171"/>
        <v>0</v>
      </c>
      <c r="V158" s="318">
        <f t="shared" si="138"/>
        <v>0</v>
      </c>
      <c r="W158" s="318">
        <f t="shared" si="139"/>
        <v>0</v>
      </c>
      <c r="X158" s="318">
        <f t="shared" si="140"/>
        <v>0</v>
      </c>
      <c r="Y158" s="318">
        <f t="shared" si="141"/>
        <v>0</v>
      </c>
      <c r="Z158" s="318">
        <f t="shared" si="142"/>
        <v>0</v>
      </c>
      <c r="AA158" s="318">
        <f t="shared" si="143"/>
        <v>0</v>
      </c>
      <c r="AB158" s="318">
        <f t="shared" si="144"/>
        <v>0</v>
      </c>
      <c r="AC158" s="318">
        <f t="shared" si="145"/>
        <v>0</v>
      </c>
      <c r="AD158" s="318">
        <f t="shared" si="146"/>
        <v>0</v>
      </c>
      <c r="AE158" s="318">
        <f t="shared" si="147"/>
        <v>0</v>
      </c>
      <c r="AF158" s="318">
        <f t="shared" si="172"/>
        <v>0</v>
      </c>
      <c r="AG158" s="318">
        <f t="shared" si="173"/>
        <v>0</v>
      </c>
      <c r="AH158" s="318">
        <f t="shared" si="148"/>
        <v>0</v>
      </c>
      <c r="AI158" s="318">
        <f t="shared" si="149"/>
        <v>0</v>
      </c>
      <c r="AJ158" s="318">
        <f t="shared" si="150"/>
        <v>0</v>
      </c>
      <c r="AK158" s="318">
        <f t="shared" si="151"/>
        <v>0</v>
      </c>
      <c r="AL158" s="318">
        <f t="shared" si="152"/>
        <v>0</v>
      </c>
      <c r="AM158" s="318">
        <f t="shared" si="153"/>
        <v>0</v>
      </c>
      <c r="AN158" s="318">
        <f t="shared" si="154"/>
        <v>0</v>
      </c>
      <c r="AO158" s="318">
        <f t="shared" si="155"/>
        <v>0</v>
      </c>
      <c r="AP158" s="318">
        <f t="shared" si="156"/>
        <v>0</v>
      </c>
      <c r="AQ158" s="318">
        <f t="shared" si="157"/>
        <v>0</v>
      </c>
      <c r="AR158" s="318">
        <f t="shared" si="158"/>
        <v>0</v>
      </c>
      <c r="AS158" s="318">
        <f t="shared" si="159"/>
        <v>0</v>
      </c>
      <c r="AT158" s="318">
        <f t="shared" si="160"/>
        <v>0</v>
      </c>
      <c r="AU158" s="318">
        <f t="shared" si="161"/>
        <v>0</v>
      </c>
      <c r="AV158" s="318">
        <f t="shared" si="162"/>
        <v>0</v>
      </c>
      <c r="AW158" s="318">
        <f t="shared" si="163"/>
        <v>0</v>
      </c>
      <c r="AX158" s="318">
        <f t="shared" si="164"/>
        <v>0</v>
      </c>
      <c r="AY158" s="318">
        <f t="shared" si="165"/>
        <v>0</v>
      </c>
      <c r="AZ158" s="318">
        <f t="shared" si="166"/>
        <v>0</v>
      </c>
      <c r="BA158" s="318">
        <f t="shared" si="167"/>
        <v>0</v>
      </c>
    </row>
    <row r="159" spans="1:53" s="315" customFormat="1" ht="16.5" customHeight="1">
      <c r="A159" s="63" t="str">
        <f t="array" ref="A159">IF(C159&lt;&gt;0,SUM(($C$11:C159&lt;&gt;0)*1),"")</f>
        <v/>
      </c>
      <c r="B159" s="316"/>
      <c r="C159" s="316"/>
      <c r="D159" s="316"/>
      <c r="E159" s="436"/>
      <c r="F159" s="372"/>
      <c r="G159" s="374"/>
      <c r="H159" s="374"/>
      <c r="I159" s="63" t="str">
        <f t="shared" si="129"/>
        <v/>
      </c>
      <c r="J159" s="318">
        <f t="shared" si="130"/>
        <v>0</v>
      </c>
      <c r="K159" s="318">
        <f t="shared" si="131"/>
        <v>0</v>
      </c>
      <c r="L159" s="318">
        <f t="shared" si="132"/>
        <v>0</v>
      </c>
      <c r="M159" s="318">
        <f t="shared" si="133"/>
        <v>0</v>
      </c>
      <c r="N159" s="318">
        <f t="shared" si="168"/>
        <v>0</v>
      </c>
      <c r="O159" s="318">
        <f t="shared" si="169"/>
        <v>0</v>
      </c>
      <c r="P159" s="318">
        <f t="shared" si="134"/>
        <v>0</v>
      </c>
      <c r="Q159" s="318">
        <f t="shared" si="135"/>
        <v>0</v>
      </c>
      <c r="R159" s="318">
        <f t="shared" si="136"/>
        <v>0</v>
      </c>
      <c r="S159" s="318">
        <f t="shared" si="137"/>
        <v>0</v>
      </c>
      <c r="T159" s="318">
        <f t="shared" si="170"/>
        <v>0</v>
      </c>
      <c r="U159" s="318">
        <f t="shared" si="171"/>
        <v>0</v>
      </c>
      <c r="V159" s="318">
        <f t="shared" si="138"/>
        <v>0</v>
      </c>
      <c r="W159" s="318">
        <f t="shared" si="139"/>
        <v>0</v>
      </c>
      <c r="X159" s="318">
        <f t="shared" si="140"/>
        <v>0</v>
      </c>
      <c r="Y159" s="318">
        <f t="shared" si="141"/>
        <v>0</v>
      </c>
      <c r="Z159" s="318">
        <f t="shared" si="142"/>
        <v>0</v>
      </c>
      <c r="AA159" s="318">
        <f t="shared" si="143"/>
        <v>0</v>
      </c>
      <c r="AB159" s="318">
        <f t="shared" si="144"/>
        <v>0</v>
      </c>
      <c r="AC159" s="318">
        <f t="shared" si="145"/>
        <v>0</v>
      </c>
      <c r="AD159" s="318">
        <f t="shared" si="146"/>
        <v>0</v>
      </c>
      <c r="AE159" s="318">
        <f t="shared" si="147"/>
        <v>0</v>
      </c>
      <c r="AF159" s="318">
        <f t="shared" si="172"/>
        <v>0</v>
      </c>
      <c r="AG159" s="318">
        <f t="shared" si="173"/>
        <v>0</v>
      </c>
      <c r="AH159" s="318">
        <f t="shared" si="148"/>
        <v>0</v>
      </c>
      <c r="AI159" s="318">
        <f t="shared" si="149"/>
        <v>0</v>
      </c>
      <c r="AJ159" s="318">
        <f t="shared" si="150"/>
        <v>0</v>
      </c>
      <c r="AK159" s="318">
        <f t="shared" si="151"/>
        <v>0</v>
      </c>
      <c r="AL159" s="318">
        <f t="shared" si="152"/>
        <v>0</v>
      </c>
      <c r="AM159" s="318">
        <f t="shared" si="153"/>
        <v>0</v>
      </c>
      <c r="AN159" s="318">
        <f t="shared" si="154"/>
        <v>0</v>
      </c>
      <c r="AO159" s="318">
        <f t="shared" si="155"/>
        <v>0</v>
      </c>
      <c r="AP159" s="318">
        <f t="shared" si="156"/>
        <v>0</v>
      </c>
      <c r="AQ159" s="318">
        <f t="shared" si="157"/>
        <v>0</v>
      </c>
      <c r="AR159" s="318">
        <f t="shared" si="158"/>
        <v>0</v>
      </c>
      <c r="AS159" s="318">
        <f t="shared" si="159"/>
        <v>0</v>
      </c>
      <c r="AT159" s="318">
        <f t="shared" si="160"/>
        <v>0</v>
      </c>
      <c r="AU159" s="318">
        <f t="shared" si="161"/>
        <v>0</v>
      </c>
      <c r="AV159" s="318">
        <f t="shared" si="162"/>
        <v>0</v>
      </c>
      <c r="AW159" s="318">
        <f t="shared" si="163"/>
        <v>0</v>
      </c>
      <c r="AX159" s="318">
        <f t="shared" si="164"/>
        <v>0</v>
      </c>
      <c r="AY159" s="318">
        <f t="shared" si="165"/>
        <v>0</v>
      </c>
      <c r="AZ159" s="318">
        <f t="shared" si="166"/>
        <v>0</v>
      </c>
      <c r="BA159" s="318">
        <f t="shared" si="167"/>
        <v>0</v>
      </c>
    </row>
    <row r="160" spans="1:53" s="315" customFormat="1" ht="16.5" customHeight="1">
      <c r="A160" s="63" t="str">
        <f t="array" ref="A160">IF(C160&lt;&gt;0,SUM(($C$11:C160&lt;&gt;0)*1),"")</f>
        <v/>
      </c>
      <c r="B160" s="316"/>
      <c r="C160" s="316"/>
      <c r="D160" s="316"/>
      <c r="E160" s="436"/>
      <c r="F160" s="372"/>
      <c r="G160" s="374"/>
      <c r="H160" s="374"/>
      <c r="I160" s="63" t="str">
        <f t="shared" si="129"/>
        <v/>
      </c>
      <c r="J160" s="318">
        <f t="shared" si="130"/>
        <v>0</v>
      </c>
      <c r="K160" s="318">
        <f t="shared" si="131"/>
        <v>0</v>
      </c>
      <c r="L160" s="318">
        <f t="shared" si="132"/>
        <v>0</v>
      </c>
      <c r="M160" s="318">
        <f t="shared" si="133"/>
        <v>0</v>
      </c>
      <c r="N160" s="318">
        <f t="shared" si="168"/>
        <v>0</v>
      </c>
      <c r="O160" s="318">
        <f t="shared" si="169"/>
        <v>0</v>
      </c>
      <c r="P160" s="318">
        <f t="shared" si="134"/>
        <v>0</v>
      </c>
      <c r="Q160" s="318">
        <f t="shared" si="135"/>
        <v>0</v>
      </c>
      <c r="R160" s="318">
        <f t="shared" si="136"/>
        <v>0</v>
      </c>
      <c r="S160" s="318">
        <f t="shared" si="137"/>
        <v>0</v>
      </c>
      <c r="T160" s="318">
        <f t="shared" si="170"/>
        <v>0</v>
      </c>
      <c r="U160" s="318">
        <f t="shared" si="171"/>
        <v>0</v>
      </c>
      <c r="V160" s="318">
        <f t="shared" si="138"/>
        <v>0</v>
      </c>
      <c r="W160" s="318">
        <f t="shared" si="139"/>
        <v>0</v>
      </c>
      <c r="X160" s="318">
        <f t="shared" si="140"/>
        <v>0</v>
      </c>
      <c r="Y160" s="318">
        <f t="shared" si="141"/>
        <v>0</v>
      </c>
      <c r="Z160" s="318">
        <f t="shared" si="142"/>
        <v>0</v>
      </c>
      <c r="AA160" s="318">
        <f t="shared" si="143"/>
        <v>0</v>
      </c>
      <c r="AB160" s="318">
        <f t="shared" si="144"/>
        <v>0</v>
      </c>
      <c r="AC160" s="318">
        <f t="shared" si="145"/>
        <v>0</v>
      </c>
      <c r="AD160" s="318">
        <f t="shared" si="146"/>
        <v>0</v>
      </c>
      <c r="AE160" s="318">
        <f t="shared" si="147"/>
        <v>0</v>
      </c>
      <c r="AF160" s="318">
        <f t="shared" si="172"/>
        <v>0</v>
      </c>
      <c r="AG160" s="318">
        <f t="shared" si="173"/>
        <v>0</v>
      </c>
      <c r="AH160" s="318">
        <f t="shared" si="148"/>
        <v>0</v>
      </c>
      <c r="AI160" s="318">
        <f t="shared" si="149"/>
        <v>0</v>
      </c>
      <c r="AJ160" s="318">
        <f t="shared" si="150"/>
        <v>0</v>
      </c>
      <c r="AK160" s="318">
        <f t="shared" si="151"/>
        <v>0</v>
      </c>
      <c r="AL160" s="318">
        <f t="shared" si="152"/>
        <v>0</v>
      </c>
      <c r="AM160" s="318">
        <f t="shared" si="153"/>
        <v>0</v>
      </c>
      <c r="AN160" s="318">
        <f t="shared" si="154"/>
        <v>0</v>
      </c>
      <c r="AO160" s="318">
        <f t="shared" si="155"/>
        <v>0</v>
      </c>
      <c r="AP160" s="318">
        <f t="shared" si="156"/>
        <v>0</v>
      </c>
      <c r="AQ160" s="318">
        <f t="shared" si="157"/>
        <v>0</v>
      </c>
      <c r="AR160" s="318">
        <f t="shared" si="158"/>
        <v>0</v>
      </c>
      <c r="AS160" s="318">
        <f t="shared" si="159"/>
        <v>0</v>
      </c>
      <c r="AT160" s="318">
        <f t="shared" si="160"/>
        <v>0</v>
      </c>
      <c r="AU160" s="318">
        <f t="shared" si="161"/>
        <v>0</v>
      </c>
      <c r="AV160" s="318">
        <f t="shared" si="162"/>
        <v>0</v>
      </c>
      <c r="AW160" s="318">
        <f t="shared" si="163"/>
        <v>0</v>
      </c>
      <c r="AX160" s="318">
        <f t="shared" si="164"/>
        <v>0</v>
      </c>
      <c r="AY160" s="318">
        <f t="shared" si="165"/>
        <v>0</v>
      </c>
      <c r="AZ160" s="318">
        <f t="shared" si="166"/>
        <v>0</v>
      </c>
      <c r="BA160" s="318">
        <f t="shared" si="167"/>
        <v>0</v>
      </c>
    </row>
    <row r="161" spans="1:53" s="315" customFormat="1" ht="16.5" customHeight="1">
      <c r="A161" s="63" t="str">
        <f t="array" ref="A161">IF(C161&lt;&gt;0,SUM(($C$11:C161&lt;&gt;0)*1),"")</f>
        <v/>
      </c>
      <c r="B161" s="316"/>
      <c r="C161" s="316"/>
      <c r="D161" s="316"/>
      <c r="E161" s="436"/>
      <c r="F161" s="372"/>
      <c r="G161" s="374"/>
      <c r="H161" s="374"/>
      <c r="I161" s="63" t="str">
        <f t="shared" si="129"/>
        <v/>
      </c>
      <c r="J161" s="318">
        <f t="shared" si="130"/>
        <v>0</v>
      </c>
      <c r="K161" s="318">
        <f t="shared" si="131"/>
        <v>0</v>
      </c>
      <c r="L161" s="318">
        <f t="shared" si="132"/>
        <v>0</v>
      </c>
      <c r="M161" s="318">
        <f t="shared" si="133"/>
        <v>0</v>
      </c>
      <c r="N161" s="318">
        <f t="shared" si="168"/>
        <v>0</v>
      </c>
      <c r="O161" s="318">
        <f t="shared" si="169"/>
        <v>0</v>
      </c>
      <c r="P161" s="318">
        <f t="shared" si="134"/>
        <v>0</v>
      </c>
      <c r="Q161" s="318">
        <f t="shared" si="135"/>
        <v>0</v>
      </c>
      <c r="R161" s="318">
        <f t="shared" si="136"/>
        <v>0</v>
      </c>
      <c r="S161" s="318">
        <f t="shared" si="137"/>
        <v>0</v>
      </c>
      <c r="T161" s="318">
        <f t="shared" si="170"/>
        <v>0</v>
      </c>
      <c r="U161" s="318">
        <f t="shared" si="171"/>
        <v>0</v>
      </c>
      <c r="V161" s="318">
        <f t="shared" si="138"/>
        <v>0</v>
      </c>
      <c r="W161" s="318">
        <f t="shared" si="139"/>
        <v>0</v>
      </c>
      <c r="X161" s="318">
        <f t="shared" si="140"/>
        <v>0</v>
      </c>
      <c r="Y161" s="318">
        <f t="shared" si="141"/>
        <v>0</v>
      </c>
      <c r="Z161" s="318">
        <f t="shared" si="142"/>
        <v>0</v>
      </c>
      <c r="AA161" s="318">
        <f t="shared" si="143"/>
        <v>0</v>
      </c>
      <c r="AB161" s="318">
        <f t="shared" si="144"/>
        <v>0</v>
      </c>
      <c r="AC161" s="318">
        <f t="shared" si="145"/>
        <v>0</v>
      </c>
      <c r="AD161" s="318">
        <f t="shared" si="146"/>
        <v>0</v>
      </c>
      <c r="AE161" s="318">
        <f t="shared" si="147"/>
        <v>0</v>
      </c>
      <c r="AF161" s="318">
        <f t="shared" si="172"/>
        <v>0</v>
      </c>
      <c r="AG161" s="318">
        <f t="shared" si="173"/>
        <v>0</v>
      </c>
      <c r="AH161" s="318">
        <f t="shared" si="148"/>
        <v>0</v>
      </c>
      <c r="AI161" s="318">
        <f t="shared" si="149"/>
        <v>0</v>
      </c>
      <c r="AJ161" s="318">
        <f t="shared" si="150"/>
        <v>0</v>
      </c>
      <c r="AK161" s="318">
        <f t="shared" si="151"/>
        <v>0</v>
      </c>
      <c r="AL161" s="318">
        <f t="shared" si="152"/>
        <v>0</v>
      </c>
      <c r="AM161" s="318">
        <f t="shared" si="153"/>
        <v>0</v>
      </c>
      <c r="AN161" s="318">
        <f t="shared" si="154"/>
        <v>0</v>
      </c>
      <c r="AO161" s="318">
        <f t="shared" si="155"/>
        <v>0</v>
      </c>
      <c r="AP161" s="318">
        <f t="shared" si="156"/>
        <v>0</v>
      </c>
      <c r="AQ161" s="318">
        <f t="shared" si="157"/>
        <v>0</v>
      </c>
      <c r="AR161" s="318">
        <f t="shared" si="158"/>
        <v>0</v>
      </c>
      <c r="AS161" s="318">
        <f t="shared" si="159"/>
        <v>0</v>
      </c>
      <c r="AT161" s="318">
        <f t="shared" si="160"/>
        <v>0</v>
      </c>
      <c r="AU161" s="318">
        <f t="shared" si="161"/>
        <v>0</v>
      </c>
      <c r="AV161" s="318">
        <f t="shared" si="162"/>
        <v>0</v>
      </c>
      <c r="AW161" s="318">
        <f t="shared" si="163"/>
        <v>0</v>
      </c>
      <c r="AX161" s="318">
        <f t="shared" si="164"/>
        <v>0</v>
      </c>
      <c r="AY161" s="318">
        <f t="shared" si="165"/>
        <v>0</v>
      </c>
      <c r="AZ161" s="318">
        <f t="shared" si="166"/>
        <v>0</v>
      </c>
      <c r="BA161" s="318">
        <f t="shared" si="167"/>
        <v>0</v>
      </c>
    </row>
    <row r="162" spans="1:53" s="315" customFormat="1" ht="16.5" customHeight="1">
      <c r="A162" s="63" t="str">
        <f t="array" ref="A162">IF(C162&lt;&gt;0,SUM(($C$11:C162&lt;&gt;0)*1),"")</f>
        <v/>
      </c>
      <c r="B162" s="316"/>
      <c r="C162" s="316"/>
      <c r="D162" s="316"/>
      <c r="E162" s="436"/>
      <c r="F162" s="372"/>
      <c r="G162" s="374"/>
      <c r="H162" s="374"/>
      <c r="I162" s="63" t="str">
        <f t="shared" si="129"/>
        <v/>
      </c>
      <c r="J162" s="318">
        <f t="shared" si="130"/>
        <v>0</v>
      </c>
      <c r="K162" s="318">
        <f t="shared" si="131"/>
        <v>0</v>
      </c>
      <c r="L162" s="318">
        <f t="shared" si="132"/>
        <v>0</v>
      </c>
      <c r="M162" s="318">
        <f t="shared" si="133"/>
        <v>0</v>
      </c>
      <c r="N162" s="318">
        <f t="shared" si="168"/>
        <v>0</v>
      </c>
      <c r="O162" s="318">
        <f t="shared" si="169"/>
        <v>0</v>
      </c>
      <c r="P162" s="318">
        <f t="shared" si="134"/>
        <v>0</v>
      </c>
      <c r="Q162" s="318">
        <f t="shared" si="135"/>
        <v>0</v>
      </c>
      <c r="R162" s="318">
        <f t="shared" si="136"/>
        <v>0</v>
      </c>
      <c r="S162" s="318">
        <f t="shared" si="137"/>
        <v>0</v>
      </c>
      <c r="T162" s="318">
        <f t="shared" si="170"/>
        <v>0</v>
      </c>
      <c r="U162" s="318">
        <f t="shared" si="171"/>
        <v>0</v>
      </c>
      <c r="V162" s="318">
        <f t="shared" si="138"/>
        <v>0</v>
      </c>
      <c r="W162" s="318">
        <f t="shared" si="139"/>
        <v>0</v>
      </c>
      <c r="X162" s="318">
        <f t="shared" si="140"/>
        <v>0</v>
      </c>
      <c r="Y162" s="318">
        <f t="shared" si="141"/>
        <v>0</v>
      </c>
      <c r="Z162" s="318">
        <f t="shared" si="142"/>
        <v>0</v>
      </c>
      <c r="AA162" s="318">
        <f t="shared" si="143"/>
        <v>0</v>
      </c>
      <c r="AB162" s="318">
        <f t="shared" si="144"/>
        <v>0</v>
      </c>
      <c r="AC162" s="318">
        <f t="shared" si="145"/>
        <v>0</v>
      </c>
      <c r="AD162" s="318">
        <f t="shared" si="146"/>
        <v>0</v>
      </c>
      <c r="AE162" s="318">
        <f t="shared" si="147"/>
        <v>0</v>
      </c>
      <c r="AF162" s="318">
        <f t="shared" si="172"/>
        <v>0</v>
      </c>
      <c r="AG162" s="318">
        <f t="shared" si="173"/>
        <v>0</v>
      </c>
      <c r="AH162" s="318">
        <f t="shared" si="148"/>
        <v>0</v>
      </c>
      <c r="AI162" s="318">
        <f t="shared" si="149"/>
        <v>0</v>
      </c>
      <c r="AJ162" s="318">
        <f t="shared" si="150"/>
        <v>0</v>
      </c>
      <c r="AK162" s="318">
        <f t="shared" si="151"/>
        <v>0</v>
      </c>
      <c r="AL162" s="318">
        <f t="shared" si="152"/>
        <v>0</v>
      </c>
      <c r="AM162" s="318">
        <f t="shared" si="153"/>
        <v>0</v>
      </c>
      <c r="AN162" s="318">
        <f t="shared" si="154"/>
        <v>0</v>
      </c>
      <c r="AO162" s="318">
        <f t="shared" si="155"/>
        <v>0</v>
      </c>
      <c r="AP162" s="318">
        <f t="shared" si="156"/>
        <v>0</v>
      </c>
      <c r="AQ162" s="318">
        <f t="shared" si="157"/>
        <v>0</v>
      </c>
      <c r="AR162" s="318">
        <f t="shared" si="158"/>
        <v>0</v>
      </c>
      <c r="AS162" s="318">
        <f t="shared" si="159"/>
        <v>0</v>
      </c>
      <c r="AT162" s="318">
        <f t="shared" si="160"/>
        <v>0</v>
      </c>
      <c r="AU162" s="318">
        <f t="shared" si="161"/>
        <v>0</v>
      </c>
      <c r="AV162" s="318">
        <f t="shared" si="162"/>
        <v>0</v>
      </c>
      <c r="AW162" s="318">
        <f t="shared" si="163"/>
        <v>0</v>
      </c>
      <c r="AX162" s="318">
        <f t="shared" si="164"/>
        <v>0</v>
      </c>
      <c r="AY162" s="318">
        <f t="shared" si="165"/>
        <v>0</v>
      </c>
      <c r="AZ162" s="318">
        <f t="shared" si="166"/>
        <v>0</v>
      </c>
      <c r="BA162" s="318">
        <f t="shared" si="167"/>
        <v>0</v>
      </c>
    </row>
    <row r="163" spans="1:53" s="315" customFormat="1" ht="16.5" customHeight="1">
      <c r="A163" s="63" t="str">
        <f t="array" ref="A163">IF(C163&lt;&gt;0,SUM(($C$11:C163&lt;&gt;0)*1),"")</f>
        <v/>
      </c>
      <c r="B163" s="316"/>
      <c r="C163" s="316"/>
      <c r="D163" s="316"/>
      <c r="E163" s="436"/>
      <c r="F163" s="372"/>
      <c r="G163" s="374"/>
      <c r="H163" s="374"/>
      <c r="I163" s="63" t="str">
        <f t="shared" si="129"/>
        <v/>
      </c>
      <c r="J163" s="318">
        <f t="shared" si="130"/>
        <v>0</v>
      </c>
      <c r="K163" s="318">
        <f t="shared" si="131"/>
        <v>0</v>
      </c>
      <c r="L163" s="318">
        <f t="shared" si="132"/>
        <v>0</v>
      </c>
      <c r="M163" s="318">
        <f t="shared" si="133"/>
        <v>0</v>
      </c>
      <c r="N163" s="318">
        <f t="shared" si="168"/>
        <v>0</v>
      </c>
      <c r="O163" s="318">
        <f t="shared" si="169"/>
        <v>0</v>
      </c>
      <c r="P163" s="318">
        <f t="shared" si="134"/>
        <v>0</v>
      </c>
      <c r="Q163" s="318">
        <f t="shared" si="135"/>
        <v>0</v>
      </c>
      <c r="R163" s="318">
        <f t="shared" si="136"/>
        <v>0</v>
      </c>
      <c r="S163" s="318">
        <f t="shared" si="137"/>
        <v>0</v>
      </c>
      <c r="T163" s="318">
        <f t="shared" si="170"/>
        <v>0</v>
      </c>
      <c r="U163" s="318">
        <f t="shared" si="171"/>
        <v>0</v>
      </c>
      <c r="V163" s="318">
        <f t="shared" si="138"/>
        <v>0</v>
      </c>
      <c r="W163" s="318">
        <f t="shared" si="139"/>
        <v>0</v>
      </c>
      <c r="X163" s="318">
        <f t="shared" si="140"/>
        <v>0</v>
      </c>
      <c r="Y163" s="318">
        <f t="shared" si="141"/>
        <v>0</v>
      </c>
      <c r="Z163" s="318">
        <f t="shared" si="142"/>
        <v>0</v>
      </c>
      <c r="AA163" s="318">
        <f t="shared" si="143"/>
        <v>0</v>
      </c>
      <c r="AB163" s="318">
        <f t="shared" si="144"/>
        <v>0</v>
      </c>
      <c r="AC163" s="318">
        <f t="shared" si="145"/>
        <v>0</v>
      </c>
      <c r="AD163" s="318">
        <f t="shared" si="146"/>
        <v>0</v>
      </c>
      <c r="AE163" s="318">
        <f t="shared" si="147"/>
        <v>0</v>
      </c>
      <c r="AF163" s="318">
        <f t="shared" si="172"/>
        <v>0</v>
      </c>
      <c r="AG163" s="318">
        <f t="shared" si="173"/>
        <v>0</v>
      </c>
      <c r="AH163" s="318">
        <f t="shared" si="148"/>
        <v>0</v>
      </c>
      <c r="AI163" s="318">
        <f t="shared" si="149"/>
        <v>0</v>
      </c>
      <c r="AJ163" s="318">
        <f t="shared" si="150"/>
        <v>0</v>
      </c>
      <c r="AK163" s="318">
        <f t="shared" si="151"/>
        <v>0</v>
      </c>
      <c r="AL163" s="318">
        <f t="shared" si="152"/>
        <v>0</v>
      </c>
      <c r="AM163" s="318">
        <f t="shared" si="153"/>
        <v>0</v>
      </c>
      <c r="AN163" s="318">
        <f t="shared" si="154"/>
        <v>0</v>
      </c>
      <c r="AO163" s="318">
        <f t="shared" si="155"/>
        <v>0</v>
      </c>
      <c r="AP163" s="318">
        <f t="shared" si="156"/>
        <v>0</v>
      </c>
      <c r="AQ163" s="318">
        <f t="shared" si="157"/>
        <v>0</v>
      </c>
      <c r="AR163" s="318">
        <f t="shared" si="158"/>
        <v>0</v>
      </c>
      <c r="AS163" s="318">
        <f t="shared" si="159"/>
        <v>0</v>
      </c>
      <c r="AT163" s="318">
        <f t="shared" si="160"/>
        <v>0</v>
      </c>
      <c r="AU163" s="318">
        <f t="shared" si="161"/>
        <v>0</v>
      </c>
      <c r="AV163" s="318">
        <f t="shared" si="162"/>
        <v>0</v>
      </c>
      <c r="AW163" s="318">
        <f t="shared" si="163"/>
        <v>0</v>
      </c>
      <c r="AX163" s="318">
        <f t="shared" si="164"/>
        <v>0</v>
      </c>
      <c r="AY163" s="318">
        <f t="shared" si="165"/>
        <v>0</v>
      </c>
      <c r="AZ163" s="318">
        <f t="shared" si="166"/>
        <v>0</v>
      </c>
      <c r="BA163" s="318">
        <f t="shared" si="167"/>
        <v>0</v>
      </c>
    </row>
    <row r="164" spans="1:53" s="315" customFormat="1" ht="16.5" customHeight="1">
      <c r="A164" s="63" t="str">
        <f t="array" ref="A164">IF(C164&lt;&gt;0,SUM(($C$11:C164&lt;&gt;0)*1),"")</f>
        <v/>
      </c>
      <c r="B164" s="316"/>
      <c r="C164" s="316"/>
      <c r="D164" s="316"/>
      <c r="E164" s="436"/>
      <c r="F164" s="372"/>
      <c r="G164" s="374"/>
      <c r="H164" s="374"/>
      <c r="I164" s="63" t="str">
        <f t="shared" si="129"/>
        <v/>
      </c>
      <c r="J164" s="318">
        <f t="shared" si="130"/>
        <v>0</v>
      </c>
      <c r="K164" s="318">
        <f t="shared" si="131"/>
        <v>0</v>
      </c>
      <c r="L164" s="318">
        <f t="shared" si="132"/>
        <v>0</v>
      </c>
      <c r="M164" s="318">
        <f t="shared" si="133"/>
        <v>0</v>
      </c>
      <c r="N164" s="318">
        <f t="shared" si="168"/>
        <v>0</v>
      </c>
      <c r="O164" s="318">
        <f t="shared" si="169"/>
        <v>0</v>
      </c>
      <c r="P164" s="318">
        <f t="shared" si="134"/>
        <v>0</v>
      </c>
      <c r="Q164" s="318">
        <f t="shared" si="135"/>
        <v>0</v>
      </c>
      <c r="R164" s="318">
        <f t="shared" si="136"/>
        <v>0</v>
      </c>
      <c r="S164" s="318">
        <f t="shared" si="137"/>
        <v>0</v>
      </c>
      <c r="T164" s="318">
        <f t="shared" si="170"/>
        <v>0</v>
      </c>
      <c r="U164" s="318">
        <f t="shared" si="171"/>
        <v>0</v>
      </c>
      <c r="V164" s="318">
        <f t="shared" si="138"/>
        <v>0</v>
      </c>
      <c r="W164" s="318">
        <f t="shared" si="139"/>
        <v>0</v>
      </c>
      <c r="X164" s="318">
        <f t="shared" si="140"/>
        <v>0</v>
      </c>
      <c r="Y164" s="318">
        <f t="shared" si="141"/>
        <v>0</v>
      </c>
      <c r="Z164" s="318">
        <f t="shared" si="142"/>
        <v>0</v>
      </c>
      <c r="AA164" s="318">
        <f t="shared" si="143"/>
        <v>0</v>
      </c>
      <c r="AB164" s="318">
        <f t="shared" si="144"/>
        <v>0</v>
      </c>
      <c r="AC164" s="318">
        <f t="shared" si="145"/>
        <v>0</v>
      </c>
      <c r="AD164" s="318">
        <f t="shared" si="146"/>
        <v>0</v>
      </c>
      <c r="AE164" s="318">
        <f t="shared" si="147"/>
        <v>0</v>
      </c>
      <c r="AF164" s="318">
        <f t="shared" si="172"/>
        <v>0</v>
      </c>
      <c r="AG164" s="318">
        <f t="shared" si="173"/>
        <v>0</v>
      </c>
      <c r="AH164" s="318">
        <f t="shared" si="148"/>
        <v>0</v>
      </c>
      <c r="AI164" s="318">
        <f t="shared" si="149"/>
        <v>0</v>
      </c>
      <c r="AJ164" s="318">
        <f t="shared" si="150"/>
        <v>0</v>
      </c>
      <c r="AK164" s="318">
        <f t="shared" si="151"/>
        <v>0</v>
      </c>
      <c r="AL164" s="318">
        <f t="shared" si="152"/>
        <v>0</v>
      </c>
      <c r="AM164" s="318">
        <f t="shared" si="153"/>
        <v>0</v>
      </c>
      <c r="AN164" s="318">
        <f t="shared" si="154"/>
        <v>0</v>
      </c>
      <c r="AO164" s="318">
        <f t="shared" si="155"/>
        <v>0</v>
      </c>
      <c r="AP164" s="318">
        <f t="shared" si="156"/>
        <v>0</v>
      </c>
      <c r="AQ164" s="318">
        <f t="shared" si="157"/>
        <v>0</v>
      </c>
      <c r="AR164" s="318">
        <f t="shared" si="158"/>
        <v>0</v>
      </c>
      <c r="AS164" s="318">
        <f t="shared" si="159"/>
        <v>0</v>
      </c>
      <c r="AT164" s="318">
        <f t="shared" si="160"/>
        <v>0</v>
      </c>
      <c r="AU164" s="318">
        <f t="shared" si="161"/>
        <v>0</v>
      </c>
      <c r="AV164" s="318">
        <f t="shared" si="162"/>
        <v>0</v>
      </c>
      <c r="AW164" s="318">
        <f t="shared" si="163"/>
        <v>0</v>
      </c>
      <c r="AX164" s="318">
        <f t="shared" si="164"/>
        <v>0</v>
      </c>
      <c r="AY164" s="318">
        <f t="shared" si="165"/>
        <v>0</v>
      </c>
      <c r="AZ164" s="318">
        <f t="shared" si="166"/>
        <v>0</v>
      </c>
      <c r="BA164" s="318">
        <f t="shared" si="167"/>
        <v>0</v>
      </c>
    </row>
    <row r="165" spans="1:53" s="315" customFormat="1" ht="16.5" customHeight="1">
      <c r="A165" s="63" t="str">
        <f t="array" ref="A165">IF(C165&lt;&gt;0,SUM(($C$11:C165&lt;&gt;0)*1),"")</f>
        <v/>
      </c>
      <c r="B165" s="316"/>
      <c r="C165" s="316"/>
      <c r="D165" s="316"/>
      <c r="E165" s="436"/>
      <c r="F165" s="372"/>
      <c r="G165" s="374"/>
      <c r="H165" s="374"/>
      <c r="I165" s="63" t="str">
        <f t="shared" si="129"/>
        <v/>
      </c>
      <c r="J165" s="318">
        <f t="shared" si="130"/>
        <v>0</v>
      </c>
      <c r="K165" s="318">
        <f t="shared" si="131"/>
        <v>0</v>
      </c>
      <c r="L165" s="318">
        <f t="shared" si="132"/>
        <v>0</v>
      </c>
      <c r="M165" s="318">
        <f t="shared" si="133"/>
        <v>0</v>
      </c>
      <c r="N165" s="318">
        <f t="shared" si="168"/>
        <v>0</v>
      </c>
      <c r="O165" s="318">
        <f t="shared" si="169"/>
        <v>0</v>
      </c>
      <c r="P165" s="318">
        <f t="shared" si="134"/>
        <v>0</v>
      </c>
      <c r="Q165" s="318">
        <f t="shared" si="135"/>
        <v>0</v>
      </c>
      <c r="R165" s="318">
        <f t="shared" si="136"/>
        <v>0</v>
      </c>
      <c r="S165" s="318">
        <f t="shared" si="137"/>
        <v>0</v>
      </c>
      <c r="T165" s="318">
        <f t="shared" si="170"/>
        <v>0</v>
      </c>
      <c r="U165" s="318">
        <f t="shared" si="171"/>
        <v>0</v>
      </c>
      <c r="V165" s="318">
        <f t="shared" si="138"/>
        <v>0</v>
      </c>
      <c r="W165" s="318">
        <f t="shared" si="139"/>
        <v>0</v>
      </c>
      <c r="X165" s="318">
        <f t="shared" si="140"/>
        <v>0</v>
      </c>
      <c r="Y165" s="318">
        <f t="shared" si="141"/>
        <v>0</v>
      </c>
      <c r="Z165" s="318">
        <f t="shared" si="142"/>
        <v>0</v>
      </c>
      <c r="AA165" s="318">
        <f t="shared" si="143"/>
        <v>0</v>
      </c>
      <c r="AB165" s="318">
        <f t="shared" si="144"/>
        <v>0</v>
      </c>
      <c r="AC165" s="318">
        <f t="shared" si="145"/>
        <v>0</v>
      </c>
      <c r="AD165" s="318">
        <f t="shared" si="146"/>
        <v>0</v>
      </c>
      <c r="AE165" s="318">
        <f t="shared" si="147"/>
        <v>0</v>
      </c>
      <c r="AF165" s="318">
        <f t="shared" si="172"/>
        <v>0</v>
      </c>
      <c r="AG165" s="318">
        <f t="shared" si="173"/>
        <v>0</v>
      </c>
      <c r="AH165" s="318">
        <f t="shared" si="148"/>
        <v>0</v>
      </c>
      <c r="AI165" s="318">
        <f t="shared" si="149"/>
        <v>0</v>
      </c>
      <c r="AJ165" s="318">
        <f t="shared" si="150"/>
        <v>0</v>
      </c>
      <c r="AK165" s="318">
        <f t="shared" si="151"/>
        <v>0</v>
      </c>
      <c r="AL165" s="318">
        <f t="shared" si="152"/>
        <v>0</v>
      </c>
      <c r="AM165" s="318">
        <f t="shared" si="153"/>
        <v>0</v>
      </c>
      <c r="AN165" s="318">
        <f t="shared" si="154"/>
        <v>0</v>
      </c>
      <c r="AO165" s="318">
        <f t="shared" si="155"/>
        <v>0</v>
      </c>
      <c r="AP165" s="318">
        <f t="shared" si="156"/>
        <v>0</v>
      </c>
      <c r="AQ165" s="318">
        <f t="shared" si="157"/>
        <v>0</v>
      </c>
      <c r="AR165" s="318">
        <f t="shared" si="158"/>
        <v>0</v>
      </c>
      <c r="AS165" s="318">
        <f t="shared" si="159"/>
        <v>0</v>
      </c>
      <c r="AT165" s="318">
        <f t="shared" si="160"/>
        <v>0</v>
      </c>
      <c r="AU165" s="318">
        <f t="shared" si="161"/>
        <v>0</v>
      </c>
      <c r="AV165" s="318">
        <f t="shared" si="162"/>
        <v>0</v>
      </c>
      <c r="AW165" s="318">
        <f t="shared" si="163"/>
        <v>0</v>
      </c>
      <c r="AX165" s="318">
        <f t="shared" si="164"/>
        <v>0</v>
      </c>
      <c r="AY165" s="318">
        <f t="shared" si="165"/>
        <v>0</v>
      </c>
      <c r="AZ165" s="318">
        <f t="shared" si="166"/>
        <v>0</v>
      </c>
      <c r="BA165" s="318">
        <f t="shared" si="167"/>
        <v>0</v>
      </c>
    </row>
    <row r="166" spans="1:53" s="315" customFormat="1" ht="16.5" customHeight="1">
      <c r="A166" s="63" t="str">
        <f t="array" ref="A166">IF(C166&lt;&gt;0,SUM(($C$11:C166&lt;&gt;0)*1),"")</f>
        <v/>
      </c>
      <c r="B166" s="316"/>
      <c r="C166" s="316"/>
      <c r="D166" s="316"/>
      <c r="E166" s="436"/>
      <c r="F166" s="372"/>
      <c r="G166" s="374"/>
      <c r="H166" s="374"/>
      <c r="I166" s="63" t="str">
        <f t="shared" si="129"/>
        <v/>
      </c>
      <c r="J166" s="318">
        <f t="shared" si="130"/>
        <v>0</v>
      </c>
      <c r="K166" s="318">
        <f t="shared" si="131"/>
        <v>0</v>
      </c>
      <c r="L166" s="318">
        <f t="shared" si="132"/>
        <v>0</v>
      </c>
      <c r="M166" s="318">
        <f t="shared" si="133"/>
        <v>0</v>
      </c>
      <c r="N166" s="318">
        <f t="shared" si="168"/>
        <v>0</v>
      </c>
      <c r="O166" s="318">
        <f t="shared" si="169"/>
        <v>0</v>
      </c>
      <c r="P166" s="318">
        <f t="shared" si="134"/>
        <v>0</v>
      </c>
      <c r="Q166" s="318">
        <f t="shared" si="135"/>
        <v>0</v>
      </c>
      <c r="R166" s="318">
        <f t="shared" si="136"/>
        <v>0</v>
      </c>
      <c r="S166" s="318">
        <f t="shared" si="137"/>
        <v>0</v>
      </c>
      <c r="T166" s="318">
        <f t="shared" si="170"/>
        <v>0</v>
      </c>
      <c r="U166" s="318">
        <f t="shared" si="171"/>
        <v>0</v>
      </c>
      <c r="V166" s="318">
        <f t="shared" si="138"/>
        <v>0</v>
      </c>
      <c r="W166" s="318">
        <f t="shared" si="139"/>
        <v>0</v>
      </c>
      <c r="X166" s="318">
        <f t="shared" si="140"/>
        <v>0</v>
      </c>
      <c r="Y166" s="318">
        <f t="shared" si="141"/>
        <v>0</v>
      </c>
      <c r="Z166" s="318">
        <f t="shared" si="142"/>
        <v>0</v>
      </c>
      <c r="AA166" s="318">
        <f t="shared" si="143"/>
        <v>0</v>
      </c>
      <c r="AB166" s="318">
        <f t="shared" si="144"/>
        <v>0</v>
      </c>
      <c r="AC166" s="318">
        <f t="shared" si="145"/>
        <v>0</v>
      </c>
      <c r="AD166" s="318">
        <f t="shared" si="146"/>
        <v>0</v>
      </c>
      <c r="AE166" s="318">
        <f t="shared" si="147"/>
        <v>0</v>
      </c>
      <c r="AF166" s="318">
        <f t="shared" si="172"/>
        <v>0</v>
      </c>
      <c r="AG166" s="318">
        <f t="shared" si="173"/>
        <v>0</v>
      </c>
      <c r="AH166" s="318">
        <f t="shared" si="148"/>
        <v>0</v>
      </c>
      <c r="AI166" s="318">
        <f t="shared" si="149"/>
        <v>0</v>
      </c>
      <c r="AJ166" s="318">
        <f t="shared" si="150"/>
        <v>0</v>
      </c>
      <c r="AK166" s="318">
        <f t="shared" si="151"/>
        <v>0</v>
      </c>
      <c r="AL166" s="318">
        <f t="shared" si="152"/>
        <v>0</v>
      </c>
      <c r="AM166" s="318">
        <f t="shared" si="153"/>
        <v>0</v>
      </c>
      <c r="AN166" s="318">
        <f t="shared" si="154"/>
        <v>0</v>
      </c>
      <c r="AO166" s="318">
        <f t="shared" si="155"/>
        <v>0</v>
      </c>
      <c r="AP166" s="318">
        <f t="shared" si="156"/>
        <v>0</v>
      </c>
      <c r="AQ166" s="318">
        <f t="shared" si="157"/>
        <v>0</v>
      </c>
      <c r="AR166" s="318">
        <f t="shared" si="158"/>
        <v>0</v>
      </c>
      <c r="AS166" s="318">
        <f t="shared" si="159"/>
        <v>0</v>
      </c>
      <c r="AT166" s="318">
        <f t="shared" si="160"/>
        <v>0</v>
      </c>
      <c r="AU166" s="318">
        <f t="shared" si="161"/>
        <v>0</v>
      </c>
      <c r="AV166" s="318">
        <f t="shared" si="162"/>
        <v>0</v>
      </c>
      <c r="AW166" s="318">
        <f t="shared" si="163"/>
        <v>0</v>
      </c>
      <c r="AX166" s="318">
        <f t="shared" si="164"/>
        <v>0</v>
      </c>
      <c r="AY166" s="318">
        <f t="shared" si="165"/>
        <v>0</v>
      </c>
      <c r="AZ166" s="318">
        <f t="shared" si="166"/>
        <v>0</v>
      </c>
      <c r="BA166" s="318">
        <f t="shared" si="167"/>
        <v>0</v>
      </c>
    </row>
    <row r="167" spans="1:53" s="315" customFormat="1" ht="16.5" customHeight="1">
      <c r="A167" s="63" t="str">
        <f t="array" ref="A167">IF(C167&lt;&gt;0,SUM(($C$11:C167&lt;&gt;0)*1),"")</f>
        <v/>
      </c>
      <c r="B167" s="316"/>
      <c r="C167" s="316"/>
      <c r="D167" s="316"/>
      <c r="E167" s="436"/>
      <c r="F167" s="372"/>
      <c r="G167" s="374"/>
      <c r="H167" s="374"/>
      <c r="I167" s="63" t="str">
        <f t="shared" si="129"/>
        <v/>
      </c>
      <c r="J167" s="318">
        <f t="shared" si="130"/>
        <v>0</v>
      </c>
      <c r="K167" s="318">
        <f t="shared" si="131"/>
        <v>0</v>
      </c>
      <c r="L167" s="318">
        <f t="shared" si="132"/>
        <v>0</v>
      </c>
      <c r="M167" s="318">
        <f t="shared" si="133"/>
        <v>0</v>
      </c>
      <c r="N167" s="318">
        <f t="shared" si="168"/>
        <v>0</v>
      </c>
      <c r="O167" s="318">
        <f t="shared" si="169"/>
        <v>0</v>
      </c>
      <c r="P167" s="318">
        <f t="shared" si="134"/>
        <v>0</v>
      </c>
      <c r="Q167" s="318">
        <f t="shared" si="135"/>
        <v>0</v>
      </c>
      <c r="R167" s="318">
        <f t="shared" si="136"/>
        <v>0</v>
      </c>
      <c r="S167" s="318">
        <f t="shared" si="137"/>
        <v>0</v>
      </c>
      <c r="T167" s="318">
        <f t="shared" si="170"/>
        <v>0</v>
      </c>
      <c r="U167" s="318">
        <f t="shared" si="171"/>
        <v>0</v>
      </c>
      <c r="V167" s="318">
        <f t="shared" si="138"/>
        <v>0</v>
      </c>
      <c r="W167" s="318">
        <f t="shared" si="139"/>
        <v>0</v>
      </c>
      <c r="X167" s="318">
        <f t="shared" si="140"/>
        <v>0</v>
      </c>
      <c r="Y167" s="318">
        <f t="shared" si="141"/>
        <v>0</v>
      </c>
      <c r="Z167" s="318">
        <f t="shared" si="142"/>
        <v>0</v>
      </c>
      <c r="AA167" s="318">
        <f t="shared" si="143"/>
        <v>0</v>
      </c>
      <c r="AB167" s="318">
        <f t="shared" si="144"/>
        <v>0</v>
      </c>
      <c r="AC167" s="318">
        <f t="shared" si="145"/>
        <v>0</v>
      </c>
      <c r="AD167" s="318">
        <f t="shared" si="146"/>
        <v>0</v>
      </c>
      <c r="AE167" s="318">
        <f t="shared" si="147"/>
        <v>0</v>
      </c>
      <c r="AF167" s="318">
        <f t="shared" si="172"/>
        <v>0</v>
      </c>
      <c r="AG167" s="318">
        <f t="shared" si="173"/>
        <v>0</v>
      </c>
      <c r="AH167" s="318">
        <f t="shared" si="148"/>
        <v>0</v>
      </c>
      <c r="AI167" s="318">
        <f t="shared" si="149"/>
        <v>0</v>
      </c>
      <c r="AJ167" s="318">
        <f t="shared" si="150"/>
        <v>0</v>
      </c>
      <c r="AK167" s="318">
        <f t="shared" si="151"/>
        <v>0</v>
      </c>
      <c r="AL167" s="318">
        <f t="shared" si="152"/>
        <v>0</v>
      </c>
      <c r="AM167" s="318">
        <f t="shared" si="153"/>
        <v>0</v>
      </c>
      <c r="AN167" s="318">
        <f t="shared" si="154"/>
        <v>0</v>
      </c>
      <c r="AO167" s="318">
        <f t="shared" si="155"/>
        <v>0</v>
      </c>
      <c r="AP167" s="318">
        <f t="shared" si="156"/>
        <v>0</v>
      </c>
      <c r="AQ167" s="318">
        <f t="shared" si="157"/>
        <v>0</v>
      </c>
      <c r="AR167" s="318">
        <f t="shared" si="158"/>
        <v>0</v>
      </c>
      <c r="AS167" s="318">
        <f t="shared" si="159"/>
        <v>0</v>
      </c>
      <c r="AT167" s="318">
        <f t="shared" si="160"/>
        <v>0</v>
      </c>
      <c r="AU167" s="318">
        <f t="shared" si="161"/>
        <v>0</v>
      </c>
      <c r="AV167" s="318">
        <f t="shared" si="162"/>
        <v>0</v>
      </c>
      <c r="AW167" s="318">
        <f t="shared" si="163"/>
        <v>0</v>
      </c>
      <c r="AX167" s="318">
        <f t="shared" si="164"/>
        <v>0</v>
      </c>
      <c r="AY167" s="318">
        <f t="shared" si="165"/>
        <v>0</v>
      </c>
      <c r="AZ167" s="318">
        <f t="shared" si="166"/>
        <v>0</v>
      </c>
      <c r="BA167" s="318">
        <f t="shared" si="167"/>
        <v>0</v>
      </c>
    </row>
    <row r="168" spans="1:53" s="315" customFormat="1" ht="16.5" customHeight="1">
      <c r="A168" s="63" t="str">
        <f t="array" ref="A168">IF(C168&lt;&gt;0,SUM(($C$11:C168&lt;&gt;0)*1),"")</f>
        <v/>
      </c>
      <c r="B168" s="316"/>
      <c r="C168" s="316"/>
      <c r="D168" s="316"/>
      <c r="E168" s="436"/>
      <c r="F168" s="372"/>
      <c r="G168" s="374"/>
      <c r="H168" s="374"/>
      <c r="I168" s="63" t="str">
        <f t="shared" si="129"/>
        <v/>
      </c>
      <c r="J168" s="318">
        <f t="shared" si="130"/>
        <v>0</v>
      </c>
      <c r="K168" s="318">
        <f t="shared" si="131"/>
        <v>0</v>
      </c>
      <c r="L168" s="318">
        <f t="shared" si="132"/>
        <v>0</v>
      </c>
      <c r="M168" s="318">
        <f t="shared" si="133"/>
        <v>0</v>
      </c>
      <c r="N168" s="318">
        <f t="shared" si="168"/>
        <v>0</v>
      </c>
      <c r="O168" s="318">
        <f t="shared" si="169"/>
        <v>0</v>
      </c>
      <c r="P168" s="318">
        <f t="shared" si="134"/>
        <v>0</v>
      </c>
      <c r="Q168" s="318">
        <f t="shared" si="135"/>
        <v>0</v>
      </c>
      <c r="R168" s="318">
        <f t="shared" si="136"/>
        <v>0</v>
      </c>
      <c r="S168" s="318">
        <f t="shared" si="137"/>
        <v>0</v>
      </c>
      <c r="T168" s="318">
        <f t="shared" si="170"/>
        <v>0</v>
      </c>
      <c r="U168" s="318">
        <f t="shared" si="171"/>
        <v>0</v>
      </c>
      <c r="V168" s="318">
        <f t="shared" si="138"/>
        <v>0</v>
      </c>
      <c r="W168" s="318">
        <f t="shared" si="139"/>
        <v>0</v>
      </c>
      <c r="X168" s="318">
        <f t="shared" si="140"/>
        <v>0</v>
      </c>
      <c r="Y168" s="318">
        <f t="shared" si="141"/>
        <v>0</v>
      </c>
      <c r="Z168" s="318">
        <f t="shared" si="142"/>
        <v>0</v>
      </c>
      <c r="AA168" s="318">
        <f t="shared" si="143"/>
        <v>0</v>
      </c>
      <c r="AB168" s="318">
        <f t="shared" si="144"/>
        <v>0</v>
      </c>
      <c r="AC168" s="318">
        <f t="shared" si="145"/>
        <v>0</v>
      </c>
      <c r="AD168" s="318">
        <f t="shared" si="146"/>
        <v>0</v>
      </c>
      <c r="AE168" s="318">
        <f t="shared" si="147"/>
        <v>0</v>
      </c>
      <c r="AF168" s="318">
        <f t="shared" si="172"/>
        <v>0</v>
      </c>
      <c r="AG168" s="318">
        <f t="shared" si="173"/>
        <v>0</v>
      </c>
      <c r="AH168" s="318">
        <f t="shared" si="148"/>
        <v>0</v>
      </c>
      <c r="AI168" s="318">
        <f t="shared" si="149"/>
        <v>0</v>
      </c>
      <c r="AJ168" s="318">
        <f t="shared" si="150"/>
        <v>0</v>
      </c>
      <c r="AK168" s="318">
        <f t="shared" si="151"/>
        <v>0</v>
      </c>
      <c r="AL168" s="318">
        <f t="shared" si="152"/>
        <v>0</v>
      </c>
      <c r="AM168" s="318">
        <f t="shared" si="153"/>
        <v>0</v>
      </c>
      <c r="AN168" s="318">
        <f t="shared" si="154"/>
        <v>0</v>
      </c>
      <c r="AO168" s="318">
        <f t="shared" si="155"/>
        <v>0</v>
      </c>
      <c r="AP168" s="318">
        <f t="shared" si="156"/>
        <v>0</v>
      </c>
      <c r="AQ168" s="318">
        <f t="shared" si="157"/>
        <v>0</v>
      </c>
      <c r="AR168" s="318">
        <f t="shared" si="158"/>
        <v>0</v>
      </c>
      <c r="AS168" s="318">
        <f t="shared" si="159"/>
        <v>0</v>
      </c>
      <c r="AT168" s="318">
        <f t="shared" si="160"/>
        <v>0</v>
      </c>
      <c r="AU168" s="318">
        <f t="shared" si="161"/>
        <v>0</v>
      </c>
      <c r="AV168" s="318">
        <f t="shared" si="162"/>
        <v>0</v>
      </c>
      <c r="AW168" s="318">
        <f t="shared" si="163"/>
        <v>0</v>
      </c>
      <c r="AX168" s="318">
        <f t="shared" si="164"/>
        <v>0</v>
      </c>
      <c r="AY168" s="318">
        <f t="shared" si="165"/>
        <v>0</v>
      </c>
      <c r="AZ168" s="318">
        <f t="shared" si="166"/>
        <v>0</v>
      </c>
      <c r="BA168" s="318">
        <f t="shared" si="167"/>
        <v>0</v>
      </c>
    </row>
    <row r="169" spans="1:53" s="315" customFormat="1" ht="16.5" customHeight="1">
      <c r="A169" s="63" t="str">
        <f t="array" ref="A169">IF(C169&lt;&gt;0,SUM(($C$11:C169&lt;&gt;0)*1),"")</f>
        <v/>
      </c>
      <c r="B169" s="316"/>
      <c r="C169" s="316"/>
      <c r="D169" s="316"/>
      <c r="E169" s="436"/>
      <c r="F169" s="372"/>
      <c r="G169" s="374"/>
      <c r="H169" s="374"/>
      <c r="I169" s="63" t="str">
        <f t="shared" si="129"/>
        <v/>
      </c>
      <c r="J169" s="318">
        <f t="shared" si="130"/>
        <v>0</v>
      </c>
      <c r="K169" s="318">
        <f t="shared" si="131"/>
        <v>0</v>
      </c>
      <c r="L169" s="318">
        <f t="shared" si="132"/>
        <v>0</v>
      </c>
      <c r="M169" s="318">
        <f t="shared" si="133"/>
        <v>0</v>
      </c>
      <c r="N169" s="318">
        <f t="shared" si="168"/>
        <v>0</v>
      </c>
      <c r="O169" s="318">
        <f t="shared" si="169"/>
        <v>0</v>
      </c>
      <c r="P169" s="318">
        <f t="shared" si="134"/>
        <v>0</v>
      </c>
      <c r="Q169" s="318">
        <f t="shared" si="135"/>
        <v>0</v>
      </c>
      <c r="R169" s="318">
        <f t="shared" si="136"/>
        <v>0</v>
      </c>
      <c r="S169" s="318">
        <f t="shared" si="137"/>
        <v>0</v>
      </c>
      <c r="T169" s="318">
        <f t="shared" si="170"/>
        <v>0</v>
      </c>
      <c r="U169" s="318">
        <f t="shared" si="171"/>
        <v>0</v>
      </c>
      <c r="V169" s="318">
        <f t="shared" si="138"/>
        <v>0</v>
      </c>
      <c r="W169" s="318">
        <f t="shared" si="139"/>
        <v>0</v>
      </c>
      <c r="X169" s="318">
        <f t="shared" si="140"/>
        <v>0</v>
      </c>
      <c r="Y169" s="318">
        <f t="shared" si="141"/>
        <v>0</v>
      </c>
      <c r="Z169" s="318">
        <f t="shared" si="142"/>
        <v>0</v>
      </c>
      <c r="AA169" s="318">
        <f t="shared" si="143"/>
        <v>0</v>
      </c>
      <c r="AB169" s="318">
        <f t="shared" si="144"/>
        <v>0</v>
      </c>
      <c r="AC169" s="318">
        <f t="shared" si="145"/>
        <v>0</v>
      </c>
      <c r="AD169" s="318">
        <f t="shared" si="146"/>
        <v>0</v>
      </c>
      <c r="AE169" s="318">
        <f t="shared" si="147"/>
        <v>0</v>
      </c>
      <c r="AF169" s="318">
        <f t="shared" si="172"/>
        <v>0</v>
      </c>
      <c r="AG169" s="318">
        <f t="shared" si="173"/>
        <v>0</v>
      </c>
      <c r="AH169" s="318">
        <f t="shared" si="148"/>
        <v>0</v>
      </c>
      <c r="AI169" s="318">
        <f t="shared" si="149"/>
        <v>0</v>
      </c>
      <c r="AJ169" s="318">
        <f t="shared" si="150"/>
        <v>0</v>
      </c>
      <c r="AK169" s="318">
        <f t="shared" si="151"/>
        <v>0</v>
      </c>
      <c r="AL169" s="318">
        <f t="shared" si="152"/>
        <v>0</v>
      </c>
      <c r="AM169" s="318">
        <f t="shared" si="153"/>
        <v>0</v>
      </c>
      <c r="AN169" s="318">
        <f t="shared" si="154"/>
        <v>0</v>
      </c>
      <c r="AO169" s="318">
        <f t="shared" si="155"/>
        <v>0</v>
      </c>
      <c r="AP169" s="318">
        <f t="shared" si="156"/>
        <v>0</v>
      </c>
      <c r="AQ169" s="318">
        <f t="shared" si="157"/>
        <v>0</v>
      </c>
      <c r="AR169" s="318">
        <f t="shared" si="158"/>
        <v>0</v>
      </c>
      <c r="AS169" s="318">
        <f t="shared" si="159"/>
        <v>0</v>
      </c>
      <c r="AT169" s="318">
        <f t="shared" si="160"/>
        <v>0</v>
      </c>
      <c r="AU169" s="318">
        <f t="shared" si="161"/>
        <v>0</v>
      </c>
      <c r="AV169" s="318">
        <f t="shared" si="162"/>
        <v>0</v>
      </c>
      <c r="AW169" s="318">
        <f t="shared" si="163"/>
        <v>0</v>
      </c>
      <c r="AX169" s="318">
        <f t="shared" si="164"/>
        <v>0</v>
      </c>
      <c r="AY169" s="318">
        <f t="shared" si="165"/>
        <v>0</v>
      </c>
      <c r="AZ169" s="318">
        <f t="shared" si="166"/>
        <v>0</v>
      </c>
      <c r="BA169" s="318">
        <f t="shared" si="167"/>
        <v>0</v>
      </c>
    </row>
    <row r="170" spans="1:53" s="315" customFormat="1" ht="16.5" customHeight="1">
      <c r="A170" s="63" t="str">
        <f t="array" ref="A170">IF(C170&lt;&gt;0,SUM(($C$11:C170&lt;&gt;0)*1),"")</f>
        <v/>
      </c>
      <c r="B170" s="316"/>
      <c r="C170" s="316"/>
      <c r="D170" s="316"/>
      <c r="E170" s="436"/>
      <c r="F170" s="372"/>
      <c r="G170" s="374"/>
      <c r="H170" s="374"/>
      <c r="I170" s="63" t="str">
        <f t="shared" si="129"/>
        <v/>
      </c>
      <c r="J170" s="318">
        <f t="shared" si="130"/>
        <v>0</v>
      </c>
      <c r="K170" s="318">
        <f t="shared" si="131"/>
        <v>0</v>
      </c>
      <c r="L170" s="318">
        <f t="shared" si="132"/>
        <v>0</v>
      </c>
      <c r="M170" s="318">
        <f t="shared" si="133"/>
        <v>0</v>
      </c>
      <c r="N170" s="318">
        <f t="shared" si="168"/>
        <v>0</v>
      </c>
      <c r="O170" s="318">
        <f t="shared" si="169"/>
        <v>0</v>
      </c>
      <c r="P170" s="318">
        <f t="shared" si="134"/>
        <v>0</v>
      </c>
      <c r="Q170" s="318">
        <f t="shared" si="135"/>
        <v>0</v>
      </c>
      <c r="R170" s="318">
        <f t="shared" si="136"/>
        <v>0</v>
      </c>
      <c r="S170" s="318">
        <f t="shared" si="137"/>
        <v>0</v>
      </c>
      <c r="T170" s="318">
        <f t="shared" si="170"/>
        <v>0</v>
      </c>
      <c r="U170" s="318">
        <f t="shared" si="171"/>
        <v>0</v>
      </c>
      <c r="V170" s="318">
        <f t="shared" si="138"/>
        <v>0</v>
      </c>
      <c r="W170" s="318">
        <f t="shared" si="139"/>
        <v>0</v>
      </c>
      <c r="X170" s="318">
        <f t="shared" si="140"/>
        <v>0</v>
      </c>
      <c r="Y170" s="318">
        <f t="shared" si="141"/>
        <v>0</v>
      </c>
      <c r="Z170" s="318">
        <f t="shared" si="142"/>
        <v>0</v>
      </c>
      <c r="AA170" s="318">
        <f t="shared" si="143"/>
        <v>0</v>
      </c>
      <c r="AB170" s="318">
        <f t="shared" si="144"/>
        <v>0</v>
      </c>
      <c r="AC170" s="318">
        <f t="shared" si="145"/>
        <v>0</v>
      </c>
      <c r="AD170" s="318">
        <f t="shared" si="146"/>
        <v>0</v>
      </c>
      <c r="AE170" s="318">
        <f t="shared" si="147"/>
        <v>0</v>
      </c>
      <c r="AF170" s="318">
        <f t="shared" si="172"/>
        <v>0</v>
      </c>
      <c r="AG170" s="318">
        <f t="shared" si="173"/>
        <v>0</v>
      </c>
      <c r="AH170" s="318">
        <f t="shared" si="148"/>
        <v>0</v>
      </c>
      <c r="AI170" s="318">
        <f t="shared" si="149"/>
        <v>0</v>
      </c>
      <c r="AJ170" s="318">
        <f t="shared" si="150"/>
        <v>0</v>
      </c>
      <c r="AK170" s="318">
        <f t="shared" si="151"/>
        <v>0</v>
      </c>
      <c r="AL170" s="318">
        <f t="shared" si="152"/>
        <v>0</v>
      </c>
      <c r="AM170" s="318">
        <f t="shared" si="153"/>
        <v>0</v>
      </c>
      <c r="AN170" s="318">
        <f t="shared" si="154"/>
        <v>0</v>
      </c>
      <c r="AO170" s="318">
        <f t="shared" si="155"/>
        <v>0</v>
      </c>
      <c r="AP170" s="318">
        <f t="shared" si="156"/>
        <v>0</v>
      </c>
      <c r="AQ170" s="318">
        <f t="shared" si="157"/>
        <v>0</v>
      </c>
      <c r="AR170" s="318">
        <f t="shared" si="158"/>
        <v>0</v>
      </c>
      <c r="AS170" s="318">
        <f t="shared" si="159"/>
        <v>0</v>
      </c>
      <c r="AT170" s="318">
        <f t="shared" si="160"/>
        <v>0</v>
      </c>
      <c r="AU170" s="318">
        <f t="shared" si="161"/>
        <v>0</v>
      </c>
      <c r="AV170" s="318">
        <f t="shared" si="162"/>
        <v>0</v>
      </c>
      <c r="AW170" s="318">
        <f t="shared" si="163"/>
        <v>0</v>
      </c>
      <c r="AX170" s="318">
        <f t="shared" si="164"/>
        <v>0</v>
      </c>
      <c r="AY170" s="318">
        <f t="shared" si="165"/>
        <v>0</v>
      </c>
      <c r="AZ170" s="318">
        <f t="shared" si="166"/>
        <v>0</v>
      </c>
      <c r="BA170" s="318">
        <f t="shared" si="167"/>
        <v>0</v>
      </c>
    </row>
    <row r="171" spans="1:53" s="315" customFormat="1" ht="16.5" customHeight="1">
      <c r="A171" s="63" t="str">
        <f t="array" ref="A171">IF(C171&lt;&gt;0,SUM(($C$11:C171&lt;&gt;0)*1),"")</f>
        <v/>
      </c>
      <c r="B171" s="316"/>
      <c r="C171" s="316"/>
      <c r="D171" s="316"/>
      <c r="E171" s="436"/>
      <c r="F171" s="372"/>
      <c r="G171" s="374"/>
      <c r="H171" s="374"/>
      <c r="I171" s="63" t="str">
        <f t="shared" si="129"/>
        <v/>
      </c>
      <c r="J171" s="318">
        <f t="shared" si="130"/>
        <v>0</v>
      </c>
      <c r="K171" s="318">
        <f t="shared" si="131"/>
        <v>0</v>
      </c>
      <c r="L171" s="318">
        <f t="shared" si="132"/>
        <v>0</v>
      </c>
      <c r="M171" s="318">
        <f t="shared" si="133"/>
        <v>0</v>
      </c>
      <c r="N171" s="318">
        <f t="shared" si="168"/>
        <v>0</v>
      </c>
      <c r="O171" s="318">
        <f t="shared" si="169"/>
        <v>0</v>
      </c>
      <c r="P171" s="318">
        <f t="shared" si="134"/>
        <v>0</v>
      </c>
      <c r="Q171" s="318">
        <f t="shared" si="135"/>
        <v>0</v>
      </c>
      <c r="R171" s="318">
        <f t="shared" si="136"/>
        <v>0</v>
      </c>
      <c r="S171" s="318">
        <f t="shared" si="137"/>
        <v>0</v>
      </c>
      <c r="T171" s="318">
        <f t="shared" si="170"/>
        <v>0</v>
      </c>
      <c r="U171" s="318">
        <f t="shared" si="171"/>
        <v>0</v>
      </c>
      <c r="V171" s="318">
        <f t="shared" si="138"/>
        <v>0</v>
      </c>
      <c r="W171" s="318">
        <f t="shared" si="139"/>
        <v>0</v>
      </c>
      <c r="X171" s="318">
        <f t="shared" si="140"/>
        <v>0</v>
      </c>
      <c r="Y171" s="318">
        <f t="shared" si="141"/>
        <v>0</v>
      </c>
      <c r="Z171" s="318">
        <f t="shared" si="142"/>
        <v>0</v>
      </c>
      <c r="AA171" s="318">
        <f t="shared" si="143"/>
        <v>0</v>
      </c>
      <c r="AB171" s="318">
        <f t="shared" si="144"/>
        <v>0</v>
      </c>
      <c r="AC171" s="318">
        <f t="shared" si="145"/>
        <v>0</v>
      </c>
      <c r="AD171" s="318">
        <f t="shared" si="146"/>
        <v>0</v>
      </c>
      <c r="AE171" s="318">
        <f t="shared" si="147"/>
        <v>0</v>
      </c>
      <c r="AF171" s="318">
        <f t="shared" si="172"/>
        <v>0</v>
      </c>
      <c r="AG171" s="318">
        <f t="shared" si="173"/>
        <v>0</v>
      </c>
      <c r="AH171" s="318">
        <f t="shared" si="148"/>
        <v>0</v>
      </c>
      <c r="AI171" s="318">
        <f t="shared" si="149"/>
        <v>0</v>
      </c>
      <c r="AJ171" s="318">
        <f t="shared" si="150"/>
        <v>0</v>
      </c>
      <c r="AK171" s="318">
        <f t="shared" si="151"/>
        <v>0</v>
      </c>
      <c r="AL171" s="318">
        <f t="shared" si="152"/>
        <v>0</v>
      </c>
      <c r="AM171" s="318">
        <f t="shared" si="153"/>
        <v>0</v>
      </c>
      <c r="AN171" s="318">
        <f t="shared" si="154"/>
        <v>0</v>
      </c>
      <c r="AO171" s="318">
        <f t="shared" si="155"/>
        <v>0</v>
      </c>
      <c r="AP171" s="318">
        <f t="shared" si="156"/>
        <v>0</v>
      </c>
      <c r="AQ171" s="318">
        <f t="shared" si="157"/>
        <v>0</v>
      </c>
      <c r="AR171" s="318">
        <f t="shared" si="158"/>
        <v>0</v>
      </c>
      <c r="AS171" s="318">
        <f t="shared" si="159"/>
        <v>0</v>
      </c>
      <c r="AT171" s="318">
        <f t="shared" si="160"/>
        <v>0</v>
      </c>
      <c r="AU171" s="318">
        <f t="shared" si="161"/>
        <v>0</v>
      </c>
      <c r="AV171" s="318">
        <f t="shared" si="162"/>
        <v>0</v>
      </c>
      <c r="AW171" s="318">
        <f t="shared" si="163"/>
        <v>0</v>
      </c>
      <c r="AX171" s="318">
        <f t="shared" si="164"/>
        <v>0</v>
      </c>
      <c r="AY171" s="318">
        <f t="shared" si="165"/>
        <v>0</v>
      </c>
      <c r="AZ171" s="318">
        <f t="shared" si="166"/>
        <v>0</v>
      </c>
      <c r="BA171" s="318">
        <f t="shared" si="167"/>
        <v>0</v>
      </c>
    </row>
    <row r="172" spans="1:53" s="315" customFormat="1" ht="16.5" customHeight="1">
      <c r="A172" s="63" t="str">
        <f t="array" ref="A172">IF(C172&lt;&gt;0,SUM(($C$11:C172&lt;&gt;0)*1),"")</f>
        <v/>
      </c>
      <c r="B172" s="316"/>
      <c r="C172" s="316"/>
      <c r="D172" s="316"/>
      <c r="E172" s="436"/>
      <c r="F172" s="372"/>
      <c r="G172" s="374"/>
      <c r="H172" s="374"/>
      <c r="I172" s="63" t="str">
        <f t="shared" si="129"/>
        <v/>
      </c>
      <c r="J172" s="318">
        <f t="shared" si="130"/>
        <v>0</v>
      </c>
      <c r="K172" s="318">
        <f t="shared" si="131"/>
        <v>0</v>
      </c>
      <c r="L172" s="318">
        <f t="shared" si="132"/>
        <v>0</v>
      </c>
      <c r="M172" s="318">
        <f t="shared" si="133"/>
        <v>0</v>
      </c>
      <c r="N172" s="318">
        <f t="shared" si="168"/>
        <v>0</v>
      </c>
      <c r="O172" s="318">
        <f t="shared" si="169"/>
        <v>0</v>
      </c>
      <c r="P172" s="318">
        <f t="shared" si="134"/>
        <v>0</v>
      </c>
      <c r="Q172" s="318">
        <f t="shared" si="135"/>
        <v>0</v>
      </c>
      <c r="R172" s="318">
        <f t="shared" si="136"/>
        <v>0</v>
      </c>
      <c r="S172" s="318">
        <f t="shared" si="137"/>
        <v>0</v>
      </c>
      <c r="T172" s="318">
        <f t="shared" si="170"/>
        <v>0</v>
      </c>
      <c r="U172" s="318">
        <f t="shared" si="171"/>
        <v>0</v>
      </c>
      <c r="V172" s="318">
        <f t="shared" si="138"/>
        <v>0</v>
      </c>
      <c r="W172" s="318">
        <f t="shared" si="139"/>
        <v>0</v>
      </c>
      <c r="X172" s="318">
        <f t="shared" si="140"/>
        <v>0</v>
      </c>
      <c r="Y172" s="318">
        <f t="shared" si="141"/>
        <v>0</v>
      </c>
      <c r="Z172" s="318">
        <f t="shared" si="142"/>
        <v>0</v>
      </c>
      <c r="AA172" s="318">
        <f t="shared" si="143"/>
        <v>0</v>
      </c>
      <c r="AB172" s="318">
        <f t="shared" si="144"/>
        <v>0</v>
      </c>
      <c r="AC172" s="318">
        <f t="shared" si="145"/>
        <v>0</v>
      </c>
      <c r="AD172" s="318">
        <f t="shared" si="146"/>
        <v>0</v>
      </c>
      <c r="AE172" s="318">
        <f t="shared" si="147"/>
        <v>0</v>
      </c>
      <c r="AF172" s="318">
        <f t="shared" si="172"/>
        <v>0</v>
      </c>
      <c r="AG172" s="318">
        <f t="shared" si="173"/>
        <v>0</v>
      </c>
      <c r="AH172" s="318">
        <f t="shared" si="148"/>
        <v>0</v>
      </c>
      <c r="AI172" s="318">
        <f t="shared" si="149"/>
        <v>0</v>
      </c>
      <c r="AJ172" s="318">
        <f t="shared" si="150"/>
        <v>0</v>
      </c>
      <c r="AK172" s="318">
        <f t="shared" si="151"/>
        <v>0</v>
      </c>
      <c r="AL172" s="318">
        <f t="shared" si="152"/>
        <v>0</v>
      </c>
      <c r="AM172" s="318">
        <f t="shared" si="153"/>
        <v>0</v>
      </c>
      <c r="AN172" s="318">
        <f t="shared" si="154"/>
        <v>0</v>
      </c>
      <c r="AO172" s="318">
        <f t="shared" si="155"/>
        <v>0</v>
      </c>
      <c r="AP172" s="318">
        <f t="shared" si="156"/>
        <v>0</v>
      </c>
      <c r="AQ172" s="318">
        <f t="shared" si="157"/>
        <v>0</v>
      </c>
      <c r="AR172" s="318">
        <f t="shared" si="158"/>
        <v>0</v>
      </c>
      <c r="AS172" s="318">
        <f t="shared" si="159"/>
        <v>0</v>
      </c>
      <c r="AT172" s="318">
        <f t="shared" si="160"/>
        <v>0</v>
      </c>
      <c r="AU172" s="318">
        <f t="shared" si="161"/>
        <v>0</v>
      </c>
      <c r="AV172" s="318">
        <f t="shared" si="162"/>
        <v>0</v>
      </c>
      <c r="AW172" s="318">
        <f t="shared" si="163"/>
        <v>0</v>
      </c>
      <c r="AX172" s="318">
        <f t="shared" si="164"/>
        <v>0</v>
      </c>
      <c r="AY172" s="318">
        <f t="shared" si="165"/>
        <v>0</v>
      </c>
      <c r="AZ172" s="318">
        <f t="shared" si="166"/>
        <v>0</v>
      </c>
      <c r="BA172" s="318">
        <f t="shared" si="167"/>
        <v>0</v>
      </c>
    </row>
    <row r="173" spans="1:53" s="315" customFormat="1" ht="16.5" customHeight="1">
      <c r="A173" s="63" t="str">
        <f t="array" ref="A173">IF(C173&lt;&gt;0,SUM(($C$11:C173&lt;&gt;0)*1),"")</f>
        <v/>
      </c>
      <c r="B173" s="316"/>
      <c r="C173" s="316"/>
      <c r="D173" s="316"/>
      <c r="E173" s="436"/>
      <c r="F173" s="372"/>
      <c r="G173" s="374"/>
      <c r="H173" s="374"/>
      <c r="I173" s="63" t="str">
        <f t="shared" si="129"/>
        <v/>
      </c>
      <c r="J173" s="318">
        <f t="shared" si="130"/>
        <v>0</v>
      </c>
      <c r="K173" s="318">
        <f t="shared" si="131"/>
        <v>0</v>
      </c>
      <c r="L173" s="318">
        <f t="shared" si="132"/>
        <v>0</v>
      </c>
      <c r="M173" s="318">
        <f t="shared" si="133"/>
        <v>0</v>
      </c>
      <c r="N173" s="318">
        <f t="shared" si="168"/>
        <v>0</v>
      </c>
      <c r="O173" s="318">
        <f t="shared" si="169"/>
        <v>0</v>
      </c>
      <c r="P173" s="318">
        <f t="shared" si="134"/>
        <v>0</v>
      </c>
      <c r="Q173" s="318">
        <f t="shared" si="135"/>
        <v>0</v>
      </c>
      <c r="R173" s="318">
        <f t="shared" si="136"/>
        <v>0</v>
      </c>
      <c r="S173" s="318">
        <f t="shared" si="137"/>
        <v>0</v>
      </c>
      <c r="T173" s="318">
        <f t="shared" si="170"/>
        <v>0</v>
      </c>
      <c r="U173" s="318">
        <f t="shared" si="171"/>
        <v>0</v>
      </c>
      <c r="V173" s="318">
        <f t="shared" si="138"/>
        <v>0</v>
      </c>
      <c r="W173" s="318">
        <f t="shared" si="139"/>
        <v>0</v>
      </c>
      <c r="X173" s="318">
        <f t="shared" si="140"/>
        <v>0</v>
      </c>
      <c r="Y173" s="318">
        <f t="shared" si="141"/>
        <v>0</v>
      </c>
      <c r="Z173" s="318">
        <f t="shared" si="142"/>
        <v>0</v>
      </c>
      <c r="AA173" s="318">
        <f t="shared" si="143"/>
        <v>0</v>
      </c>
      <c r="AB173" s="318">
        <f t="shared" si="144"/>
        <v>0</v>
      </c>
      <c r="AC173" s="318">
        <f t="shared" si="145"/>
        <v>0</v>
      </c>
      <c r="AD173" s="318">
        <f t="shared" si="146"/>
        <v>0</v>
      </c>
      <c r="AE173" s="318">
        <f t="shared" si="147"/>
        <v>0</v>
      </c>
      <c r="AF173" s="318">
        <f t="shared" si="172"/>
        <v>0</v>
      </c>
      <c r="AG173" s="318">
        <f t="shared" si="173"/>
        <v>0</v>
      </c>
      <c r="AH173" s="318">
        <f t="shared" si="148"/>
        <v>0</v>
      </c>
      <c r="AI173" s="318">
        <f t="shared" si="149"/>
        <v>0</v>
      </c>
      <c r="AJ173" s="318">
        <f t="shared" si="150"/>
        <v>0</v>
      </c>
      <c r="AK173" s="318">
        <f t="shared" si="151"/>
        <v>0</v>
      </c>
      <c r="AL173" s="318">
        <f t="shared" si="152"/>
        <v>0</v>
      </c>
      <c r="AM173" s="318">
        <f t="shared" si="153"/>
        <v>0</v>
      </c>
      <c r="AN173" s="318">
        <f t="shared" si="154"/>
        <v>0</v>
      </c>
      <c r="AO173" s="318">
        <f t="shared" si="155"/>
        <v>0</v>
      </c>
      <c r="AP173" s="318">
        <f t="shared" si="156"/>
        <v>0</v>
      </c>
      <c r="AQ173" s="318">
        <f t="shared" si="157"/>
        <v>0</v>
      </c>
      <c r="AR173" s="318">
        <f t="shared" si="158"/>
        <v>0</v>
      </c>
      <c r="AS173" s="318">
        <f t="shared" si="159"/>
        <v>0</v>
      </c>
      <c r="AT173" s="318">
        <f t="shared" si="160"/>
        <v>0</v>
      </c>
      <c r="AU173" s="318">
        <f t="shared" si="161"/>
        <v>0</v>
      </c>
      <c r="AV173" s="318">
        <f t="shared" si="162"/>
        <v>0</v>
      </c>
      <c r="AW173" s="318">
        <f t="shared" si="163"/>
        <v>0</v>
      </c>
      <c r="AX173" s="318">
        <f t="shared" si="164"/>
        <v>0</v>
      </c>
      <c r="AY173" s="318">
        <f t="shared" si="165"/>
        <v>0</v>
      </c>
      <c r="AZ173" s="318">
        <f t="shared" si="166"/>
        <v>0</v>
      </c>
      <c r="BA173" s="318">
        <f t="shared" si="167"/>
        <v>0</v>
      </c>
    </row>
    <row r="174" spans="1:53" s="315" customFormat="1" ht="16.5" customHeight="1">
      <c r="A174" s="63" t="str">
        <f t="array" ref="A174">IF(C174&lt;&gt;0,SUM(($C$11:C174&lt;&gt;0)*1),"")</f>
        <v/>
      </c>
      <c r="B174" s="316"/>
      <c r="C174" s="316"/>
      <c r="D174" s="316"/>
      <c r="E174" s="436"/>
      <c r="F174" s="372"/>
      <c r="G174" s="374"/>
      <c r="H174" s="374"/>
      <c r="I174" s="63" t="str">
        <f t="shared" si="129"/>
        <v/>
      </c>
      <c r="J174" s="318">
        <f t="shared" si="130"/>
        <v>0</v>
      </c>
      <c r="K174" s="318">
        <f t="shared" si="131"/>
        <v>0</v>
      </c>
      <c r="L174" s="318">
        <f t="shared" si="132"/>
        <v>0</v>
      </c>
      <c r="M174" s="318">
        <f t="shared" si="133"/>
        <v>0</v>
      </c>
      <c r="N174" s="318">
        <f t="shared" si="168"/>
        <v>0</v>
      </c>
      <c r="O174" s="318">
        <f t="shared" si="169"/>
        <v>0</v>
      </c>
      <c r="P174" s="318">
        <f t="shared" si="134"/>
        <v>0</v>
      </c>
      <c r="Q174" s="318">
        <f t="shared" si="135"/>
        <v>0</v>
      </c>
      <c r="R174" s="318">
        <f t="shared" si="136"/>
        <v>0</v>
      </c>
      <c r="S174" s="318">
        <f t="shared" si="137"/>
        <v>0</v>
      </c>
      <c r="T174" s="318">
        <f t="shared" si="170"/>
        <v>0</v>
      </c>
      <c r="U174" s="318">
        <f t="shared" si="171"/>
        <v>0</v>
      </c>
      <c r="V174" s="318">
        <f t="shared" si="138"/>
        <v>0</v>
      </c>
      <c r="W174" s="318">
        <f t="shared" si="139"/>
        <v>0</v>
      </c>
      <c r="X174" s="318">
        <f t="shared" si="140"/>
        <v>0</v>
      </c>
      <c r="Y174" s="318">
        <f t="shared" si="141"/>
        <v>0</v>
      </c>
      <c r="Z174" s="318">
        <f t="shared" si="142"/>
        <v>0</v>
      </c>
      <c r="AA174" s="318">
        <f t="shared" si="143"/>
        <v>0</v>
      </c>
      <c r="AB174" s="318">
        <f t="shared" si="144"/>
        <v>0</v>
      </c>
      <c r="AC174" s="318">
        <f t="shared" si="145"/>
        <v>0</v>
      </c>
      <c r="AD174" s="318">
        <f t="shared" si="146"/>
        <v>0</v>
      </c>
      <c r="AE174" s="318">
        <f t="shared" si="147"/>
        <v>0</v>
      </c>
      <c r="AF174" s="318">
        <f t="shared" si="172"/>
        <v>0</v>
      </c>
      <c r="AG174" s="318">
        <f t="shared" si="173"/>
        <v>0</v>
      </c>
      <c r="AH174" s="318">
        <f t="shared" si="148"/>
        <v>0</v>
      </c>
      <c r="AI174" s="318">
        <f t="shared" si="149"/>
        <v>0</v>
      </c>
      <c r="AJ174" s="318">
        <f t="shared" si="150"/>
        <v>0</v>
      </c>
      <c r="AK174" s="318">
        <f t="shared" si="151"/>
        <v>0</v>
      </c>
      <c r="AL174" s="318">
        <f t="shared" si="152"/>
        <v>0</v>
      </c>
      <c r="AM174" s="318">
        <f t="shared" si="153"/>
        <v>0</v>
      </c>
      <c r="AN174" s="318">
        <f t="shared" si="154"/>
        <v>0</v>
      </c>
      <c r="AO174" s="318">
        <f t="shared" si="155"/>
        <v>0</v>
      </c>
      <c r="AP174" s="318">
        <f t="shared" si="156"/>
        <v>0</v>
      </c>
      <c r="AQ174" s="318">
        <f t="shared" si="157"/>
        <v>0</v>
      </c>
      <c r="AR174" s="318">
        <f t="shared" si="158"/>
        <v>0</v>
      </c>
      <c r="AS174" s="318">
        <f t="shared" si="159"/>
        <v>0</v>
      </c>
      <c r="AT174" s="318">
        <f t="shared" si="160"/>
        <v>0</v>
      </c>
      <c r="AU174" s="318">
        <f t="shared" si="161"/>
        <v>0</v>
      </c>
      <c r="AV174" s="318">
        <f t="shared" si="162"/>
        <v>0</v>
      </c>
      <c r="AW174" s="318">
        <f t="shared" si="163"/>
        <v>0</v>
      </c>
      <c r="AX174" s="318">
        <f t="shared" si="164"/>
        <v>0</v>
      </c>
      <c r="AY174" s="318">
        <f t="shared" si="165"/>
        <v>0</v>
      </c>
      <c r="AZ174" s="318">
        <f t="shared" si="166"/>
        <v>0</v>
      </c>
      <c r="BA174" s="318">
        <f t="shared" si="167"/>
        <v>0</v>
      </c>
    </row>
    <row r="175" spans="1:53" s="315" customFormat="1" ht="16.5" customHeight="1">
      <c r="A175" s="63" t="str">
        <f t="array" ref="A175">IF(C175&lt;&gt;0,SUM(($C$11:C175&lt;&gt;0)*1),"")</f>
        <v/>
      </c>
      <c r="B175" s="316"/>
      <c r="C175" s="316"/>
      <c r="D175" s="316"/>
      <c r="E175" s="436"/>
      <c r="F175" s="372"/>
      <c r="G175" s="374"/>
      <c r="H175" s="374"/>
      <c r="I175" s="63" t="str">
        <f t="shared" si="129"/>
        <v/>
      </c>
      <c r="J175" s="318">
        <f t="shared" si="130"/>
        <v>0</v>
      </c>
      <c r="K175" s="318">
        <f t="shared" si="131"/>
        <v>0</v>
      </c>
      <c r="L175" s="318">
        <f t="shared" si="132"/>
        <v>0</v>
      </c>
      <c r="M175" s="318">
        <f t="shared" si="133"/>
        <v>0</v>
      </c>
      <c r="N175" s="318">
        <f t="shared" si="168"/>
        <v>0</v>
      </c>
      <c r="O175" s="318">
        <f t="shared" si="169"/>
        <v>0</v>
      </c>
      <c r="P175" s="318">
        <f t="shared" si="134"/>
        <v>0</v>
      </c>
      <c r="Q175" s="318">
        <f t="shared" si="135"/>
        <v>0</v>
      </c>
      <c r="R175" s="318">
        <f t="shared" si="136"/>
        <v>0</v>
      </c>
      <c r="S175" s="318">
        <f t="shared" si="137"/>
        <v>0</v>
      </c>
      <c r="T175" s="318">
        <f t="shared" si="170"/>
        <v>0</v>
      </c>
      <c r="U175" s="318">
        <f t="shared" si="171"/>
        <v>0</v>
      </c>
      <c r="V175" s="318">
        <f t="shared" si="138"/>
        <v>0</v>
      </c>
      <c r="W175" s="318">
        <f t="shared" si="139"/>
        <v>0</v>
      </c>
      <c r="X175" s="318">
        <f t="shared" si="140"/>
        <v>0</v>
      </c>
      <c r="Y175" s="318">
        <f t="shared" si="141"/>
        <v>0</v>
      </c>
      <c r="Z175" s="318">
        <f t="shared" si="142"/>
        <v>0</v>
      </c>
      <c r="AA175" s="318">
        <f t="shared" si="143"/>
        <v>0</v>
      </c>
      <c r="AB175" s="318">
        <f t="shared" si="144"/>
        <v>0</v>
      </c>
      <c r="AC175" s="318">
        <f t="shared" si="145"/>
        <v>0</v>
      </c>
      <c r="AD175" s="318">
        <f t="shared" si="146"/>
        <v>0</v>
      </c>
      <c r="AE175" s="318">
        <f t="shared" si="147"/>
        <v>0</v>
      </c>
      <c r="AF175" s="318">
        <f t="shared" si="172"/>
        <v>0</v>
      </c>
      <c r="AG175" s="318">
        <f t="shared" si="173"/>
        <v>0</v>
      </c>
      <c r="AH175" s="318">
        <f t="shared" si="148"/>
        <v>0</v>
      </c>
      <c r="AI175" s="318">
        <f t="shared" si="149"/>
        <v>0</v>
      </c>
      <c r="AJ175" s="318">
        <f t="shared" si="150"/>
        <v>0</v>
      </c>
      <c r="AK175" s="318">
        <f t="shared" si="151"/>
        <v>0</v>
      </c>
      <c r="AL175" s="318">
        <f t="shared" si="152"/>
        <v>0</v>
      </c>
      <c r="AM175" s="318">
        <f t="shared" si="153"/>
        <v>0</v>
      </c>
      <c r="AN175" s="318">
        <f t="shared" si="154"/>
        <v>0</v>
      </c>
      <c r="AO175" s="318">
        <f t="shared" si="155"/>
        <v>0</v>
      </c>
      <c r="AP175" s="318">
        <f t="shared" si="156"/>
        <v>0</v>
      </c>
      <c r="AQ175" s="318">
        <f t="shared" si="157"/>
        <v>0</v>
      </c>
      <c r="AR175" s="318">
        <f t="shared" si="158"/>
        <v>0</v>
      </c>
      <c r="AS175" s="318">
        <f t="shared" si="159"/>
        <v>0</v>
      </c>
      <c r="AT175" s="318">
        <f t="shared" si="160"/>
        <v>0</v>
      </c>
      <c r="AU175" s="318">
        <f t="shared" si="161"/>
        <v>0</v>
      </c>
      <c r="AV175" s="318">
        <f t="shared" si="162"/>
        <v>0</v>
      </c>
      <c r="AW175" s="318">
        <f t="shared" si="163"/>
        <v>0</v>
      </c>
      <c r="AX175" s="318">
        <f t="shared" si="164"/>
        <v>0</v>
      </c>
      <c r="AY175" s="318">
        <f t="shared" si="165"/>
        <v>0</v>
      </c>
      <c r="AZ175" s="318">
        <f t="shared" si="166"/>
        <v>0</v>
      </c>
      <c r="BA175" s="318">
        <f t="shared" si="167"/>
        <v>0</v>
      </c>
    </row>
    <row r="176" spans="1:53" s="315" customFormat="1" ht="16.5" customHeight="1">
      <c r="A176" s="63" t="str">
        <f t="array" ref="A176">IF(C176&lt;&gt;0,SUM(($C$11:C176&lt;&gt;0)*1),"")</f>
        <v/>
      </c>
      <c r="B176" s="316"/>
      <c r="C176" s="316"/>
      <c r="D176" s="316"/>
      <c r="E176" s="436"/>
      <c r="F176" s="372"/>
      <c r="G176" s="374"/>
      <c r="H176" s="374"/>
      <c r="I176" s="63" t="str">
        <f t="shared" si="129"/>
        <v/>
      </c>
      <c r="J176" s="318">
        <f t="shared" si="130"/>
        <v>0</v>
      </c>
      <c r="K176" s="318">
        <f t="shared" si="131"/>
        <v>0</v>
      </c>
      <c r="L176" s="318">
        <f t="shared" si="132"/>
        <v>0</v>
      </c>
      <c r="M176" s="318">
        <f t="shared" si="133"/>
        <v>0</v>
      </c>
      <c r="N176" s="318">
        <f t="shared" si="168"/>
        <v>0</v>
      </c>
      <c r="O176" s="318">
        <f t="shared" si="169"/>
        <v>0</v>
      </c>
      <c r="P176" s="318">
        <f t="shared" si="134"/>
        <v>0</v>
      </c>
      <c r="Q176" s="318">
        <f t="shared" si="135"/>
        <v>0</v>
      </c>
      <c r="R176" s="318">
        <f t="shared" si="136"/>
        <v>0</v>
      </c>
      <c r="S176" s="318">
        <f t="shared" si="137"/>
        <v>0</v>
      </c>
      <c r="T176" s="318">
        <f t="shared" si="170"/>
        <v>0</v>
      </c>
      <c r="U176" s="318">
        <f t="shared" si="171"/>
        <v>0</v>
      </c>
      <c r="V176" s="318">
        <f t="shared" si="138"/>
        <v>0</v>
      </c>
      <c r="W176" s="318">
        <f t="shared" si="139"/>
        <v>0</v>
      </c>
      <c r="X176" s="318">
        <f t="shared" si="140"/>
        <v>0</v>
      </c>
      <c r="Y176" s="318">
        <f t="shared" si="141"/>
        <v>0</v>
      </c>
      <c r="Z176" s="318">
        <f t="shared" si="142"/>
        <v>0</v>
      </c>
      <c r="AA176" s="318">
        <f t="shared" si="143"/>
        <v>0</v>
      </c>
      <c r="AB176" s="318">
        <f t="shared" si="144"/>
        <v>0</v>
      </c>
      <c r="AC176" s="318">
        <f t="shared" si="145"/>
        <v>0</v>
      </c>
      <c r="AD176" s="318">
        <f t="shared" si="146"/>
        <v>0</v>
      </c>
      <c r="AE176" s="318">
        <f t="shared" si="147"/>
        <v>0</v>
      </c>
      <c r="AF176" s="318">
        <f t="shared" si="172"/>
        <v>0</v>
      </c>
      <c r="AG176" s="318">
        <f t="shared" si="173"/>
        <v>0</v>
      </c>
      <c r="AH176" s="318">
        <f t="shared" si="148"/>
        <v>0</v>
      </c>
      <c r="AI176" s="318">
        <f t="shared" si="149"/>
        <v>0</v>
      </c>
      <c r="AJ176" s="318">
        <f t="shared" si="150"/>
        <v>0</v>
      </c>
      <c r="AK176" s="318">
        <f t="shared" si="151"/>
        <v>0</v>
      </c>
      <c r="AL176" s="318">
        <f t="shared" si="152"/>
        <v>0</v>
      </c>
      <c r="AM176" s="318">
        <f t="shared" si="153"/>
        <v>0</v>
      </c>
      <c r="AN176" s="318">
        <f t="shared" si="154"/>
        <v>0</v>
      </c>
      <c r="AO176" s="318">
        <f t="shared" si="155"/>
        <v>0</v>
      </c>
      <c r="AP176" s="318">
        <f t="shared" si="156"/>
        <v>0</v>
      </c>
      <c r="AQ176" s="318">
        <f t="shared" si="157"/>
        <v>0</v>
      </c>
      <c r="AR176" s="318">
        <f t="shared" si="158"/>
        <v>0</v>
      </c>
      <c r="AS176" s="318">
        <f t="shared" si="159"/>
        <v>0</v>
      </c>
      <c r="AT176" s="318">
        <f t="shared" si="160"/>
        <v>0</v>
      </c>
      <c r="AU176" s="318">
        <f t="shared" si="161"/>
        <v>0</v>
      </c>
      <c r="AV176" s="318">
        <f t="shared" si="162"/>
        <v>0</v>
      </c>
      <c r="AW176" s="318">
        <f t="shared" si="163"/>
        <v>0</v>
      </c>
      <c r="AX176" s="318">
        <f t="shared" si="164"/>
        <v>0</v>
      </c>
      <c r="AY176" s="318">
        <f t="shared" si="165"/>
        <v>0</v>
      </c>
      <c r="AZ176" s="318">
        <f t="shared" si="166"/>
        <v>0</v>
      </c>
      <c r="BA176" s="318">
        <f t="shared" si="167"/>
        <v>0</v>
      </c>
    </row>
    <row r="177" spans="1:53" s="315" customFormat="1" ht="16.5" customHeight="1">
      <c r="A177" s="63" t="str">
        <f t="array" ref="A177">IF(C177&lt;&gt;0,SUM(($C$11:C177&lt;&gt;0)*1),"")</f>
        <v/>
      </c>
      <c r="B177" s="316"/>
      <c r="C177" s="316"/>
      <c r="D177" s="316"/>
      <c r="E177" s="436"/>
      <c r="F177" s="372"/>
      <c r="G177" s="374"/>
      <c r="H177" s="374"/>
      <c r="I177" s="63" t="str">
        <f t="shared" si="129"/>
        <v/>
      </c>
      <c r="J177" s="318">
        <f t="shared" si="130"/>
        <v>0</v>
      </c>
      <c r="K177" s="318">
        <f t="shared" si="131"/>
        <v>0</v>
      </c>
      <c r="L177" s="318">
        <f t="shared" si="132"/>
        <v>0</v>
      </c>
      <c r="M177" s="318">
        <f t="shared" si="133"/>
        <v>0</v>
      </c>
      <c r="N177" s="318">
        <f t="shared" si="168"/>
        <v>0</v>
      </c>
      <c r="O177" s="318">
        <f t="shared" si="169"/>
        <v>0</v>
      </c>
      <c r="P177" s="318">
        <f t="shared" si="134"/>
        <v>0</v>
      </c>
      <c r="Q177" s="318">
        <f t="shared" si="135"/>
        <v>0</v>
      </c>
      <c r="R177" s="318">
        <f t="shared" si="136"/>
        <v>0</v>
      </c>
      <c r="S177" s="318">
        <f t="shared" si="137"/>
        <v>0</v>
      </c>
      <c r="T177" s="318">
        <f t="shared" si="170"/>
        <v>0</v>
      </c>
      <c r="U177" s="318">
        <f t="shared" si="171"/>
        <v>0</v>
      </c>
      <c r="V177" s="318">
        <f t="shared" si="138"/>
        <v>0</v>
      </c>
      <c r="W177" s="318">
        <f t="shared" si="139"/>
        <v>0</v>
      </c>
      <c r="X177" s="318">
        <f t="shared" si="140"/>
        <v>0</v>
      </c>
      <c r="Y177" s="318">
        <f t="shared" si="141"/>
        <v>0</v>
      </c>
      <c r="Z177" s="318">
        <f t="shared" si="142"/>
        <v>0</v>
      </c>
      <c r="AA177" s="318">
        <f t="shared" si="143"/>
        <v>0</v>
      </c>
      <c r="AB177" s="318">
        <f t="shared" si="144"/>
        <v>0</v>
      </c>
      <c r="AC177" s="318">
        <f t="shared" si="145"/>
        <v>0</v>
      </c>
      <c r="AD177" s="318">
        <f t="shared" si="146"/>
        <v>0</v>
      </c>
      <c r="AE177" s="318">
        <f t="shared" si="147"/>
        <v>0</v>
      </c>
      <c r="AF177" s="318">
        <f t="shared" si="172"/>
        <v>0</v>
      </c>
      <c r="AG177" s="318">
        <f t="shared" si="173"/>
        <v>0</v>
      </c>
      <c r="AH177" s="318">
        <f t="shared" si="148"/>
        <v>0</v>
      </c>
      <c r="AI177" s="318">
        <f t="shared" si="149"/>
        <v>0</v>
      </c>
      <c r="AJ177" s="318">
        <f t="shared" si="150"/>
        <v>0</v>
      </c>
      <c r="AK177" s="318">
        <f t="shared" si="151"/>
        <v>0</v>
      </c>
      <c r="AL177" s="318">
        <f t="shared" si="152"/>
        <v>0</v>
      </c>
      <c r="AM177" s="318">
        <f t="shared" si="153"/>
        <v>0</v>
      </c>
      <c r="AN177" s="318">
        <f t="shared" si="154"/>
        <v>0</v>
      </c>
      <c r="AO177" s="318">
        <f t="shared" si="155"/>
        <v>0</v>
      </c>
      <c r="AP177" s="318">
        <f t="shared" si="156"/>
        <v>0</v>
      </c>
      <c r="AQ177" s="318">
        <f t="shared" si="157"/>
        <v>0</v>
      </c>
      <c r="AR177" s="318">
        <f t="shared" si="158"/>
        <v>0</v>
      </c>
      <c r="AS177" s="318">
        <f t="shared" si="159"/>
        <v>0</v>
      </c>
      <c r="AT177" s="318">
        <f t="shared" si="160"/>
        <v>0</v>
      </c>
      <c r="AU177" s="318">
        <f t="shared" si="161"/>
        <v>0</v>
      </c>
      <c r="AV177" s="318">
        <f t="shared" si="162"/>
        <v>0</v>
      </c>
      <c r="AW177" s="318">
        <f t="shared" si="163"/>
        <v>0</v>
      </c>
      <c r="AX177" s="318">
        <f t="shared" si="164"/>
        <v>0</v>
      </c>
      <c r="AY177" s="318">
        <f t="shared" si="165"/>
        <v>0</v>
      </c>
      <c r="AZ177" s="318">
        <f t="shared" si="166"/>
        <v>0</v>
      </c>
      <c r="BA177" s="318">
        <f t="shared" si="167"/>
        <v>0</v>
      </c>
    </row>
    <row r="178" spans="1:53" s="315" customFormat="1" ht="16.5" customHeight="1">
      <c r="A178" s="63" t="str">
        <f t="array" ref="A178">IF(C178&lt;&gt;0,SUM(($C$11:C178&lt;&gt;0)*1),"")</f>
        <v/>
      </c>
      <c r="B178" s="316"/>
      <c r="C178" s="316"/>
      <c r="D178" s="316"/>
      <c r="E178" s="436"/>
      <c r="F178" s="372"/>
      <c r="G178" s="374"/>
      <c r="H178" s="374"/>
      <c r="I178" s="63" t="str">
        <f t="shared" si="129"/>
        <v/>
      </c>
      <c r="J178" s="318">
        <f t="shared" si="130"/>
        <v>0</v>
      </c>
      <c r="K178" s="318">
        <f t="shared" si="131"/>
        <v>0</v>
      </c>
      <c r="L178" s="318">
        <f t="shared" si="132"/>
        <v>0</v>
      </c>
      <c r="M178" s="318">
        <f t="shared" si="133"/>
        <v>0</v>
      </c>
      <c r="N178" s="318">
        <f t="shared" si="168"/>
        <v>0</v>
      </c>
      <c r="O178" s="318">
        <f t="shared" si="169"/>
        <v>0</v>
      </c>
      <c r="P178" s="318">
        <f t="shared" si="134"/>
        <v>0</v>
      </c>
      <c r="Q178" s="318">
        <f t="shared" si="135"/>
        <v>0</v>
      </c>
      <c r="R178" s="318">
        <f t="shared" si="136"/>
        <v>0</v>
      </c>
      <c r="S178" s="318">
        <f t="shared" si="137"/>
        <v>0</v>
      </c>
      <c r="T178" s="318">
        <f t="shared" si="170"/>
        <v>0</v>
      </c>
      <c r="U178" s="318">
        <f t="shared" si="171"/>
        <v>0</v>
      </c>
      <c r="V178" s="318">
        <f t="shared" si="138"/>
        <v>0</v>
      </c>
      <c r="W178" s="318">
        <f t="shared" si="139"/>
        <v>0</v>
      </c>
      <c r="X178" s="318">
        <f t="shared" si="140"/>
        <v>0</v>
      </c>
      <c r="Y178" s="318">
        <f t="shared" si="141"/>
        <v>0</v>
      </c>
      <c r="Z178" s="318">
        <f t="shared" si="142"/>
        <v>0</v>
      </c>
      <c r="AA178" s="318">
        <f t="shared" si="143"/>
        <v>0</v>
      </c>
      <c r="AB178" s="318">
        <f t="shared" si="144"/>
        <v>0</v>
      </c>
      <c r="AC178" s="318">
        <f t="shared" si="145"/>
        <v>0</v>
      </c>
      <c r="AD178" s="318">
        <f t="shared" si="146"/>
        <v>0</v>
      </c>
      <c r="AE178" s="318">
        <f t="shared" si="147"/>
        <v>0</v>
      </c>
      <c r="AF178" s="318">
        <f t="shared" si="172"/>
        <v>0</v>
      </c>
      <c r="AG178" s="318">
        <f t="shared" si="173"/>
        <v>0</v>
      </c>
      <c r="AH178" s="318">
        <f t="shared" si="148"/>
        <v>0</v>
      </c>
      <c r="AI178" s="318">
        <f t="shared" si="149"/>
        <v>0</v>
      </c>
      <c r="AJ178" s="318">
        <f t="shared" si="150"/>
        <v>0</v>
      </c>
      <c r="AK178" s="318">
        <f t="shared" si="151"/>
        <v>0</v>
      </c>
      <c r="AL178" s="318">
        <f t="shared" si="152"/>
        <v>0</v>
      </c>
      <c r="AM178" s="318">
        <f t="shared" si="153"/>
        <v>0</v>
      </c>
      <c r="AN178" s="318">
        <f t="shared" si="154"/>
        <v>0</v>
      </c>
      <c r="AO178" s="318">
        <f t="shared" si="155"/>
        <v>0</v>
      </c>
      <c r="AP178" s="318">
        <f t="shared" si="156"/>
        <v>0</v>
      </c>
      <c r="AQ178" s="318">
        <f t="shared" si="157"/>
        <v>0</v>
      </c>
      <c r="AR178" s="318">
        <f t="shared" si="158"/>
        <v>0</v>
      </c>
      <c r="AS178" s="318">
        <f t="shared" si="159"/>
        <v>0</v>
      </c>
      <c r="AT178" s="318">
        <f t="shared" si="160"/>
        <v>0</v>
      </c>
      <c r="AU178" s="318">
        <f t="shared" si="161"/>
        <v>0</v>
      </c>
      <c r="AV178" s="318">
        <f t="shared" si="162"/>
        <v>0</v>
      </c>
      <c r="AW178" s="318">
        <f t="shared" si="163"/>
        <v>0</v>
      </c>
      <c r="AX178" s="318">
        <f t="shared" si="164"/>
        <v>0</v>
      </c>
      <c r="AY178" s="318">
        <f t="shared" si="165"/>
        <v>0</v>
      </c>
      <c r="AZ178" s="318">
        <f t="shared" si="166"/>
        <v>0</v>
      </c>
      <c r="BA178" s="318">
        <f t="shared" si="167"/>
        <v>0</v>
      </c>
    </row>
    <row r="179" spans="1:53" s="315" customFormat="1" ht="16.5" customHeight="1">
      <c r="A179" s="63" t="str">
        <f t="array" ref="A179">IF(C179&lt;&gt;0,SUM(($C$11:C179&lt;&gt;0)*1),"")</f>
        <v/>
      </c>
      <c r="B179" s="316"/>
      <c r="C179" s="316"/>
      <c r="D179" s="316"/>
      <c r="E179" s="436"/>
      <c r="F179" s="372"/>
      <c r="G179" s="374"/>
      <c r="H179" s="374"/>
      <c r="I179" s="63" t="str">
        <f t="shared" si="129"/>
        <v/>
      </c>
      <c r="J179" s="318">
        <f t="shared" si="130"/>
        <v>0</v>
      </c>
      <c r="K179" s="318">
        <f t="shared" si="131"/>
        <v>0</v>
      </c>
      <c r="L179" s="318">
        <f t="shared" si="132"/>
        <v>0</v>
      </c>
      <c r="M179" s="318">
        <f t="shared" si="133"/>
        <v>0</v>
      </c>
      <c r="N179" s="318">
        <f t="shared" si="168"/>
        <v>0</v>
      </c>
      <c r="O179" s="318">
        <f t="shared" si="169"/>
        <v>0</v>
      </c>
      <c r="P179" s="318">
        <f t="shared" si="134"/>
        <v>0</v>
      </c>
      <c r="Q179" s="318">
        <f t="shared" si="135"/>
        <v>0</v>
      </c>
      <c r="R179" s="318">
        <f t="shared" si="136"/>
        <v>0</v>
      </c>
      <c r="S179" s="318">
        <f t="shared" si="137"/>
        <v>0</v>
      </c>
      <c r="T179" s="318">
        <f t="shared" si="170"/>
        <v>0</v>
      </c>
      <c r="U179" s="318">
        <f t="shared" si="171"/>
        <v>0</v>
      </c>
      <c r="V179" s="318">
        <f t="shared" si="138"/>
        <v>0</v>
      </c>
      <c r="W179" s="318">
        <f t="shared" si="139"/>
        <v>0</v>
      </c>
      <c r="X179" s="318">
        <f t="shared" si="140"/>
        <v>0</v>
      </c>
      <c r="Y179" s="318">
        <f t="shared" si="141"/>
        <v>0</v>
      </c>
      <c r="Z179" s="318">
        <f t="shared" si="142"/>
        <v>0</v>
      </c>
      <c r="AA179" s="318">
        <f t="shared" si="143"/>
        <v>0</v>
      </c>
      <c r="AB179" s="318">
        <f t="shared" si="144"/>
        <v>0</v>
      </c>
      <c r="AC179" s="318">
        <f t="shared" si="145"/>
        <v>0</v>
      </c>
      <c r="AD179" s="318">
        <f t="shared" si="146"/>
        <v>0</v>
      </c>
      <c r="AE179" s="318">
        <f t="shared" si="147"/>
        <v>0</v>
      </c>
      <c r="AF179" s="318">
        <f t="shared" si="172"/>
        <v>0</v>
      </c>
      <c r="AG179" s="318">
        <f t="shared" si="173"/>
        <v>0</v>
      </c>
      <c r="AH179" s="318">
        <f t="shared" si="148"/>
        <v>0</v>
      </c>
      <c r="AI179" s="318">
        <f t="shared" si="149"/>
        <v>0</v>
      </c>
      <c r="AJ179" s="318">
        <f t="shared" si="150"/>
        <v>0</v>
      </c>
      <c r="AK179" s="318">
        <f t="shared" si="151"/>
        <v>0</v>
      </c>
      <c r="AL179" s="318">
        <f t="shared" si="152"/>
        <v>0</v>
      </c>
      <c r="AM179" s="318">
        <f t="shared" si="153"/>
        <v>0</v>
      </c>
      <c r="AN179" s="318">
        <f t="shared" si="154"/>
        <v>0</v>
      </c>
      <c r="AO179" s="318">
        <f t="shared" si="155"/>
        <v>0</v>
      </c>
      <c r="AP179" s="318">
        <f t="shared" si="156"/>
        <v>0</v>
      </c>
      <c r="AQ179" s="318">
        <f t="shared" si="157"/>
        <v>0</v>
      </c>
      <c r="AR179" s="318">
        <f t="shared" si="158"/>
        <v>0</v>
      </c>
      <c r="AS179" s="318">
        <f t="shared" si="159"/>
        <v>0</v>
      </c>
      <c r="AT179" s="318">
        <f t="shared" si="160"/>
        <v>0</v>
      </c>
      <c r="AU179" s="318">
        <f t="shared" si="161"/>
        <v>0</v>
      </c>
      <c r="AV179" s="318">
        <f t="shared" si="162"/>
        <v>0</v>
      </c>
      <c r="AW179" s="318">
        <f t="shared" si="163"/>
        <v>0</v>
      </c>
      <c r="AX179" s="318">
        <f t="shared" si="164"/>
        <v>0</v>
      </c>
      <c r="AY179" s="318">
        <f t="shared" si="165"/>
        <v>0</v>
      </c>
      <c r="AZ179" s="318">
        <f t="shared" si="166"/>
        <v>0</v>
      </c>
      <c r="BA179" s="318">
        <f t="shared" si="167"/>
        <v>0</v>
      </c>
    </row>
    <row r="180" spans="1:53" s="315" customFormat="1" ht="16.5" customHeight="1">
      <c r="A180" s="63" t="str">
        <f t="array" ref="A180">IF(C180&lt;&gt;0,SUM(($C$11:C180&lt;&gt;0)*1),"")</f>
        <v/>
      </c>
      <c r="B180" s="316"/>
      <c r="C180" s="316"/>
      <c r="D180" s="316"/>
      <c r="E180" s="436"/>
      <c r="F180" s="372"/>
      <c r="G180" s="374"/>
      <c r="H180" s="374"/>
      <c r="I180" s="63" t="str">
        <f t="shared" si="129"/>
        <v/>
      </c>
      <c r="J180" s="318">
        <f t="shared" si="130"/>
        <v>0</v>
      </c>
      <c r="K180" s="318">
        <f t="shared" si="131"/>
        <v>0</v>
      </c>
      <c r="L180" s="318">
        <f t="shared" si="132"/>
        <v>0</v>
      </c>
      <c r="M180" s="318">
        <f t="shared" si="133"/>
        <v>0</v>
      </c>
      <c r="N180" s="318">
        <f t="shared" si="168"/>
        <v>0</v>
      </c>
      <c r="O180" s="318">
        <f t="shared" si="169"/>
        <v>0</v>
      </c>
      <c r="P180" s="318">
        <f t="shared" si="134"/>
        <v>0</v>
      </c>
      <c r="Q180" s="318">
        <f t="shared" si="135"/>
        <v>0</v>
      </c>
      <c r="R180" s="318">
        <f t="shared" si="136"/>
        <v>0</v>
      </c>
      <c r="S180" s="318">
        <f t="shared" si="137"/>
        <v>0</v>
      </c>
      <c r="T180" s="318">
        <f t="shared" si="170"/>
        <v>0</v>
      </c>
      <c r="U180" s="318">
        <f t="shared" si="171"/>
        <v>0</v>
      </c>
      <c r="V180" s="318">
        <f t="shared" si="138"/>
        <v>0</v>
      </c>
      <c r="W180" s="318">
        <f t="shared" si="139"/>
        <v>0</v>
      </c>
      <c r="X180" s="318">
        <f t="shared" si="140"/>
        <v>0</v>
      </c>
      <c r="Y180" s="318">
        <f t="shared" si="141"/>
        <v>0</v>
      </c>
      <c r="Z180" s="318">
        <f t="shared" si="142"/>
        <v>0</v>
      </c>
      <c r="AA180" s="318">
        <f t="shared" si="143"/>
        <v>0</v>
      </c>
      <c r="AB180" s="318">
        <f t="shared" si="144"/>
        <v>0</v>
      </c>
      <c r="AC180" s="318">
        <f t="shared" si="145"/>
        <v>0</v>
      </c>
      <c r="AD180" s="318">
        <f t="shared" si="146"/>
        <v>0</v>
      </c>
      <c r="AE180" s="318">
        <f t="shared" si="147"/>
        <v>0</v>
      </c>
      <c r="AF180" s="318">
        <f t="shared" si="172"/>
        <v>0</v>
      </c>
      <c r="AG180" s="318">
        <f t="shared" si="173"/>
        <v>0</v>
      </c>
      <c r="AH180" s="318">
        <f t="shared" si="148"/>
        <v>0</v>
      </c>
      <c r="AI180" s="318">
        <f t="shared" si="149"/>
        <v>0</v>
      </c>
      <c r="AJ180" s="318">
        <f t="shared" si="150"/>
        <v>0</v>
      </c>
      <c r="AK180" s="318">
        <f t="shared" si="151"/>
        <v>0</v>
      </c>
      <c r="AL180" s="318">
        <f t="shared" si="152"/>
        <v>0</v>
      </c>
      <c r="AM180" s="318">
        <f t="shared" si="153"/>
        <v>0</v>
      </c>
      <c r="AN180" s="318">
        <f t="shared" si="154"/>
        <v>0</v>
      </c>
      <c r="AO180" s="318">
        <f t="shared" si="155"/>
        <v>0</v>
      </c>
      <c r="AP180" s="318">
        <f t="shared" si="156"/>
        <v>0</v>
      </c>
      <c r="AQ180" s="318">
        <f t="shared" si="157"/>
        <v>0</v>
      </c>
      <c r="AR180" s="318">
        <f t="shared" si="158"/>
        <v>0</v>
      </c>
      <c r="AS180" s="318">
        <f t="shared" si="159"/>
        <v>0</v>
      </c>
      <c r="AT180" s="318">
        <f t="shared" si="160"/>
        <v>0</v>
      </c>
      <c r="AU180" s="318">
        <f t="shared" si="161"/>
        <v>0</v>
      </c>
      <c r="AV180" s="318">
        <f t="shared" si="162"/>
        <v>0</v>
      </c>
      <c r="AW180" s="318">
        <f t="shared" si="163"/>
        <v>0</v>
      </c>
      <c r="AX180" s="318">
        <f t="shared" si="164"/>
        <v>0</v>
      </c>
      <c r="AY180" s="318">
        <f t="shared" si="165"/>
        <v>0</v>
      </c>
      <c r="AZ180" s="318">
        <f t="shared" si="166"/>
        <v>0</v>
      </c>
      <c r="BA180" s="318">
        <f t="shared" si="167"/>
        <v>0</v>
      </c>
    </row>
    <row r="181" spans="1:53" s="315" customFormat="1" ht="16.5" customHeight="1">
      <c r="A181" s="63" t="str">
        <f t="array" ref="A181">IF(C181&lt;&gt;0,SUM(($C$11:C181&lt;&gt;0)*1),"")</f>
        <v/>
      </c>
      <c r="B181" s="316"/>
      <c r="C181" s="316"/>
      <c r="D181" s="316"/>
      <c r="E181" s="436"/>
      <c r="F181" s="372"/>
      <c r="G181" s="374"/>
      <c r="H181" s="374"/>
      <c r="I181" s="63" t="str">
        <f t="shared" si="129"/>
        <v/>
      </c>
      <c r="J181" s="318">
        <f t="shared" si="130"/>
        <v>0</v>
      </c>
      <c r="K181" s="318">
        <f t="shared" si="131"/>
        <v>0</v>
      </c>
      <c r="L181" s="318">
        <f t="shared" si="132"/>
        <v>0</v>
      </c>
      <c r="M181" s="318">
        <f t="shared" si="133"/>
        <v>0</v>
      </c>
      <c r="N181" s="318">
        <f t="shared" si="168"/>
        <v>0</v>
      </c>
      <c r="O181" s="318">
        <f t="shared" si="169"/>
        <v>0</v>
      </c>
      <c r="P181" s="318">
        <f t="shared" si="134"/>
        <v>0</v>
      </c>
      <c r="Q181" s="318">
        <f t="shared" si="135"/>
        <v>0</v>
      </c>
      <c r="R181" s="318">
        <f t="shared" si="136"/>
        <v>0</v>
      </c>
      <c r="S181" s="318">
        <f t="shared" si="137"/>
        <v>0</v>
      </c>
      <c r="T181" s="318">
        <f t="shared" si="170"/>
        <v>0</v>
      </c>
      <c r="U181" s="318">
        <f t="shared" si="171"/>
        <v>0</v>
      </c>
      <c r="V181" s="318">
        <f t="shared" si="138"/>
        <v>0</v>
      </c>
      <c r="W181" s="318">
        <f t="shared" si="139"/>
        <v>0</v>
      </c>
      <c r="X181" s="318">
        <f t="shared" si="140"/>
        <v>0</v>
      </c>
      <c r="Y181" s="318">
        <f t="shared" si="141"/>
        <v>0</v>
      </c>
      <c r="Z181" s="318">
        <f t="shared" si="142"/>
        <v>0</v>
      </c>
      <c r="AA181" s="318">
        <f t="shared" si="143"/>
        <v>0</v>
      </c>
      <c r="AB181" s="318">
        <f t="shared" si="144"/>
        <v>0</v>
      </c>
      <c r="AC181" s="318">
        <f t="shared" si="145"/>
        <v>0</v>
      </c>
      <c r="AD181" s="318">
        <f t="shared" si="146"/>
        <v>0</v>
      </c>
      <c r="AE181" s="318">
        <f t="shared" si="147"/>
        <v>0</v>
      </c>
      <c r="AF181" s="318">
        <f t="shared" si="172"/>
        <v>0</v>
      </c>
      <c r="AG181" s="318">
        <f t="shared" si="173"/>
        <v>0</v>
      </c>
      <c r="AH181" s="318">
        <f t="shared" si="148"/>
        <v>0</v>
      </c>
      <c r="AI181" s="318">
        <f t="shared" si="149"/>
        <v>0</v>
      </c>
      <c r="AJ181" s="318">
        <f t="shared" si="150"/>
        <v>0</v>
      </c>
      <c r="AK181" s="318">
        <f t="shared" si="151"/>
        <v>0</v>
      </c>
      <c r="AL181" s="318">
        <f t="shared" si="152"/>
        <v>0</v>
      </c>
      <c r="AM181" s="318">
        <f t="shared" si="153"/>
        <v>0</v>
      </c>
      <c r="AN181" s="318">
        <f t="shared" si="154"/>
        <v>0</v>
      </c>
      <c r="AO181" s="318">
        <f t="shared" si="155"/>
        <v>0</v>
      </c>
      <c r="AP181" s="318">
        <f t="shared" si="156"/>
        <v>0</v>
      </c>
      <c r="AQ181" s="318">
        <f t="shared" si="157"/>
        <v>0</v>
      </c>
      <c r="AR181" s="318">
        <f t="shared" si="158"/>
        <v>0</v>
      </c>
      <c r="AS181" s="318">
        <f t="shared" si="159"/>
        <v>0</v>
      </c>
      <c r="AT181" s="318">
        <f t="shared" si="160"/>
        <v>0</v>
      </c>
      <c r="AU181" s="318">
        <f t="shared" si="161"/>
        <v>0</v>
      </c>
      <c r="AV181" s="318">
        <f t="shared" si="162"/>
        <v>0</v>
      </c>
      <c r="AW181" s="318">
        <f t="shared" si="163"/>
        <v>0</v>
      </c>
      <c r="AX181" s="318">
        <f t="shared" si="164"/>
        <v>0</v>
      </c>
      <c r="AY181" s="318">
        <f t="shared" si="165"/>
        <v>0</v>
      </c>
      <c r="AZ181" s="318">
        <f t="shared" si="166"/>
        <v>0</v>
      </c>
      <c r="BA181" s="318">
        <f t="shared" si="167"/>
        <v>0</v>
      </c>
    </row>
    <row r="182" spans="1:53" s="315" customFormat="1" ht="16.5" customHeight="1">
      <c r="A182" s="63" t="str">
        <f t="array" ref="A182">IF(C182&lt;&gt;0,SUM(($C$11:C182&lt;&gt;0)*1),"")</f>
        <v/>
      </c>
      <c r="B182" s="316"/>
      <c r="C182" s="316"/>
      <c r="D182" s="316"/>
      <c r="E182" s="436"/>
      <c r="F182" s="372"/>
      <c r="G182" s="374"/>
      <c r="H182" s="374"/>
      <c r="I182" s="63" t="str">
        <f t="shared" si="129"/>
        <v/>
      </c>
      <c r="J182" s="318">
        <f t="shared" si="130"/>
        <v>0</v>
      </c>
      <c r="K182" s="318">
        <f t="shared" si="131"/>
        <v>0</v>
      </c>
      <c r="L182" s="318">
        <f t="shared" si="132"/>
        <v>0</v>
      </c>
      <c r="M182" s="318">
        <f t="shared" si="133"/>
        <v>0</v>
      </c>
      <c r="N182" s="318">
        <f t="shared" si="168"/>
        <v>0</v>
      </c>
      <c r="O182" s="318">
        <f t="shared" si="169"/>
        <v>0</v>
      </c>
      <c r="P182" s="318">
        <f t="shared" si="134"/>
        <v>0</v>
      </c>
      <c r="Q182" s="318">
        <f t="shared" si="135"/>
        <v>0</v>
      </c>
      <c r="R182" s="318">
        <f t="shared" si="136"/>
        <v>0</v>
      </c>
      <c r="S182" s="318">
        <f t="shared" si="137"/>
        <v>0</v>
      </c>
      <c r="T182" s="318">
        <f t="shared" si="170"/>
        <v>0</v>
      </c>
      <c r="U182" s="318">
        <f t="shared" si="171"/>
        <v>0</v>
      </c>
      <c r="V182" s="318">
        <f t="shared" si="138"/>
        <v>0</v>
      </c>
      <c r="W182" s="318">
        <f t="shared" si="139"/>
        <v>0</v>
      </c>
      <c r="X182" s="318">
        <f t="shared" si="140"/>
        <v>0</v>
      </c>
      <c r="Y182" s="318">
        <f t="shared" si="141"/>
        <v>0</v>
      </c>
      <c r="Z182" s="318">
        <f t="shared" si="142"/>
        <v>0</v>
      </c>
      <c r="AA182" s="318">
        <f t="shared" si="143"/>
        <v>0</v>
      </c>
      <c r="AB182" s="318">
        <f t="shared" si="144"/>
        <v>0</v>
      </c>
      <c r="AC182" s="318">
        <f t="shared" si="145"/>
        <v>0</v>
      </c>
      <c r="AD182" s="318">
        <f t="shared" si="146"/>
        <v>0</v>
      </c>
      <c r="AE182" s="318">
        <f t="shared" si="147"/>
        <v>0</v>
      </c>
      <c r="AF182" s="318">
        <f t="shared" si="172"/>
        <v>0</v>
      </c>
      <c r="AG182" s="318">
        <f t="shared" si="173"/>
        <v>0</v>
      </c>
      <c r="AH182" s="318">
        <f t="shared" si="148"/>
        <v>0</v>
      </c>
      <c r="AI182" s="318">
        <f t="shared" si="149"/>
        <v>0</v>
      </c>
      <c r="AJ182" s="318">
        <f t="shared" si="150"/>
        <v>0</v>
      </c>
      <c r="AK182" s="318">
        <f t="shared" si="151"/>
        <v>0</v>
      </c>
      <c r="AL182" s="318">
        <f t="shared" si="152"/>
        <v>0</v>
      </c>
      <c r="AM182" s="318">
        <f t="shared" si="153"/>
        <v>0</v>
      </c>
      <c r="AN182" s="318">
        <f t="shared" si="154"/>
        <v>0</v>
      </c>
      <c r="AO182" s="318">
        <f t="shared" si="155"/>
        <v>0</v>
      </c>
      <c r="AP182" s="318">
        <f t="shared" si="156"/>
        <v>0</v>
      </c>
      <c r="AQ182" s="318">
        <f t="shared" si="157"/>
        <v>0</v>
      </c>
      <c r="AR182" s="318">
        <f t="shared" si="158"/>
        <v>0</v>
      </c>
      <c r="AS182" s="318">
        <f t="shared" si="159"/>
        <v>0</v>
      </c>
      <c r="AT182" s="318">
        <f t="shared" si="160"/>
        <v>0</v>
      </c>
      <c r="AU182" s="318">
        <f t="shared" si="161"/>
        <v>0</v>
      </c>
      <c r="AV182" s="318">
        <f t="shared" si="162"/>
        <v>0</v>
      </c>
      <c r="AW182" s="318">
        <f t="shared" si="163"/>
        <v>0</v>
      </c>
      <c r="AX182" s="318">
        <f t="shared" si="164"/>
        <v>0</v>
      </c>
      <c r="AY182" s="318">
        <f t="shared" si="165"/>
        <v>0</v>
      </c>
      <c r="AZ182" s="318">
        <f t="shared" si="166"/>
        <v>0</v>
      </c>
      <c r="BA182" s="318">
        <f t="shared" si="167"/>
        <v>0</v>
      </c>
    </row>
    <row r="183" spans="1:53" s="315" customFormat="1" ht="16.5" customHeight="1">
      <c r="A183" s="63" t="str">
        <f t="array" ref="A183">IF(C183&lt;&gt;0,SUM(($C$11:C183&lt;&gt;0)*1),"")</f>
        <v/>
      </c>
      <c r="B183" s="316"/>
      <c r="C183" s="316"/>
      <c r="D183" s="316"/>
      <c r="E183" s="436"/>
      <c r="F183" s="372"/>
      <c r="G183" s="374"/>
      <c r="H183" s="374"/>
      <c r="I183" s="63" t="str">
        <f t="shared" si="129"/>
        <v/>
      </c>
      <c r="J183" s="318">
        <f t="shared" si="130"/>
        <v>0</v>
      </c>
      <c r="K183" s="318">
        <f t="shared" si="131"/>
        <v>0</v>
      </c>
      <c r="L183" s="318">
        <f t="shared" si="132"/>
        <v>0</v>
      </c>
      <c r="M183" s="318">
        <f t="shared" si="133"/>
        <v>0</v>
      </c>
      <c r="N183" s="318">
        <f t="shared" si="168"/>
        <v>0</v>
      </c>
      <c r="O183" s="318">
        <f t="shared" si="169"/>
        <v>0</v>
      </c>
      <c r="P183" s="318">
        <f t="shared" si="134"/>
        <v>0</v>
      </c>
      <c r="Q183" s="318">
        <f t="shared" si="135"/>
        <v>0</v>
      </c>
      <c r="R183" s="318">
        <f t="shared" si="136"/>
        <v>0</v>
      </c>
      <c r="S183" s="318">
        <f t="shared" si="137"/>
        <v>0</v>
      </c>
      <c r="T183" s="318">
        <f t="shared" si="170"/>
        <v>0</v>
      </c>
      <c r="U183" s="318">
        <f t="shared" si="171"/>
        <v>0</v>
      </c>
      <c r="V183" s="318">
        <f t="shared" si="138"/>
        <v>0</v>
      </c>
      <c r="W183" s="318">
        <f t="shared" si="139"/>
        <v>0</v>
      </c>
      <c r="X183" s="318">
        <f t="shared" si="140"/>
        <v>0</v>
      </c>
      <c r="Y183" s="318">
        <f t="shared" si="141"/>
        <v>0</v>
      </c>
      <c r="Z183" s="318">
        <f t="shared" si="142"/>
        <v>0</v>
      </c>
      <c r="AA183" s="318">
        <f t="shared" si="143"/>
        <v>0</v>
      </c>
      <c r="AB183" s="318">
        <f t="shared" si="144"/>
        <v>0</v>
      </c>
      <c r="AC183" s="318">
        <f t="shared" si="145"/>
        <v>0</v>
      </c>
      <c r="AD183" s="318">
        <f t="shared" si="146"/>
        <v>0</v>
      </c>
      <c r="AE183" s="318">
        <f t="shared" si="147"/>
        <v>0</v>
      </c>
      <c r="AF183" s="318">
        <f t="shared" si="172"/>
        <v>0</v>
      </c>
      <c r="AG183" s="318">
        <f t="shared" si="173"/>
        <v>0</v>
      </c>
      <c r="AH183" s="318">
        <f t="shared" si="148"/>
        <v>0</v>
      </c>
      <c r="AI183" s="318">
        <f t="shared" si="149"/>
        <v>0</v>
      </c>
      <c r="AJ183" s="318">
        <f t="shared" si="150"/>
        <v>0</v>
      </c>
      <c r="AK183" s="318">
        <f t="shared" si="151"/>
        <v>0</v>
      </c>
      <c r="AL183" s="318">
        <f t="shared" si="152"/>
        <v>0</v>
      </c>
      <c r="AM183" s="318">
        <f t="shared" si="153"/>
        <v>0</v>
      </c>
      <c r="AN183" s="318">
        <f t="shared" si="154"/>
        <v>0</v>
      </c>
      <c r="AO183" s="318">
        <f t="shared" si="155"/>
        <v>0</v>
      </c>
      <c r="AP183" s="318">
        <f t="shared" si="156"/>
        <v>0</v>
      </c>
      <c r="AQ183" s="318">
        <f t="shared" si="157"/>
        <v>0</v>
      </c>
      <c r="AR183" s="318">
        <f t="shared" si="158"/>
        <v>0</v>
      </c>
      <c r="AS183" s="318">
        <f t="shared" si="159"/>
        <v>0</v>
      </c>
      <c r="AT183" s="318">
        <f t="shared" si="160"/>
        <v>0</v>
      </c>
      <c r="AU183" s="318">
        <f t="shared" si="161"/>
        <v>0</v>
      </c>
      <c r="AV183" s="318">
        <f t="shared" si="162"/>
        <v>0</v>
      </c>
      <c r="AW183" s="318">
        <f t="shared" si="163"/>
        <v>0</v>
      </c>
      <c r="AX183" s="318">
        <f t="shared" si="164"/>
        <v>0</v>
      </c>
      <c r="AY183" s="318">
        <f t="shared" si="165"/>
        <v>0</v>
      </c>
      <c r="AZ183" s="318">
        <f t="shared" si="166"/>
        <v>0</v>
      </c>
      <c r="BA183" s="318">
        <f t="shared" si="167"/>
        <v>0</v>
      </c>
    </row>
    <row r="184" spans="1:53" s="315" customFormat="1" ht="16.5" customHeight="1">
      <c r="A184" s="63" t="str">
        <f t="array" ref="A184">IF(C184&lt;&gt;0,SUM(($C$11:C184&lt;&gt;0)*1),"")</f>
        <v/>
      </c>
      <c r="B184" s="316"/>
      <c r="C184" s="316"/>
      <c r="D184" s="316"/>
      <c r="E184" s="436"/>
      <c r="F184" s="372"/>
      <c r="G184" s="374"/>
      <c r="H184" s="374"/>
      <c r="I184" s="63" t="str">
        <f t="shared" si="129"/>
        <v/>
      </c>
      <c r="J184" s="318">
        <f t="shared" si="130"/>
        <v>0</v>
      </c>
      <c r="K184" s="318">
        <f t="shared" si="131"/>
        <v>0</v>
      </c>
      <c r="L184" s="318">
        <f t="shared" si="132"/>
        <v>0</v>
      </c>
      <c r="M184" s="318">
        <f t="shared" si="133"/>
        <v>0</v>
      </c>
      <c r="N184" s="318">
        <f t="shared" si="168"/>
        <v>0</v>
      </c>
      <c r="O184" s="318">
        <f t="shared" si="169"/>
        <v>0</v>
      </c>
      <c r="P184" s="318">
        <f t="shared" si="134"/>
        <v>0</v>
      </c>
      <c r="Q184" s="318">
        <f t="shared" si="135"/>
        <v>0</v>
      </c>
      <c r="R184" s="318">
        <f t="shared" si="136"/>
        <v>0</v>
      </c>
      <c r="S184" s="318">
        <f t="shared" si="137"/>
        <v>0</v>
      </c>
      <c r="T184" s="318">
        <f t="shared" si="170"/>
        <v>0</v>
      </c>
      <c r="U184" s="318">
        <f t="shared" si="171"/>
        <v>0</v>
      </c>
      <c r="V184" s="318">
        <f t="shared" si="138"/>
        <v>0</v>
      </c>
      <c r="W184" s="318">
        <f t="shared" si="139"/>
        <v>0</v>
      </c>
      <c r="X184" s="318">
        <f t="shared" si="140"/>
        <v>0</v>
      </c>
      <c r="Y184" s="318">
        <f t="shared" si="141"/>
        <v>0</v>
      </c>
      <c r="Z184" s="318">
        <f t="shared" si="142"/>
        <v>0</v>
      </c>
      <c r="AA184" s="318">
        <f t="shared" si="143"/>
        <v>0</v>
      </c>
      <c r="AB184" s="318">
        <f t="shared" si="144"/>
        <v>0</v>
      </c>
      <c r="AC184" s="318">
        <f t="shared" si="145"/>
        <v>0</v>
      </c>
      <c r="AD184" s="318">
        <f t="shared" si="146"/>
        <v>0</v>
      </c>
      <c r="AE184" s="318">
        <f t="shared" si="147"/>
        <v>0</v>
      </c>
      <c r="AF184" s="318">
        <f t="shared" si="172"/>
        <v>0</v>
      </c>
      <c r="AG184" s="318">
        <f t="shared" si="173"/>
        <v>0</v>
      </c>
      <c r="AH184" s="318">
        <f t="shared" si="148"/>
        <v>0</v>
      </c>
      <c r="AI184" s="318">
        <f t="shared" si="149"/>
        <v>0</v>
      </c>
      <c r="AJ184" s="318">
        <f t="shared" si="150"/>
        <v>0</v>
      </c>
      <c r="AK184" s="318">
        <f t="shared" si="151"/>
        <v>0</v>
      </c>
      <c r="AL184" s="318">
        <f t="shared" si="152"/>
        <v>0</v>
      </c>
      <c r="AM184" s="318">
        <f t="shared" si="153"/>
        <v>0</v>
      </c>
      <c r="AN184" s="318">
        <f t="shared" si="154"/>
        <v>0</v>
      </c>
      <c r="AO184" s="318">
        <f t="shared" si="155"/>
        <v>0</v>
      </c>
      <c r="AP184" s="318">
        <f t="shared" si="156"/>
        <v>0</v>
      </c>
      <c r="AQ184" s="318">
        <f t="shared" si="157"/>
        <v>0</v>
      </c>
      <c r="AR184" s="318">
        <f t="shared" si="158"/>
        <v>0</v>
      </c>
      <c r="AS184" s="318">
        <f t="shared" si="159"/>
        <v>0</v>
      </c>
      <c r="AT184" s="318">
        <f t="shared" si="160"/>
        <v>0</v>
      </c>
      <c r="AU184" s="318">
        <f t="shared" si="161"/>
        <v>0</v>
      </c>
      <c r="AV184" s="318">
        <f t="shared" si="162"/>
        <v>0</v>
      </c>
      <c r="AW184" s="318">
        <f t="shared" si="163"/>
        <v>0</v>
      </c>
      <c r="AX184" s="318">
        <f t="shared" si="164"/>
        <v>0</v>
      </c>
      <c r="AY184" s="318">
        <f t="shared" si="165"/>
        <v>0</v>
      </c>
      <c r="AZ184" s="318">
        <f t="shared" si="166"/>
        <v>0</v>
      </c>
      <c r="BA184" s="318">
        <f t="shared" si="167"/>
        <v>0</v>
      </c>
    </row>
    <row r="185" spans="1:53" s="315" customFormat="1" ht="16.5" customHeight="1">
      <c r="A185" s="63" t="str">
        <f t="array" ref="A185">IF(C185&lt;&gt;0,SUM(($C$11:C185&lt;&gt;0)*1),"")</f>
        <v/>
      </c>
      <c r="B185" s="316"/>
      <c r="C185" s="316"/>
      <c r="D185" s="316"/>
      <c r="E185" s="436"/>
      <c r="F185" s="372"/>
      <c r="G185" s="374"/>
      <c r="H185" s="374"/>
      <c r="I185" s="63" t="str">
        <f t="shared" si="129"/>
        <v/>
      </c>
      <c r="J185" s="318">
        <f t="shared" si="130"/>
        <v>0</v>
      </c>
      <c r="K185" s="318">
        <f t="shared" si="131"/>
        <v>0</v>
      </c>
      <c r="L185" s="318">
        <f t="shared" si="132"/>
        <v>0</v>
      </c>
      <c r="M185" s="318">
        <f t="shared" si="133"/>
        <v>0</v>
      </c>
      <c r="N185" s="318">
        <f t="shared" si="168"/>
        <v>0</v>
      </c>
      <c r="O185" s="318">
        <f t="shared" si="169"/>
        <v>0</v>
      </c>
      <c r="P185" s="318">
        <f t="shared" si="134"/>
        <v>0</v>
      </c>
      <c r="Q185" s="318">
        <f t="shared" si="135"/>
        <v>0</v>
      </c>
      <c r="R185" s="318">
        <f t="shared" si="136"/>
        <v>0</v>
      </c>
      <c r="S185" s="318">
        <f t="shared" si="137"/>
        <v>0</v>
      </c>
      <c r="T185" s="318">
        <f t="shared" si="170"/>
        <v>0</v>
      </c>
      <c r="U185" s="318">
        <f t="shared" si="171"/>
        <v>0</v>
      </c>
      <c r="V185" s="318">
        <f t="shared" si="138"/>
        <v>0</v>
      </c>
      <c r="W185" s="318">
        <f t="shared" si="139"/>
        <v>0</v>
      </c>
      <c r="X185" s="318">
        <f t="shared" si="140"/>
        <v>0</v>
      </c>
      <c r="Y185" s="318">
        <f t="shared" si="141"/>
        <v>0</v>
      </c>
      <c r="Z185" s="318">
        <f t="shared" si="142"/>
        <v>0</v>
      </c>
      <c r="AA185" s="318">
        <f t="shared" si="143"/>
        <v>0</v>
      </c>
      <c r="AB185" s="318">
        <f t="shared" si="144"/>
        <v>0</v>
      </c>
      <c r="AC185" s="318">
        <f t="shared" si="145"/>
        <v>0</v>
      </c>
      <c r="AD185" s="318">
        <f t="shared" si="146"/>
        <v>0</v>
      </c>
      <c r="AE185" s="318">
        <f t="shared" si="147"/>
        <v>0</v>
      </c>
      <c r="AF185" s="318">
        <f t="shared" si="172"/>
        <v>0</v>
      </c>
      <c r="AG185" s="318">
        <f t="shared" si="173"/>
        <v>0</v>
      </c>
      <c r="AH185" s="318">
        <f t="shared" si="148"/>
        <v>0</v>
      </c>
      <c r="AI185" s="318">
        <f t="shared" si="149"/>
        <v>0</v>
      </c>
      <c r="AJ185" s="318">
        <f t="shared" si="150"/>
        <v>0</v>
      </c>
      <c r="AK185" s="318">
        <f t="shared" si="151"/>
        <v>0</v>
      </c>
      <c r="AL185" s="318">
        <f t="shared" si="152"/>
        <v>0</v>
      </c>
      <c r="AM185" s="318">
        <f t="shared" si="153"/>
        <v>0</v>
      </c>
      <c r="AN185" s="318">
        <f t="shared" si="154"/>
        <v>0</v>
      </c>
      <c r="AO185" s="318">
        <f t="shared" si="155"/>
        <v>0</v>
      </c>
      <c r="AP185" s="318">
        <f t="shared" si="156"/>
        <v>0</v>
      </c>
      <c r="AQ185" s="318">
        <f t="shared" si="157"/>
        <v>0</v>
      </c>
      <c r="AR185" s="318">
        <f t="shared" si="158"/>
        <v>0</v>
      </c>
      <c r="AS185" s="318">
        <f t="shared" si="159"/>
        <v>0</v>
      </c>
      <c r="AT185" s="318">
        <f t="shared" si="160"/>
        <v>0</v>
      </c>
      <c r="AU185" s="318">
        <f t="shared" si="161"/>
        <v>0</v>
      </c>
      <c r="AV185" s="318">
        <f t="shared" si="162"/>
        <v>0</v>
      </c>
      <c r="AW185" s="318">
        <f t="shared" si="163"/>
        <v>0</v>
      </c>
      <c r="AX185" s="318">
        <f t="shared" si="164"/>
        <v>0</v>
      </c>
      <c r="AY185" s="318">
        <f t="shared" si="165"/>
        <v>0</v>
      </c>
      <c r="AZ185" s="318">
        <f t="shared" si="166"/>
        <v>0</v>
      </c>
      <c r="BA185" s="318">
        <f t="shared" si="167"/>
        <v>0</v>
      </c>
    </row>
    <row r="186" spans="1:53" s="315" customFormat="1" ht="16.5" customHeight="1">
      <c r="A186" s="63" t="str">
        <f t="array" ref="A186">IF(C186&lt;&gt;0,SUM(($C$11:C186&lt;&gt;0)*1),"")</f>
        <v/>
      </c>
      <c r="B186" s="316"/>
      <c r="C186" s="316"/>
      <c r="D186" s="316"/>
      <c r="E186" s="436"/>
      <c r="F186" s="372"/>
      <c r="G186" s="374"/>
      <c r="H186" s="374"/>
      <c r="I186" s="63" t="str">
        <f t="shared" si="129"/>
        <v/>
      </c>
      <c r="J186" s="318">
        <f t="shared" si="130"/>
        <v>0</v>
      </c>
      <c r="K186" s="318">
        <f t="shared" si="131"/>
        <v>0</v>
      </c>
      <c r="L186" s="318">
        <f t="shared" si="132"/>
        <v>0</v>
      </c>
      <c r="M186" s="318">
        <f t="shared" si="133"/>
        <v>0</v>
      </c>
      <c r="N186" s="318">
        <f t="shared" si="168"/>
        <v>0</v>
      </c>
      <c r="O186" s="318">
        <f t="shared" si="169"/>
        <v>0</v>
      </c>
      <c r="P186" s="318">
        <f t="shared" si="134"/>
        <v>0</v>
      </c>
      <c r="Q186" s="318">
        <f t="shared" si="135"/>
        <v>0</v>
      </c>
      <c r="R186" s="318">
        <f t="shared" si="136"/>
        <v>0</v>
      </c>
      <c r="S186" s="318">
        <f t="shared" si="137"/>
        <v>0</v>
      </c>
      <c r="T186" s="318">
        <f t="shared" si="170"/>
        <v>0</v>
      </c>
      <c r="U186" s="318">
        <f t="shared" si="171"/>
        <v>0</v>
      </c>
      <c r="V186" s="318">
        <f t="shared" si="138"/>
        <v>0</v>
      </c>
      <c r="W186" s="318">
        <f t="shared" si="139"/>
        <v>0</v>
      </c>
      <c r="X186" s="318">
        <f t="shared" si="140"/>
        <v>0</v>
      </c>
      <c r="Y186" s="318">
        <f t="shared" si="141"/>
        <v>0</v>
      </c>
      <c r="Z186" s="318">
        <f t="shared" si="142"/>
        <v>0</v>
      </c>
      <c r="AA186" s="318">
        <f t="shared" si="143"/>
        <v>0</v>
      </c>
      <c r="AB186" s="318">
        <f t="shared" si="144"/>
        <v>0</v>
      </c>
      <c r="AC186" s="318">
        <f t="shared" si="145"/>
        <v>0</v>
      </c>
      <c r="AD186" s="318">
        <f t="shared" si="146"/>
        <v>0</v>
      </c>
      <c r="AE186" s="318">
        <f t="shared" si="147"/>
        <v>0</v>
      </c>
      <c r="AF186" s="318">
        <f t="shared" si="172"/>
        <v>0</v>
      </c>
      <c r="AG186" s="318">
        <f t="shared" si="173"/>
        <v>0</v>
      </c>
      <c r="AH186" s="318">
        <f t="shared" si="148"/>
        <v>0</v>
      </c>
      <c r="AI186" s="318">
        <f t="shared" si="149"/>
        <v>0</v>
      </c>
      <c r="AJ186" s="318">
        <f t="shared" si="150"/>
        <v>0</v>
      </c>
      <c r="AK186" s="318">
        <f t="shared" si="151"/>
        <v>0</v>
      </c>
      <c r="AL186" s="318">
        <f t="shared" si="152"/>
        <v>0</v>
      </c>
      <c r="AM186" s="318">
        <f t="shared" si="153"/>
        <v>0</v>
      </c>
      <c r="AN186" s="318">
        <f t="shared" si="154"/>
        <v>0</v>
      </c>
      <c r="AO186" s="318">
        <f t="shared" si="155"/>
        <v>0</v>
      </c>
      <c r="AP186" s="318">
        <f t="shared" si="156"/>
        <v>0</v>
      </c>
      <c r="AQ186" s="318">
        <f t="shared" si="157"/>
        <v>0</v>
      </c>
      <c r="AR186" s="318">
        <f t="shared" si="158"/>
        <v>0</v>
      </c>
      <c r="AS186" s="318">
        <f t="shared" si="159"/>
        <v>0</v>
      </c>
      <c r="AT186" s="318">
        <f t="shared" si="160"/>
        <v>0</v>
      </c>
      <c r="AU186" s="318">
        <f t="shared" si="161"/>
        <v>0</v>
      </c>
      <c r="AV186" s="318">
        <f t="shared" si="162"/>
        <v>0</v>
      </c>
      <c r="AW186" s="318">
        <f t="shared" si="163"/>
        <v>0</v>
      </c>
      <c r="AX186" s="318">
        <f t="shared" si="164"/>
        <v>0</v>
      </c>
      <c r="AY186" s="318">
        <f t="shared" si="165"/>
        <v>0</v>
      </c>
      <c r="AZ186" s="318">
        <f t="shared" si="166"/>
        <v>0</v>
      </c>
      <c r="BA186" s="318">
        <f t="shared" si="167"/>
        <v>0</v>
      </c>
    </row>
    <row r="187" spans="1:53" s="315" customFormat="1" ht="16.5" customHeight="1">
      <c r="A187" s="63" t="str">
        <f t="array" ref="A187">IF(C187&lt;&gt;0,SUM(($C$11:C187&lt;&gt;0)*1),"")</f>
        <v/>
      </c>
      <c r="B187" s="316"/>
      <c r="C187" s="316"/>
      <c r="D187" s="316"/>
      <c r="E187" s="436"/>
      <c r="F187" s="372"/>
      <c r="G187" s="374"/>
      <c r="H187" s="374"/>
      <c r="I187" s="63" t="str">
        <f t="shared" si="129"/>
        <v/>
      </c>
      <c r="J187" s="318">
        <f t="shared" si="130"/>
        <v>0</v>
      </c>
      <c r="K187" s="318">
        <f t="shared" si="131"/>
        <v>0</v>
      </c>
      <c r="L187" s="318">
        <f t="shared" si="132"/>
        <v>0</v>
      </c>
      <c r="M187" s="318">
        <f t="shared" si="133"/>
        <v>0</v>
      </c>
      <c r="N187" s="318">
        <f t="shared" si="168"/>
        <v>0</v>
      </c>
      <c r="O187" s="318">
        <f t="shared" si="169"/>
        <v>0</v>
      </c>
      <c r="P187" s="318">
        <f t="shared" si="134"/>
        <v>0</v>
      </c>
      <c r="Q187" s="318">
        <f t="shared" si="135"/>
        <v>0</v>
      </c>
      <c r="R187" s="318">
        <f t="shared" si="136"/>
        <v>0</v>
      </c>
      <c r="S187" s="318">
        <f t="shared" si="137"/>
        <v>0</v>
      </c>
      <c r="T187" s="318">
        <f t="shared" si="170"/>
        <v>0</v>
      </c>
      <c r="U187" s="318">
        <f t="shared" si="171"/>
        <v>0</v>
      </c>
      <c r="V187" s="318">
        <f t="shared" si="138"/>
        <v>0</v>
      </c>
      <c r="W187" s="318">
        <f t="shared" si="139"/>
        <v>0</v>
      </c>
      <c r="X187" s="318">
        <f t="shared" si="140"/>
        <v>0</v>
      </c>
      <c r="Y187" s="318">
        <f t="shared" si="141"/>
        <v>0</v>
      </c>
      <c r="Z187" s="318">
        <f t="shared" si="142"/>
        <v>0</v>
      </c>
      <c r="AA187" s="318">
        <f t="shared" si="143"/>
        <v>0</v>
      </c>
      <c r="AB187" s="318">
        <f t="shared" si="144"/>
        <v>0</v>
      </c>
      <c r="AC187" s="318">
        <f t="shared" si="145"/>
        <v>0</v>
      </c>
      <c r="AD187" s="318">
        <f t="shared" si="146"/>
        <v>0</v>
      </c>
      <c r="AE187" s="318">
        <f t="shared" si="147"/>
        <v>0</v>
      </c>
      <c r="AF187" s="318">
        <f t="shared" si="172"/>
        <v>0</v>
      </c>
      <c r="AG187" s="318">
        <f t="shared" si="173"/>
        <v>0</v>
      </c>
      <c r="AH187" s="318">
        <f t="shared" si="148"/>
        <v>0</v>
      </c>
      <c r="AI187" s="318">
        <f t="shared" si="149"/>
        <v>0</v>
      </c>
      <c r="AJ187" s="318">
        <f t="shared" si="150"/>
        <v>0</v>
      </c>
      <c r="AK187" s="318">
        <f t="shared" si="151"/>
        <v>0</v>
      </c>
      <c r="AL187" s="318">
        <f t="shared" si="152"/>
        <v>0</v>
      </c>
      <c r="AM187" s="318">
        <f t="shared" si="153"/>
        <v>0</v>
      </c>
      <c r="AN187" s="318">
        <f t="shared" si="154"/>
        <v>0</v>
      </c>
      <c r="AO187" s="318">
        <f t="shared" si="155"/>
        <v>0</v>
      </c>
      <c r="AP187" s="318">
        <f t="shared" si="156"/>
        <v>0</v>
      </c>
      <c r="AQ187" s="318">
        <f t="shared" si="157"/>
        <v>0</v>
      </c>
      <c r="AR187" s="318">
        <f t="shared" si="158"/>
        <v>0</v>
      </c>
      <c r="AS187" s="318">
        <f t="shared" si="159"/>
        <v>0</v>
      </c>
      <c r="AT187" s="318">
        <f t="shared" si="160"/>
        <v>0</v>
      </c>
      <c r="AU187" s="318">
        <f t="shared" si="161"/>
        <v>0</v>
      </c>
      <c r="AV187" s="318">
        <f t="shared" si="162"/>
        <v>0</v>
      </c>
      <c r="AW187" s="318">
        <f t="shared" si="163"/>
        <v>0</v>
      </c>
      <c r="AX187" s="318">
        <f t="shared" si="164"/>
        <v>0</v>
      </c>
      <c r="AY187" s="318">
        <f t="shared" si="165"/>
        <v>0</v>
      </c>
      <c r="AZ187" s="318">
        <f t="shared" si="166"/>
        <v>0</v>
      </c>
      <c r="BA187" s="318">
        <f t="shared" si="167"/>
        <v>0</v>
      </c>
    </row>
    <row r="188" spans="1:53" s="315" customFormat="1" ht="16.5" customHeight="1">
      <c r="A188" s="63" t="str">
        <f t="array" ref="A188">IF(C188&lt;&gt;0,SUM(($C$11:C188&lt;&gt;0)*1),"")</f>
        <v/>
      </c>
      <c r="B188" s="316"/>
      <c r="C188" s="316"/>
      <c r="D188" s="316"/>
      <c r="E188" s="436"/>
      <c r="F188" s="372"/>
      <c r="G188" s="374"/>
      <c r="H188" s="374"/>
      <c r="I188" s="63" t="str">
        <f t="shared" si="129"/>
        <v/>
      </c>
      <c r="J188" s="318">
        <f t="shared" si="130"/>
        <v>0</v>
      </c>
      <c r="K188" s="318">
        <f t="shared" si="131"/>
        <v>0</v>
      </c>
      <c r="L188" s="318">
        <f t="shared" si="132"/>
        <v>0</v>
      </c>
      <c r="M188" s="318">
        <f t="shared" si="133"/>
        <v>0</v>
      </c>
      <c r="N188" s="318">
        <f t="shared" si="168"/>
        <v>0</v>
      </c>
      <c r="O188" s="318">
        <f t="shared" si="169"/>
        <v>0</v>
      </c>
      <c r="P188" s="318">
        <f t="shared" si="134"/>
        <v>0</v>
      </c>
      <c r="Q188" s="318">
        <f t="shared" si="135"/>
        <v>0</v>
      </c>
      <c r="R188" s="318">
        <f t="shared" si="136"/>
        <v>0</v>
      </c>
      <c r="S188" s="318">
        <f t="shared" si="137"/>
        <v>0</v>
      </c>
      <c r="T188" s="318">
        <f t="shared" si="170"/>
        <v>0</v>
      </c>
      <c r="U188" s="318">
        <f t="shared" si="171"/>
        <v>0</v>
      </c>
      <c r="V188" s="318">
        <f t="shared" si="138"/>
        <v>0</v>
      </c>
      <c r="W188" s="318">
        <f t="shared" si="139"/>
        <v>0</v>
      </c>
      <c r="X188" s="318">
        <f t="shared" si="140"/>
        <v>0</v>
      </c>
      <c r="Y188" s="318">
        <f t="shared" si="141"/>
        <v>0</v>
      </c>
      <c r="Z188" s="318">
        <f t="shared" si="142"/>
        <v>0</v>
      </c>
      <c r="AA188" s="318">
        <f t="shared" si="143"/>
        <v>0</v>
      </c>
      <c r="AB188" s="318">
        <f t="shared" si="144"/>
        <v>0</v>
      </c>
      <c r="AC188" s="318">
        <f t="shared" si="145"/>
        <v>0</v>
      </c>
      <c r="AD188" s="318">
        <f t="shared" si="146"/>
        <v>0</v>
      </c>
      <c r="AE188" s="318">
        <f t="shared" si="147"/>
        <v>0</v>
      </c>
      <c r="AF188" s="318">
        <f t="shared" si="172"/>
        <v>0</v>
      </c>
      <c r="AG188" s="318">
        <f t="shared" si="173"/>
        <v>0</v>
      </c>
      <c r="AH188" s="318">
        <f t="shared" si="148"/>
        <v>0</v>
      </c>
      <c r="AI188" s="318">
        <f t="shared" si="149"/>
        <v>0</v>
      </c>
      <c r="AJ188" s="318">
        <f t="shared" si="150"/>
        <v>0</v>
      </c>
      <c r="AK188" s="318">
        <f t="shared" si="151"/>
        <v>0</v>
      </c>
      <c r="AL188" s="318">
        <f t="shared" si="152"/>
        <v>0</v>
      </c>
      <c r="AM188" s="318">
        <f t="shared" si="153"/>
        <v>0</v>
      </c>
      <c r="AN188" s="318">
        <f t="shared" si="154"/>
        <v>0</v>
      </c>
      <c r="AO188" s="318">
        <f t="shared" si="155"/>
        <v>0</v>
      </c>
      <c r="AP188" s="318">
        <f t="shared" si="156"/>
        <v>0</v>
      </c>
      <c r="AQ188" s="318">
        <f t="shared" si="157"/>
        <v>0</v>
      </c>
      <c r="AR188" s="318">
        <f t="shared" si="158"/>
        <v>0</v>
      </c>
      <c r="AS188" s="318">
        <f t="shared" si="159"/>
        <v>0</v>
      </c>
      <c r="AT188" s="318">
        <f t="shared" si="160"/>
        <v>0</v>
      </c>
      <c r="AU188" s="318">
        <f t="shared" si="161"/>
        <v>0</v>
      </c>
      <c r="AV188" s="318">
        <f t="shared" si="162"/>
        <v>0</v>
      </c>
      <c r="AW188" s="318">
        <f t="shared" si="163"/>
        <v>0</v>
      </c>
      <c r="AX188" s="318">
        <f t="shared" si="164"/>
        <v>0</v>
      </c>
      <c r="AY188" s="318">
        <f t="shared" si="165"/>
        <v>0</v>
      </c>
      <c r="AZ188" s="318">
        <f t="shared" si="166"/>
        <v>0</v>
      </c>
      <c r="BA188" s="318">
        <f t="shared" si="167"/>
        <v>0</v>
      </c>
    </row>
    <row r="189" spans="1:53" s="315" customFormat="1" ht="16.5" customHeight="1">
      <c r="A189" s="63" t="str">
        <f t="array" ref="A189">IF(C189&lt;&gt;0,SUM(($C$11:C189&lt;&gt;0)*1),"")</f>
        <v/>
      </c>
      <c r="B189" s="316"/>
      <c r="C189" s="316"/>
      <c r="D189" s="316"/>
      <c r="E189" s="436"/>
      <c r="F189" s="372"/>
      <c r="G189" s="374"/>
      <c r="H189" s="374"/>
      <c r="I189" s="63" t="str">
        <f t="shared" si="129"/>
        <v/>
      </c>
      <c r="J189" s="318">
        <f t="shared" si="130"/>
        <v>0</v>
      </c>
      <c r="K189" s="318">
        <f t="shared" si="131"/>
        <v>0</v>
      </c>
      <c r="L189" s="318">
        <f t="shared" si="132"/>
        <v>0</v>
      </c>
      <c r="M189" s="318">
        <f t="shared" si="133"/>
        <v>0</v>
      </c>
      <c r="N189" s="318">
        <f t="shared" si="168"/>
        <v>0</v>
      </c>
      <c r="O189" s="318">
        <f t="shared" si="169"/>
        <v>0</v>
      </c>
      <c r="P189" s="318">
        <f t="shared" si="134"/>
        <v>0</v>
      </c>
      <c r="Q189" s="318">
        <f t="shared" si="135"/>
        <v>0</v>
      </c>
      <c r="R189" s="318">
        <f t="shared" si="136"/>
        <v>0</v>
      </c>
      <c r="S189" s="318">
        <f t="shared" si="137"/>
        <v>0</v>
      </c>
      <c r="T189" s="318">
        <f t="shared" si="170"/>
        <v>0</v>
      </c>
      <c r="U189" s="318">
        <f t="shared" si="171"/>
        <v>0</v>
      </c>
      <c r="V189" s="318">
        <f t="shared" si="138"/>
        <v>0</v>
      </c>
      <c r="W189" s="318">
        <f t="shared" si="139"/>
        <v>0</v>
      </c>
      <c r="X189" s="318">
        <f t="shared" si="140"/>
        <v>0</v>
      </c>
      <c r="Y189" s="318">
        <f t="shared" si="141"/>
        <v>0</v>
      </c>
      <c r="Z189" s="318">
        <f t="shared" si="142"/>
        <v>0</v>
      </c>
      <c r="AA189" s="318">
        <f t="shared" si="143"/>
        <v>0</v>
      </c>
      <c r="AB189" s="318">
        <f t="shared" si="144"/>
        <v>0</v>
      </c>
      <c r="AC189" s="318">
        <f t="shared" si="145"/>
        <v>0</v>
      </c>
      <c r="AD189" s="318">
        <f t="shared" si="146"/>
        <v>0</v>
      </c>
      <c r="AE189" s="318">
        <f t="shared" si="147"/>
        <v>0</v>
      </c>
      <c r="AF189" s="318">
        <f t="shared" si="172"/>
        <v>0</v>
      </c>
      <c r="AG189" s="318">
        <f t="shared" si="173"/>
        <v>0</v>
      </c>
      <c r="AH189" s="318">
        <f t="shared" si="148"/>
        <v>0</v>
      </c>
      <c r="AI189" s="318">
        <f t="shared" si="149"/>
        <v>0</v>
      </c>
      <c r="AJ189" s="318">
        <f t="shared" si="150"/>
        <v>0</v>
      </c>
      <c r="AK189" s="318">
        <f t="shared" si="151"/>
        <v>0</v>
      </c>
      <c r="AL189" s="318">
        <f t="shared" si="152"/>
        <v>0</v>
      </c>
      <c r="AM189" s="318">
        <f t="shared" si="153"/>
        <v>0</v>
      </c>
      <c r="AN189" s="318">
        <f t="shared" si="154"/>
        <v>0</v>
      </c>
      <c r="AO189" s="318">
        <f t="shared" si="155"/>
        <v>0</v>
      </c>
      <c r="AP189" s="318">
        <f t="shared" si="156"/>
        <v>0</v>
      </c>
      <c r="AQ189" s="318">
        <f t="shared" si="157"/>
        <v>0</v>
      </c>
      <c r="AR189" s="318">
        <f t="shared" si="158"/>
        <v>0</v>
      </c>
      <c r="AS189" s="318">
        <f t="shared" si="159"/>
        <v>0</v>
      </c>
      <c r="AT189" s="318">
        <f t="shared" si="160"/>
        <v>0</v>
      </c>
      <c r="AU189" s="318">
        <f t="shared" si="161"/>
        <v>0</v>
      </c>
      <c r="AV189" s="318">
        <f t="shared" si="162"/>
        <v>0</v>
      </c>
      <c r="AW189" s="318">
        <f t="shared" si="163"/>
        <v>0</v>
      </c>
      <c r="AX189" s="318">
        <f t="shared" si="164"/>
        <v>0</v>
      </c>
      <c r="AY189" s="318">
        <f t="shared" si="165"/>
        <v>0</v>
      </c>
      <c r="AZ189" s="318">
        <f t="shared" si="166"/>
        <v>0</v>
      </c>
      <c r="BA189" s="318">
        <f t="shared" si="167"/>
        <v>0</v>
      </c>
    </row>
    <row r="190" spans="1:53" s="315" customFormat="1" ht="16.5" customHeight="1">
      <c r="A190" s="63" t="str">
        <f t="array" ref="A190">IF(C190&lt;&gt;0,SUM(($C$11:C190&lt;&gt;0)*1),"")</f>
        <v/>
      </c>
      <c r="B190" s="316"/>
      <c r="C190" s="316"/>
      <c r="D190" s="316"/>
      <c r="E190" s="436"/>
      <c r="F190" s="372"/>
      <c r="G190" s="374"/>
      <c r="H190" s="374"/>
      <c r="I190" s="63" t="str">
        <f t="shared" si="129"/>
        <v/>
      </c>
      <c r="J190" s="318">
        <f t="shared" si="130"/>
        <v>0</v>
      </c>
      <c r="K190" s="318">
        <f t="shared" si="131"/>
        <v>0</v>
      </c>
      <c r="L190" s="318">
        <f t="shared" si="132"/>
        <v>0</v>
      </c>
      <c r="M190" s="318">
        <f t="shared" si="133"/>
        <v>0</v>
      </c>
      <c r="N190" s="318">
        <f t="shared" si="168"/>
        <v>0</v>
      </c>
      <c r="O190" s="318">
        <f t="shared" si="169"/>
        <v>0</v>
      </c>
      <c r="P190" s="318">
        <f t="shared" si="134"/>
        <v>0</v>
      </c>
      <c r="Q190" s="318">
        <f t="shared" si="135"/>
        <v>0</v>
      </c>
      <c r="R190" s="318">
        <f t="shared" si="136"/>
        <v>0</v>
      </c>
      <c r="S190" s="318">
        <f t="shared" si="137"/>
        <v>0</v>
      </c>
      <c r="T190" s="318">
        <f t="shared" si="170"/>
        <v>0</v>
      </c>
      <c r="U190" s="318">
        <f t="shared" si="171"/>
        <v>0</v>
      </c>
      <c r="V190" s="318">
        <f t="shared" si="138"/>
        <v>0</v>
      </c>
      <c r="W190" s="318">
        <f t="shared" si="139"/>
        <v>0</v>
      </c>
      <c r="X190" s="318">
        <f t="shared" si="140"/>
        <v>0</v>
      </c>
      <c r="Y190" s="318">
        <f t="shared" si="141"/>
        <v>0</v>
      </c>
      <c r="Z190" s="318">
        <f t="shared" si="142"/>
        <v>0</v>
      </c>
      <c r="AA190" s="318">
        <f t="shared" si="143"/>
        <v>0</v>
      </c>
      <c r="AB190" s="318">
        <f t="shared" si="144"/>
        <v>0</v>
      </c>
      <c r="AC190" s="318">
        <f t="shared" si="145"/>
        <v>0</v>
      </c>
      <c r="AD190" s="318">
        <f t="shared" si="146"/>
        <v>0</v>
      </c>
      <c r="AE190" s="318">
        <f t="shared" si="147"/>
        <v>0</v>
      </c>
      <c r="AF190" s="318">
        <f t="shared" si="172"/>
        <v>0</v>
      </c>
      <c r="AG190" s="318">
        <f t="shared" si="173"/>
        <v>0</v>
      </c>
      <c r="AH190" s="318">
        <f t="shared" si="148"/>
        <v>0</v>
      </c>
      <c r="AI190" s="318">
        <f t="shared" si="149"/>
        <v>0</v>
      </c>
      <c r="AJ190" s="318">
        <f t="shared" si="150"/>
        <v>0</v>
      </c>
      <c r="AK190" s="318">
        <f t="shared" si="151"/>
        <v>0</v>
      </c>
      <c r="AL190" s="318">
        <f t="shared" si="152"/>
        <v>0</v>
      </c>
      <c r="AM190" s="318">
        <f t="shared" si="153"/>
        <v>0</v>
      </c>
      <c r="AN190" s="318">
        <f t="shared" si="154"/>
        <v>0</v>
      </c>
      <c r="AO190" s="318">
        <f t="shared" si="155"/>
        <v>0</v>
      </c>
      <c r="AP190" s="318">
        <f t="shared" si="156"/>
        <v>0</v>
      </c>
      <c r="AQ190" s="318">
        <f t="shared" si="157"/>
        <v>0</v>
      </c>
      <c r="AR190" s="318">
        <f t="shared" si="158"/>
        <v>0</v>
      </c>
      <c r="AS190" s="318">
        <f t="shared" si="159"/>
        <v>0</v>
      </c>
      <c r="AT190" s="318">
        <f t="shared" si="160"/>
        <v>0</v>
      </c>
      <c r="AU190" s="318">
        <f t="shared" si="161"/>
        <v>0</v>
      </c>
      <c r="AV190" s="318">
        <f t="shared" si="162"/>
        <v>0</v>
      </c>
      <c r="AW190" s="318">
        <f t="shared" si="163"/>
        <v>0</v>
      </c>
      <c r="AX190" s="318">
        <f t="shared" si="164"/>
        <v>0</v>
      </c>
      <c r="AY190" s="318">
        <f t="shared" si="165"/>
        <v>0</v>
      </c>
      <c r="AZ190" s="318">
        <f t="shared" si="166"/>
        <v>0</v>
      </c>
      <c r="BA190" s="318">
        <f t="shared" si="167"/>
        <v>0</v>
      </c>
    </row>
    <row r="191" spans="1:53" s="315" customFormat="1" ht="16.5" customHeight="1">
      <c r="A191" s="63" t="str">
        <f t="array" ref="A191">IF(C191&lt;&gt;0,SUM(($C$11:C191&lt;&gt;0)*1),"")</f>
        <v/>
      </c>
      <c r="B191" s="316"/>
      <c r="C191" s="316"/>
      <c r="D191" s="316"/>
      <c r="E191" s="436"/>
      <c r="F191" s="372"/>
      <c r="G191" s="374"/>
      <c r="H191" s="374"/>
      <c r="I191" s="63" t="str">
        <f t="shared" si="129"/>
        <v/>
      </c>
      <c r="J191" s="318">
        <f t="shared" si="130"/>
        <v>0</v>
      </c>
      <c r="K191" s="318">
        <f t="shared" si="131"/>
        <v>0</v>
      </c>
      <c r="L191" s="318">
        <f t="shared" si="132"/>
        <v>0</v>
      </c>
      <c r="M191" s="318">
        <f t="shared" si="133"/>
        <v>0</v>
      </c>
      <c r="N191" s="318">
        <f t="shared" si="168"/>
        <v>0</v>
      </c>
      <c r="O191" s="318">
        <f t="shared" si="169"/>
        <v>0</v>
      </c>
      <c r="P191" s="318">
        <f t="shared" si="134"/>
        <v>0</v>
      </c>
      <c r="Q191" s="318">
        <f t="shared" si="135"/>
        <v>0</v>
      </c>
      <c r="R191" s="318">
        <f t="shared" si="136"/>
        <v>0</v>
      </c>
      <c r="S191" s="318">
        <f t="shared" si="137"/>
        <v>0</v>
      </c>
      <c r="T191" s="318">
        <f t="shared" si="170"/>
        <v>0</v>
      </c>
      <c r="U191" s="318">
        <f t="shared" si="171"/>
        <v>0</v>
      </c>
      <c r="V191" s="318">
        <f t="shared" si="138"/>
        <v>0</v>
      </c>
      <c r="W191" s="318">
        <f t="shared" si="139"/>
        <v>0</v>
      </c>
      <c r="X191" s="318">
        <f t="shared" si="140"/>
        <v>0</v>
      </c>
      <c r="Y191" s="318">
        <f t="shared" si="141"/>
        <v>0</v>
      </c>
      <c r="Z191" s="318">
        <f t="shared" si="142"/>
        <v>0</v>
      </c>
      <c r="AA191" s="318">
        <f t="shared" si="143"/>
        <v>0</v>
      </c>
      <c r="AB191" s="318">
        <f t="shared" si="144"/>
        <v>0</v>
      </c>
      <c r="AC191" s="318">
        <f t="shared" si="145"/>
        <v>0</v>
      </c>
      <c r="AD191" s="318">
        <f t="shared" si="146"/>
        <v>0</v>
      </c>
      <c r="AE191" s="318">
        <f t="shared" si="147"/>
        <v>0</v>
      </c>
      <c r="AF191" s="318">
        <f t="shared" si="172"/>
        <v>0</v>
      </c>
      <c r="AG191" s="318">
        <f t="shared" si="173"/>
        <v>0</v>
      </c>
      <c r="AH191" s="318">
        <f t="shared" si="148"/>
        <v>0</v>
      </c>
      <c r="AI191" s="318">
        <f t="shared" si="149"/>
        <v>0</v>
      </c>
      <c r="AJ191" s="318">
        <f t="shared" si="150"/>
        <v>0</v>
      </c>
      <c r="AK191" s="318">
        <f t="shared" si="151"/>
        <v>0</v>
      </c>
      <c r="AL191" s="318">
        <f t="shared" si="152"/>
        <v>0</v>
      </c>
      <c r="AM191" s="318">
        <f t="shared" si="153"/>
        <v>0</v>
      </c>
      <c r="AN191" s="318">
        <f t="shared" si="154"/>
        <v>0</v>
      </c>
      <c r="AO191" s="318">
        <f t="shared" si="155"/>
        <v>0</v>
      </c>
      <c r="AP191" s="318">
        <f t="shared" si="156"/>
        <v>0</v>
      </c>
      <c r="AQ191" s="318">
        <f t="shared" si="157"/>
        <v>0</v>
      </c>
      <c r="AR191" s="318">
        <f t="shared" si="158"/>
        <v>0</v>
      </c>
      <c r="AS191" s="318">
        <f t="shared" si="159"/>
        <v>0</v>
      </c>
      <c r="AT191" s="318">
        <f t="shared" si="160"/>
        <v>0</v>
      </c>
      <c r="AU191" s="318">
        <f t="shared" si="161"/>
        <v>0</v>
      </c>
      <c r="AV191" s="318">
        <f t="shared" si="162"/>
        <v>0</v>
      </c>
      <c r="AW191" s="318">
        <f t="shared" si="163"/>
        <v>0</v>
      </c>
      <c r="AX191" s="318">
        <f t="shared" si="164"/>
        <v>0</v>
      </c>
      <c r="AY191" s="318">
        <f t="shared" si="165"/>
        <v>0</v>
      </c>
      <c r="AZ191" s="318">
        <f t="shared" si="166"/>
        <v>0</v>
      </c>
      <c r="BA191" s="318">
        <f t="shared" si="167"/>
        <v>0</v>
      </c>
    </row>
    <row r="192" spans="1:53" s="315" customFormat="1" ht="16.5" customHeight="1">
      <c r="A192" s="63" t="str">
        <f t="array" ref="A192">IF(C192&lt;&gt;0,SUM(($C$11:C192&lt;&gt;0)*1),"")</f>
        <v/>
      </c>
      <c r="B192" s="316"/>
      <c r="C192" s="316"/>
      <c r="D192" s="316"/>
      <c r="E192" s="436"/>
      <c r="F192" s="372"/>
      <c r="G192" s="374"/>
      <c r="H192" s="374"/>
      <c r="I192" s="63" t="str">
        <f t="shared" si="129"/>
        <v/>
      </c>
      <c r="J192" s="318">
        <f t="shared" si="130"/>
        <v>0</v>
      </c>
      <c r="K192" s="318">
        <f t="shared" si="131"/>
        <v>0</v>
      </c>
      <c r="L192" s="318">
        <f t="shared" si="132"/>
        <v>0</v>
      </c>
      <c r="M192" s="318">
        <f t="shared" si="133"/>
        <v>0</v>
      </c>
      <c r="N192" s="318">
        <f t="shared" si="168"/>
        <v>0</v>
      </c>
      <c r="O192" s="318">
        <f t="shared" si="169"/>
        <v>0</v>
      </c>
      <c r="P192" s="318">
        <f t="shared" si="134"/>
        <v>0</v>
      </c>
      <c r="Q192" s="318">
        <f t="shared" si="135"/>
        <v>0</v>
      </c>
      <c r="R192" s="318">
        <f t="shared" si="136"/>
        <v>0</v>
      </c>
      <c r="S192" s="318">
        <f t="shared" si="137"/>
        <v>0</v>
      </c>
      <c r="T192" s="318">
        <f t="shared" si="170"/>
        <v>0</v>
      </c>
      <c r="U192" s="318">
        <f t="shared" si="171"/>
        <v>0</v>
      </c>
      <c r="V192" s="318">
        <f t="shared" si="138"/>
        <v>0</v>
      </c>
      <c r="W192" s="318">
        <f t="shared" si="139"/>
        <v>0</v>
      </c>
      <c r="X192" s="318">
        <f t="shared" si="140"/>
        <v>0</v>
      </c>
      <c r="Y192" s="318">
        <f t="shared" si="141"/>
        <v>0</v>
      </c>
      <c r="Z192" s="318">
        <f t="shared" si="142"/>
        <v>0</v>
      </c>
      <c r="AA192" s="318">
        <f t="shared" si="143"/>
        <v>0</v>
      </c>
      <c r="AB192" s="318">
        <f t="shared" si="144"/>
        <v>0</v>
      </c>
      <c r="AC192" s="318">
        <f t="shared" si="145"/>
        <v>0</v>
      </c>
      <c r="AD192" s="318">
        <f t="shared" si="146"/>
        <v>0</v>
      </c>
      <c r="AE192" s="318">
        <f t="shared" si="147"/>
        <v>0</v>
      </c>
      <c r="AF192" s="318">
        <f t="shared" si="172"/>
        <v>0</v>
      </c>
      <c r="AG192" s="318">
        <f t="shared" si="173"/>
        <v>0</v>
      </c>
      <c r="AH192" s="318">
        <f t="shared" si="148"/>
        <v>0</v>
      </c>
      <c r="AI192" s="318">
        <f t="shared" si="149"/>
        <v>0</v>
      </c>
      <c r="AJ192" s="318">
        <f t="shared" si="150"/>
        <v>0</v>
      </c>
      <c r="AK192" s="318">
        <f t="shared" si="151"/>
        <v>0</v>
      </c>
      <c r="AL192" s="318">
        <f t="shared" si="152"/>
        <v>0</v>
      </c>
      <c r="AM192" s="318">
        <f t="shared" si="153"/>
        <v>0</v>
      </c>
      <c r="AN192" s="318">
        <f t="shared" si="154"/>
        <v>0</v>
      </c>
      <c r="AO192" s="318">
        <f t="shared" si="155"/>
        <v>0</v>
      </c>
      <c r="AP192" s="318">
        <f t="shared" si="156"/>
        <v>0</v>
      </c>
      <c r="AQ192" s="318">
        <f t="shared" si="157"/>
        <v>0</v>
      </c>
      <c r="AR192" s="318">
        <f t="shared" si="158"/>
        <v>0</v>
      </c>
      <c r="AS192" s="318">
        <f t="shared" si="159"/>
        <v>0</v>
      </c>
      <c r="AT192" s="318">
        <f t="shared" si="160"/>
        <v>0</v>
      </c>
      <c r="AU192" s="318">
        <f t="shared" si="161"/>
        <v>0</v>
      </c>
      <c r="AV192" s="318">
        <f t="shared" si="162"/>
        <v>0</v>
      </c>
      <c r="AW192" s="318">
        <f t="shared" si="163"/>
        <v>0</v>
      </c>
      <c r="AX192" s="318">
        <f t="shared" si="164"/>
        <v>0</v>
      </c>
      <c r="AY192" s="318">
        <f t="shared" si="165"/>
        <v>0</v>
      </c>
      <c r="AZ192" s="318">
        <f t="shared" si="166"/>
        <v>0</v>
      </c>
      <c r="BA192" s="318">
        <f t="shared" si="167"/>
        <v>0</v>
      </c>
    </row>
    <row r="193" spans="1:53" s="315" customFormat="1" ht="16.5" customHeight="1">
      <c r="A193" s="63" t="str">
        <f t="array" ref="A193">IF(C193&lt;&gt;0,SUM(($C$11:C193&lt;&gt;0)*1),"")</f>
        <v/>
      </c>
      <c r="B193" s="316"/>
      <c r="C193" s="316"/>
      <c r="D193" s="316"/>
      <c r="E193" s="436"/>
      <c r="F193" s="372"/>
      <c r="G193" s="374"/>
      <c r="H193" s="374"/>
      <c r="I193" s="63" t="str">
        <f t="shared" si="129"/>
        <v/>
      </c>
      <c r="J193" s="318">
        <f t="shared" si="130"/>
        <v>0</v>
      </c>
      <c r="K193" s="318">
        <f t="shared" si="131"/>
        <v>0</v>
      </c>
      <c r="L193" s="318">
        <f t="shared" si="132"/>
        <v>0</v>
      </c>
      <c r="M193" s="318">
        <f t="shared" si="133"/>
        <v>0</v>
      </c>
      <c r="N193" s="318">
        <f t="shared" si="168"/>
        <v>0</v>
      </c>
      <c r="O193" s="318">
        <f t="shared" si="169"/>
        <v>0</v>
      </c>
      <c r="P193" s="318">
        <f t="shared" si="134"/>
        <v>0</v>
      </c>
      <c r="Q193" s="318">
        <f t="shared" si="135"/>
        <v>0</v>
      </c>
      <c r="R193" s="318">
        <f t="shared" si="136"/>
        <v>0</v>
      </c>
      <c r="S193" s="318">
        <f t="shared" si="137"/>
        <v>0</v>
      </c>
      <c r="T193" s="318">
        <f t="shared" si="170"/>
        <v>0</v>
      </c>
      <c r="U193" s="318">
        <f t="shared" si="171"/>
        <v>0</v>
      </c>
      <c r="V193" s="318">
        <f t="shared" si="138"/>
        <v>0</v>
      </c>
      <c r="W193" s="318">
        <f t="shared" si="139"/>
        <v>0</v>
      </c>
      <c r="X193" s="318">
        <f t="shared" si="140"/>
        <v>0</v>
      </c>
      <c r="Y193" s="318">
        <f t="shared" si="141"/>
        <v>0</v>
      </c>
      <c r="Z193" s="318">
        <f t="shared" si="142"/>
        <v>0</v>
      </c>
      <c r="AA193" s="318">
        <f t="shared" si="143"/>
        <v>0</v>
      </c>
      <c r="AB193" s="318">
        <f t="shared" si="144"/>
        <v>0</v>
      </c>
      <c r="AC193" s="318">
        <f t="shared" si="145"/>
        <v>0</v>
      </c>
      <c r="AD193" s="318">
        <f t="shared" si="146"/>
        <v>0</v>
      </c>
      <c r="AE193" s="318">
        <f t="shared" si="147"/>
        <v>0</v>
      </c>
      <c r="AF193" s="318">
        <f t="shared" si="172"/>
        <v>0</v>
      </c>
      <c r="AG193" s="318">
        <f t="shared" si="173"/>
        <v>0</v>
      </c>
      <c r="AH193" s="318">
        <f t="shared" si="148"/>
        <v>0</v>
      </c>
      <c r="AI193" s="318">
        <f t="shared" si="149"/>
        <v>0</v>
      </c>
      <c r="AJ193" s="318">
        <f t="shared" si="150"/>
        <v>0</v>
      </c>
      <c r="AK193" s="318">
        <f t="shared" si="151"/>
        <v>0</v>
      </c>
      <c r="AL193" s="318">
        <f t="shared" si="152"/>
        <v>0</v>
      </c>
      <c r="AM193" s="318">
        <f t="shared" si="153"/>
        <v>0</v>
      </c>
      <c r="AN193" s="318">
        <f t="shared" si="154"/>
        <v>0</v>
      </c>
      <c r="AO193" s="318">
        <f t="shared" si="155"/>
        <v>0</v>
      </c>
      <c r="AP193" s="318">
        <f t="shared" si="156"/>
        <v>0</v>
      </c>
      <c r="AQ193" s="318">
        <f t="shared" si="157"/>
        <v>0</v>
      </c>
      <c r="AR193" s="318">
        <f t="shared" si="158"/>
        <v>0</v>
      </c>
      <c r="AS193" s="318">
        <f t="shared" si="159"/>
        <v>0</v>
      </c>
      <c r="AT193" s="318">
        <f t="shared" si="160"/>
        <v>0</v>
      </c>
      <c r="AU193" s="318">
        <f t="shared" si="161"/>
        <v>0</v>
      </c>
      <c r="AV193" s="318">
        <f t="shared" si="162"/>
        <v>0</v>
      </c>
      <c r="AW193" s="318">
        <f t="shared" si="163"/>
        <v>0</v>
      </c>
      <c r="AX193" s="318">
        <f t="shared" si="164"/>
        <v>0</v>
      </c>
      <c r="AY193" s="318">
        <f t="shared" si="165"/>
        <v>0</v>
      </c>
      <c r="AZ193" s="318">
        <f t="shared" si="166"/>
        <v>0</v>
      </c>
      <c r="BA193" s="318">
        <f t="shared" si="167"/>
        <v>0</v>
      </c>
    </row>
    <row r="194" spans="1:53" s="315" customFormat="1" ht="16.5" customHeight="1">
      <c r="A194" s="63" t="str">
        <f t="array" ref="A194">IF(C194&lt;&gt;0,SUM(($C$11:C194&lt;&gt;0)*1),"")</f>
        <v/>
      </c>
      <c r="B194" s="316"/>
      <c r="C194" s="316"/>
      <c r="D194" s="316"/>
      <c r="E194" s="436"/>
      <c r="F194" s="372"/>
      <c r="G194" s="374"/>
      <c r="H194" s="374"/>
      <c r="I194" s="63" t="str">
        <f t="shared" si="129"/>
        <v/>
      </c>
      <c r="J194" s="318">
        <f t="shared" si="130"/>
        <v>0</v>
      </c>
      <c r="K194" s="318">
        <f t="shared" si="131"/>
        <v>0</v>
      </c>
      <c r="L194" s="318">
        <f t="shared" si="132"/>
        <v>0</v>
      </c>
      <c r="M194" s="318">
        <f t="shared" si="133"/>
        <v>0</v>
      </c>
      <c r="N194" s="318">
        <f t="shared" si="168"/>
        <v>0</v>
      </c>
      <c r="O194" s="318">
        <f t="shared" si="169"/>
        <v>0</v>
      </c>
      <c r="P194" s="318">
        <f t="shared" si="134"/>
        <v>0</v>
      </c>
      <c r="Q194" s="318">
        <f t="shared" si="135"/>
        <v>0</v>
      </c>
      <c r="R194" s="318">
        <f t="shared" si="136"/>
        <v>0</v>
      </c>
      <c r="S194" s="318">
        <f t="shared" si="137"/>
        <v>0</v>
      </c>
      <c r="T194" s="318">
        <f t="shared" si="170"/>
        <v>0</v>
      </c>
      <c r="U194" s="318">
        <f t="shared" si="171"/>
        <v>0</v>
      </c>
      <c r="V194" s="318">
        <f t="shared" si="138"/>
        <v>0</v>
      </c>
      <c r="W194" s="318">
        <f t="shared" si="139"/>
        <v>0</v>
      </c>
      <c r="X194" s="318">
        <f t="shared" si="140"/>
        <v>0</v>
      </c>
      <c r="Y194" s="318">
        <f t="shared" si="141"/>
        <v>0</v>
      </c>
      <c r="Z194" s="318">
        <f t="shared" si="142"/>
        <v>0</v>
      </c>
      <c r="AA194" s="318">
        <f t="shared" si="143"/>
        <v>0</v>
      </c>
      <c r="AB194" s="318">
        <f t="shared" si="144"/>
        <v>0</v>
      </c>
      <c r="AC194" s="318">
        <f t="shared" si="145"/>
        <v>0</v>
      </c>
      <c r="AD194" s="318">
        <f t="shared" si="146"/>
        <v>0</v>
      </c>
      <c r="AE194" s="318">
        <f t="shared" si="147"/>
        <v>0</v>
      </c>
      <c r="AF194" s="318">
        <f t="shared" si="172"/>
        <v>0</v>
      </c>
      <c r="AG194" s="318">
        <f t="shared" si="173"/>
        <v>0</v>
      </c>
      <c r="AH194" s="318">
        <f t="shared" si="148"/>
        <v>0</v>
      </c>
      <c r="AI194" s="318">
        <f t="shared" si="149"/>
        <v>0</v>
      </c>
      <c r="AJ194" s="318">
        <f t="shared" si="150"/>
        <v>0</v>
      </c>
      <c r="AK194" s="318">
        <f t="shared" si="151"/>
        <v>0</v>
      </c>
      <c r="AL194" s="318">
        <f t="shared" si="152"/>
        <v>0</v>
      </c>
      <c r="AM194" s="318">
        <f t="shared" si="153"/>
        <v>0</v>
      </c>
      <c r="AN194" s="318">
        <f t="shared" si="154"/>
        <v>0</v>
      </c>
      <c r="AO194" s="318">
        <f t="shared" si="155"/>
        <v>0</v>
      </c>
      <c r="AP194" s="318">
        <f t="shared" si="156"/>
        <v>0</v>
      </c>
      <c r="AQ194" s="318">
        <f t="shared" si="157"/>
        <v>0</v>
      </c>
      <c r="AR194" s="318">
        <f t="shared" si="158"/>
        <v>0</v>
      </c>
      <c r="AS194" s="318">
        <f t="shared" si="159"/>
        <v>0</v>
      </c>
      <c r="AT194" s="318">
        <f t="shared" si="160"/>
        <v>0</v>
      </c>
      <c r="AU194" s="318">
        <f t="shared" si="161"/>
        <v>0</v>
      </c>
      <c r="AV194" s="318">
        <f t="shared" si="162"/>
        <v>0</v>
      </c>
      <c r="AW194" s="318">
        <f t="shared" si="163"/>
        <v>0</v>
      </c>
      <c r="AX194" s="318">
        <f t="shared" si="164"/>
        <v>0</v>
      </c>
      <c r="AY194" s="318">
        <f t="shared" si="165"/>
        <v>0</v>
      </c>
      <c r="AZ194" s="318">
        <f t="shared" si="166"/>
        <v>0</v>
      </c>
      <c r="BA194" s="318">
        <f t="shared" si="167"/>
        <v>0</v>
      </c>
    </row>
    <row r="195" spans="1:53" s="315" customFormat="1" ht="16.5" customHeight="1">
      <c r="A195" s="63" t="str">
        <f t="array" ref="A195">IF(C195&lt;&gt;0,SUM(($C$11:C195&lt;&gt;0)*1),"")</f>
        <v/>
      </c>
      <c r="B195" s="316"/>
      <c r="C195" s="316"/>
      <c r="D195" s="316"/>
      <c r="E195" s="436"/>
      <c r="F195" s="372"/>
      <c r="G195" s="374"/>
      <c r="H195" s="374"/>
      <c r="I195" s="63" t="str">
        <f t="shared" si="129"/>
        <v/>
      </c>
      <c r="J195" s="318">
        <f t="shared" si="130"/>
        <v>0</v>
      </c>
      <c r="K195" s="318">
        <f t="shared" si="131"/>
        <v>0</v>
      </c>
      <c r="L195" s="318">
        <f t="shared" si="132"/>
        <v>0</v>
      </c>
      <c r="M195" s="318">
        <f t="shared" si="133"/>
        <v>0</v>
      </c>
      <c r="N195" s="318">
        <f t="shared" si="168"/>
        <v>0</v>
      </c>
      <c r="O195" s="318">
        <f t="shared" si="169"/>
        <v>0</v>
      </c>
      <c r="P195" s="318">
        <f t="shared" si="134"/>
        <v>0</v>
      </c>
      <c r="Q195" s="318">
        <f t="shared" si="135"/>
        <v>0</v>
      </c>
      <c r="R195" s="318">
        <f t="shared" si="136"/>
        <v>0</v>
      </c>
      <c r="S195" s="318">
        <f t="shared" si="137"/>
        <v>0</v>
      </c>
      <c r="T195" s="318">
        <f t="shared" si="170"/>
        <v>0</v>
      </c>
      <c r="U195" s="318">
        <f t="shared" si="171"/>
        <v>0</v>
      </c>
      <c r="V195" s="318">
        <f t="shared" si="138"/>
        <v>0</v>
      </c>
      <c r="W195" s="318">
        <f t="shared" si="139"/>
        <v>0</v>
      </c>
      <c r="X195" s="318">
        <f t="shared" si="140"/>
        <v>0</v>
      </c>
      <c r="Y195" s="318">
        <f t="shared" si="141"/>
        <v>0</v>
      </c>
      <c r="Z195" s="318">
        <f t="shared" si="142"/>
        <v>0</v>
      </c>
      <c r="AA195" s="318">
        <f t="shared" si="143"/>
        <v>0</v>
      </c>
      <c r="AB195" s="318">
        <f t="shared" si="144"/>
        <v>0</v>
      </c>
      <c r="AC195" s="318">
        <f t="shared" si="145"/>
        <v>0</v>
      </c>
      <c r="AD195" s="318">
        <f t="shared" si="146"/>
        <v>0</v>
      </c>
      <c r="AE195" s="318">
        <f t="shared" si="147"/>
        <v>0</v>
      </c>
      <c r="AF195" s="318">
        <f t="shared" si="172"/>
        <v>0</v>
      </c>
      <c r="AG195" s="318">
        <f t="shared" si="173"/>
        <v>0</v>
      </c>
      <c r="AH195" s="318">
        <f t="shared" si="148"/>
        <v>0</v>
      </c>
      <c r="AI195" s="318">
        <f t="shared" si="149"/>
        <v>0</v>
      </c>
      <c r="AJ195" s="318">
        <f t="shared" si="150"/>
        <v>0</v>
      </c>
      <c r="AK195" s="318">
        <f t="shared" si="151"/>
        <v>0</v>
      </c>
      <c r="AL195" s="318">
        <f t="shared" si="152"/>
        <v>0</v>
      </c>
      <c r="AM195" s="318">
        <f t="shared" si="153"/>
        <v>0</v>
      </c>
      <c r="AN195" s="318">
        <f t="shared" si="154"/>
        <v>0</v>
      </c>
      <c r="AO195" s="318">
        <f t="shared" si="155"/>
        <v>0</v>
      </c>
      <c r="AP195" s="318">
        <f t="shared" si="156"/>
        <v>0</v>
      </c>
      <c r="AQ195" s="318">
        <f t="shared" si="157"/>
        <v>0</v>
      </c>
      <c r="AR195" s="318">
        <f t="shared" si="158"/>
        <v>0</v>
      </c>
      <c r="AS195" s="318">
        <f t="shared" si="159"/>
        <v>0</v>
      </c>
      <c r="AT195" s="318">
        <f t="shared" si="160"/>
        <v>0</v>
      </c>
      <c r="AU195" s="318">
        <f t="shared" si="161"/>
        <v>0</v>
      </c>
      <c r="AV195" s="318">
        <f t="shared" si="162"/>
        <v>0</v>
      </c>
      <c r="AW195" s="318">
        <f t="shared" si="163"/>
        <v>0</v>
      </c>
      <c r="AX195" s="318">
        <f t="shared" si="164"/>
        <v>0</v>
      </c>
      <c r="AY195" s="318">
        <f t="shared" si="165"/>
        <v>0</v>
      </c>
      <c r="AZ195" s="318">
        <f t="shared" si="166"/>
        <v>0</v>
      </c>
      <c r="BA195" s="318">
        <f t="shared" si="167"/>
        <v>0</v>
      </c>
    </row>
    <row r="196" spans="1:53" s="315" customFormat="1" ht="16.5" customHeight="1">
      <c r="A196" s="63" t="str">
        <f t="array" ref="A196">IF(C196&lt;&gt;0,SUM(($C$11:C196&lt;&gt;0)*1),"")</f>
        <v/>
      </c>
      <c r="B196" s="316"/>
      <c r="C196" s="316"/>
      <c r="D196" s="316"/>
      <c r="E196" s="436"/>
      <c r="F196" s="372"/>
      <c r="G196" s="374"/>
      <c r="H196" s="374"/>
      <c r="I196" s="63" t="str">
        <f t="shared" si="129"/>
        <v/>
      </c>
      <c r="J196" s="318">
        <f t="shared" si="130"/>
        <v>0</v>
      </c>
      <c r="K196" s="318">
        <f t="shared" si="131"/>
        <v>0</v>
      </c>
      <c r="L196" s="318">
        <f t="shared" si="132"/>
        <v>0</v>
      </c>
      <c r="M196" s="318">
        <f t="shared" si="133"/>
        <v>0</v>
      </c>
      <c r="N196" s="318">
        <f t="shared" si="168"/>
        <v>0</v>
      </c>
      <c r="O196" s="318">
        <f t="shared" si="169"/>
        <v>0</v>
      </c>
      <c r="P196" s="318">
        <f t="shared" si="134"/>
        <v>0</v>
      </c>
      <c r="Q196" s="318">
        <f t="shared" si="135"/>
        <v>0</v>
      </c>
      <c r="R196" s="318">
        <f t="shared" si="136"/>
        <v>0</v>
      </c>
      <c r="S196" s="318">
        <f t="shared" si="137"/>
        <v>0</v>
      </c>
      <c r="T196" s="318">
        <f t="shared" si="170"/>
        <v>0</v>
      </c>
      <c r="U196" s="318">
        <f t="shared" si="171"/>
        <v>0</v>
      </c>
      <c r="V196" s="318">
        <f t="shared" si="138"/>
        <v>0</v>
      </c>
      <c r="W196" s="318">
        <f t="shared" si="139"/>
        <v>0</v>
      </c>
      <c r="X196" s="318">
        <f t="shared" si="140"/>
        <v>0</v>
      </c>
      <c r="Y196" s="318">
        <f t="shared" si="141"/>
        <v>0</v>
      </c>
      <c r="Z196" s="318">
        <f t="shared" si="142"/>
        <v>0</v>
      </c>
      <c r="AA196" s="318">
        <f t="shared" si="143"/>
        <v>0</v>
      </c>
      <c r="AB196" s="318">
        <f t="shared" si="144"/>
        <v>0</v>
      </c>
      <c r="AC196" s="318">
        <f t="shared" si="145"/>
        <v>0</v>
      </c>
      <c r="AD196" s="318">
        <f t="shared" si="146"/>
        <v>0</v>
      </c>
      <c r="AE196" s="318">
        <f t="shared" si="147"/>
        <v>0</v>
      </c>
      <c r="AF196" s="318">
        <f t="shared" si="172"/>
        <v>0</v>
      </c>
      <c r="AG196" s="318">
        <f t="shared" si="173"/>
        <v>0</v>
      </c>
      <c r="AH196" s="318">
        <f t="shared" si="148"/>
        <v>0</v>
      </c>
      <c r="AI196" s="318">
        <f t="shared" si="149"/>
        <v>0</v>
      </c>
      <c r="AJ196" s="318">
        <f t="shared" si="150"/>
        <v>0</v>
      </c>
      <c r="AK196" s="318">
        <f t="shared" si="151"/>
        <v>0</v>
      </c>
      <c r="AL196" s="318">
        <f t="shared" si="152"/>
        <v>0</v>
      </c>
      <c r="AM196" s="318">
        <f t="shared" si="153"/>
        <v>0</v>
      </c>
      <c r="AN196" s="318">
        <f t="shared" si="154"/>
        <v>0</v>
      </c>
      <c r="AO196" s="318">
        <f t="shared" si="155"/>
        <v>0</v>
      </c>
      <c r="AP196" s="318">
        <f t="shared" si="156"/>
        <v>0</v>
      </c>
      <c r="AQ196" s="318">
        <f t="shared" si="157"/>
        <v>0</v>
      </c>
      <c r="AR196" s="318">
        <f t="shared" si="158"/>
        <v>0</v>
      </c>
      <c r="AS196" s="318">
        <f t="shared" si="159"/>
        <v>0</v>
      </c>
      <c r="AT196" s="318">
        <f t="shared" si="160"/>
        <v>0</v>
      </c>
      <c r="AU196" s="318">
        <f t="shared" si="161"/>
        <v>0</v>
      </c>
      <c r="AV196" s="318">
        <f t="shared" si="162"/>
        <v>0</v>
      </c>
      <c r="AW196" s="318">
        <f t="shared" si="163"/>
        <v>0</v>
      </c>
      <c r="AX196" s="318">
        <f t="shared" si="164"/>
        <v>0</v>
      </c>
      <c r="AY196" s="318">
        <f t="shared" si="165"/>
        <v>0</v>
      </c>
      <c r="AZ196" s="318">
        <f t="shared" si="166"/>
        <v>0</v>
      </c>
      <c r="BA196" s="318">
        <f t="shared" si="167"/>
        <v>0</v>
      </c>
    </row>
    <row r="197" spans="1:53" s="315" customFormat="1" ht="16.5" customHeight="1">
      <c r="A197" s="63" t="str">
        <f t="array" ref="A197">IF(C197&lt;&gt;0,SUM(($C$11:C197&lt;&gt;0)*1),"")</f>
        <v/>
      </c>
      <c r="B197" s="316"/>
      <c r="C197" s="316"/>
      <c r="D197" s="316"/>
      <c r="E197" s="436"/>
      <c r="F197" s="372"/>
      <c r="G197" s="374"/>
      <c r="H197" s="374"/>
      <c r="I197" s="63" t="str">
        <f t="shared" si="129"/>
        <v/>
      </c>
      <c r="J197" s="318">
        <f t="shared" si="130"/>
        <v>0</v>
      </c>
      <c r="K197" s="318">
        <f t="shared" si="131"/>
        <v>0</v>
      </c>
      <c r="L197" s="318">
        <f t="shared" si="132"/>
        <v>0</v>
      </c>
      <c r="M197" s="318">
        <f t="shared" si="133"/>
        <v>0</v>
      </c>
      <c r="N197" s="318">
        <f t="shared" si="168"/>
        <v>0</v>
      </c>
      <c r="O197" s="318">
        <f t="shared" si="169"/>
        <v>0</v>
      </c>
      <c r="P197" s="318">
        <f t="shared" si="134"/>
        <v>0</v>
      </c>
      <c r="Q197" s="318">
        <f t="shared" si="135"/>
        <v>0</v>
      </c>
      <c r="R197" s="318">
        <f t="shared" si="136"/>
        <v>0</v>
      </c>
      <c r="S197" s="318">
        <f t="shared" si="137"/>
        <v>0</v>
      </c>
      <c r="T197" s="318">
        <f t="shared" si="170"/>
        <v>0</v>
      </c>
      <c r="U197" s="318">
        <f t="shared" si="171"/>
        <v>0</v>
      </c>
      <c r="V197" s="318">
        <f t="shared" si="138"/>
        <v>0</v>
      </c>
      <c r="W197" s="318">
        <f t="shared" si="139"/>
        <v>0</v>
      </c>
      <c r="X197" s="318">
        <f t="shared" si="140"/>
        <v>0</v>
      </c>
      <c r="Y197" s="318">
        <f t="shared" si="141"/>
        <v>0</v>
      </c>
      <c r="Z197" s="318">
        <f t="shared" si="142"/>
        <v>0</v>
      </c>
      <c r="AA197" s="318">
        <f t="shared" si="143"/>
        <v>0</v>
      </c>
      <c r="AB197" s="318">
        <f t="shared" si="144"/>
        <v>0</v>
      </c>
      <c r="AC197" s="318">
        <f t="shared" si="145"/>
        <v>0</v>
      </c>
      <c r="AD197" s="318">
        <f t="shared" si="146"/>
        <v>0</v>
      </c>
      <c r="AE197" s="318">
        <f t="shared" si="147"/>
        <v>0</v>
      </c>
      <c r="AF197" s="318">
        <f t="shared" si="172"/>
        <v>0</v>
      </c>
      <c r="AG197" s="318">
        <f t="shared" si="173"/>
        <v>0</v>
      </c>
      <c r="AH197" s="318">
        <f t="shared" si="148"/>
        <v>0</v>
      </c>
      <c r="AI197" s="318">
        <f t="shared" si="149"/>
        <v>0</v>
      </c>
      <c r="AJ197" s="318">
        <f t="shared" si="150"/>
        <v>0</v>
      </c>
      <c r="AK197" s="318">
        <f t="shared" si="151"/>
        <v>0</v>
      </c>
      <c r="AL197" s="318">
        <f t="shared" si="152"/>
        <v>0</v>
      </c>
      <c r="AM197" s="318">
        <f t="shared" si="153"/>
        <v>0</v>
      </c>
      <c r="AN197" s="318">
        <f t="shared" si="154"/>
        <v>0</v>
      </c>
      <c r="AO197" s="318">
        <f t="shared" si="155"/>
        <v>0</v>
      </c>
      <c r="AP197" s="318">
        <f t="shared" si="156"/>
        <v>0</v>
      </c>
      <c r="AQ197" s="318">
        <f t="shared" si="157"/>
        <v>0</v>
      </c>
      <c r="AR197" s="318">
        <f t="shared" si="158"/>
        <v>0</v>
      </c>
      <c r="AS197" s="318">
        <f t="shared" si="159"/>
        <v>0</v>
      </c>
      <c r="AT197" s="318">
        <f t="shared" si="160"/>
        <v>0</v>
      </c>
      <c r="AU197" s="318">
        <f t="shared" si="161"/>
        <v>0</v>
      </c>
      <c r="AV197" s="318">
        <f t="shared" si="162"/>
        <v>0</v>
      </c>
      <c r="AW197" s="318">
        <f t="shared" si="163"/>
        <v>0</v>
      </c>
      <c r="AX197" s="318">
        <f t="shared" si="164"/>
        <v>0</v>
      </c>
      <c r="AY197" s="318">
        <f t="shared" si="165"/>
        <v>0</v>
      </c>
      <c r="AZ197" s="318">
        <f t="shared" si="166"/>
        <v>0</v>
      </c>
      <c r="BA197" s="318">
        <f t="shared" si="167"/>
        <v>0</v>
      </c>
    </row>
    <row r="198" spans="1:53" s="315" customFormat="1" ht="16.5" customHeight="1">
      <c r="A198" s="63" t="str">
        <f t="array" ref="A198">IF(C198&lt;&gt;0,SUM(($C$11:C198&lt;&gt;0)*1),"")</f>
        <v/>
      </c>
      <c r="B198" s="316"/>
      <c r="C198" s="316"/>
      <c r="D198" s="316"/>
      <c r="E198" s="436"/>
      <c r="F198" s="372"/>
      <c r="G198" s="374"/>
      <c r="H198" s="374"/>
      <c r="I198" s="63" t="str">
        <f t="shared" si="129"/>
        <v/>
      </c>
      <c r="J198" s="318">
        <f t="shared" si="130"/>
        <v>0</v>
      </c>
      <c r="K198" s="318">
        <f t="shared" si="131"/>
        <v>0</v>
      </c>
      <c r="L198" s="318">
        <f t="shared" si="132"/>
        <v>0</v>
      </c>
      <c r="M198" s="318">
        <f t="shared" si="133"/>
        <v>0</v>
      </c>
      <c r="N198" s="318">
        <f t="shared" si="168"/>
        <v>0</v>
      </c>
      <c r="O198" s="318">
        <f t="shared" si="169"/>
        <v>0</v>
      </c>
      <c r="P198" s="318">
        <f t="shared" si="134"/>
        <v>0</v>
      </c>
      <c r="Q198" s="318">
        <f t="shared" si="135"/>
        <v>0</v>
      </c>
      <c r="R198" s="318">
        <f t="shared" si="136"/>
        <v>0</v>
      </c>
      <c r="S198" s="318">
        <f t="shared" si="137"/>
        <v>0</v>
      </c>
      <c r="T198" s="318">
        <f t="shared" si="170"/>
        <v>0</v>
      </c>
      <c r="U198" s="318">
        <f t="shared" si="171"/>
        <v>0</v>
      </c>
      <c r="V198" s="318">
        <f t="shared" si="138"/>
        <v>0</v>
      </c>
      <c r="W198" s="318">
        <f t="shared" si="139"/>
        <v>0</v>
      </c>
      <c r="X198" s="318">
        <f t="shared" si="140"/>
        <v>0</v>
      </c>
      <c r="Y198" s="318">
        <f t="shared" si="141"/>
        <v>0</v>
      </c>
      <c r="Z198" s="318">
        <f t="shared" si="142"/>
        <v>0</v>
      </c>
      <c r="AA198" s="318">
        <f t="shared" si="143"/>
        <v>0</v>
      </c>
      <c r="AB198" s="318">
        <f t="shared" si="144"/>
        <v>0</v>
      </c>
      <c r="AC198" s="318">
        <f t="shared" si="145"/>
        <v>0</v>
      </c>
      <c r="AD198" s="318">
        <f t="shared" si="146"/>
        <v>0</v>
      </c>
      <c r="AE198" s="318">
        <f t="shared" si="147"/>
        <v>0</v>
      </c>
      <c r="AF198" s="318">
        <f t="shared" si="172"/>
        <v>0</v>
      </c>
      <c r="AG198" s="318">
        <f t="shared" si="173"/>
        <v>0</v>
      </c>
      <c r="AH198" s="318">
        <f t="shared" si="148"/>
        <v>0</v>
      </c>
      <c r="AI198" s="318">
        <f t="shared" si="149"/>
        <v>0</v>
      </c>
      <c r="AJ198" s="318">
        <f t="shared" si="150"/>
        <v>0</v>
      </c>
      <c r="AK198" s="318">
        <f t="shared" si="151"/>
        <v>0</v>
      </c>
      <c r="AL198" s="318">
        <f t="shared" si="152"/>
        <v>0</v>
      </c>
      <c r="AM198" s="318">
        <f t="shared" si="153"/>
        <v>0</v>
      </c>
      <c r="AN198" s="318">
        <f t="shared" si="154"/>
        <v>0</v>
      </c>
      <c r="AO198" s="318">
        <f t="shared" si="155"/>
        <v>0</v>
      </c>
      <c r="AP198" s="318">
        <f t="shared" si="156"/>
        <v>0</v>
      </c>
      <c r="AQ198" s="318">
        <f t="shared" si="157"/>
        <v>0</v>
      </c>
      <c r="AR198" s="318">
        <f t="shared" si="158"/>
        <v>0</v>
      </c>
      <c r="AS198" s="318">
        <f t="shared" si="159"/>
        <v>0</v>
      </c>
      <c r="AT198" s="318">
        <f t="shared" si="160"/>
        <v>0</v>
      </c>
      <c r="AU198" s="318">
        <f t="shared" si="161"/>
        <v>0</v>
      </c>
      <c r="AV198" s="318">
        <f t="shared" si="162"/>
        <v>0</v>
      </c>
      <c r="AW198" s="318">
        <f t="shared" si="163"/>
        <v>0</v>
      </c>
      <c r="AX198" s="318">
        <f t="shared" si="164"/>
        <v>0</v>
      </c>
      <c r="AY198" s="318">
        <f t="shared" si="165"/>
        <v>0</v>
      </c>
      <c r="AZ198" s="318">
        <f t="shared" si="166"/>
        <v>0</v>
      </c>
      <c r="BA198" s="318">
        <f t="shared" si="167"/>
        <v>0</v>
      </c>
    </row>
    <row r="199" spans="1:53" s="315" customFormat="1" ht="16.5" customHeight="1">
      <c r="A199" s="63" t="str">
        <f t="array" ref="A199">IF(C199&lt;&gt;0,SUM(($C$11:C199&lt;&gt;0)*1),"")</f>
        <v/>
      </c>
      <c r="B199" s="316"/>
      <c r="C199" s="316"/>
      <c r="D199" s="316"/>
      <c r="E199" s="436"/>
      <c r="F199" s="372"/>
      <c r="G199" s="374"/>
      <c r="H199" s="374"/>
      <c r="I199" s="63" t="str">
        <f t="shared" si="129"/>
        <v/>
      </c>
      <c r="J199" s="318">
        <f t="shared" si="130"/>
        <v>0</v>
      </c>
      <c r="K199" s="318">
        <f t="shared" si="131"/>
        <v>0</v>
      </c>
      <c r="L199" s="318">
        <f t="shared" si="132"/>
        <v>0</v>
      </c>
      <c r="M199" s="318">
        <f t="shared" si="133"/>
        <v>0</v>
      </c>
      <c r="N199" s="318">
        <f t="shared" si="168"/>
        <v>0</v>
      </c>
      <c r="O199" s="318">
        <f t="shared" si="169"/>
        <v>0</v>
      </c>
      <c r="P199" s="318">
        <f t="shared" si="134"/>
        <v>0</v>
      </c>
      <c r="Q199" s="318">
        <f t="shared" si="135"/>
        <v>0</v>
      </c>
      <c r="R199" s="318">
        <f t="shared" si="136"/>
        <v>0</v>
      </c>
      <c r="S199" s="318">
        <f t="shared" si="137"/>
        <v>0</v>
      </c>
      <c r="T199" s="318">
        <f t="shared" si="170"/>
        <v>0</v>
      </c>
      <c r="U199" s="318">
        <f t="shared" si="171"/>
        <v>0</v>
      </c>
      <c r="V199" s="318">
        <f t="shared" si="138"/>
        <v>0</v>
      </c>
      <c r="W199" s="318">
        <f t="shared" si="139"/>
        <v>0</v>
      </c>
      <c r="X199" s="318">
        <f t="shared" si="140"/>
        <v>0</v>
      </c>
      <c r="Y199" s="318">
        <f t="shared" si="141"/>
        <v>0</v>
      </c>
      <c r="Z199" s="318">
        <f t="shared" si="142"/>
        <v>0</v>
      </c>
      <c r="AA199" s="318">
        <f t="shared" si="143"/>
        <v>0</v>
      </c>
      <c r="AB199" s="318">
        <f t="shared" si="144"/>
        <v>0</v>
      </c>
      <c r="AC199" s="318">
        <f t="shared" si="145"/>
        <v>0</v>
      </c>
      <c r="AD199" s="318">
        <f t="shared" si="146"/>
        <v>0</v>
      </c>
      <c r="AE199" s="318">
        <f t="shared" si="147"/>
        <v>0</v>
      </c>
      <c r="AF199" s="318">
        <f t="shared" si="172"/>
        <v>0</v>
      </c>
      <c r="AG199" s="318">
        <f t="shared" si="173"/>
        <v>0</v>
      </c>
      <c r="AH199" s="318">
        <f t="shared" si="148"/>
        <v>0</v>
      </c>
      <c r="AI199" s="318">
        <f t="shared" si="149"/>
        <v>0</v>
      </c>
      <c r="AJ199" s="318">
        <f t="shared" si="150"/>
        <v>0</v>
      </c>
      <c r="AK199" s="318">
        <f t="shared" si="151"/>
        <v>0</v>
      </c>
      <c r="AL199" s="318">
        <f t="shared" si="152"/>
        <v>0</v>
      </c>
      <c r="AM199" s="318">
        <f t="shared" si="153"/>
        <v>0</v>
      </c>
      <c r="AN199" s="318">
        <f t="shared" si="154"/>
        <v>0</v>
      </c>
      <c r="AO199" s="318">
        <f t="shared" si="155"/>
        <v>0</v>
      </c>
      <c r="AP199" s="318">
        <f t="shared" si="156"/>
        <v>0</v>
      </c>
      <c r="AQ199" s="318">
        <f t="shared" si="157"/>
        <v>0</v>
      </c>
      <c r="AR199" s="318">
        <f t="shared" si="158"/>
        <v>0</v>
      </c>
      <c r="AS199" s="318">
        <f t="shared" si="159"/>
        <v>0</v>
      </c>
      <c r="AT199" s="318">
        <f t="shared" si="160"/>
        <v>0</v>
      </c>
      <c r="AU199" s="318">
        <f t="shared" si="161"/>
        <v>0</v>
      </c>
      <c r="AV199" s="318">
        <f t="shared" si="162"/>
        <v>0</v>
      </c>
      <c r="AW199" s="318">
        <f t="shared" si="163"/>
        <v>0</v>
      </c>
      <c r="AX199" s="318">
        <f t="shared" si="164"/>
        <v>0</v>
      </c>
      <c r="AY199" s="318">
        <f t="shared" si="165"/>
        <v>0</v>
      </c>
      <c r="AZ199" s="318">
        <f t="shared" si="166"/>
        <v>0</v>
      </c>
      <c r="BA199" s="318">
        <f t="shared" si="167"/>
        <v>0</v>
      </c>
    </row>
    <row r="200" spans="1:53" s="315" customFormat="1" ht="16.5" customHeight="1">
      <c r="A200" s="63" t="str">
        <f t="array" ref="A200">IF(C200&lt;&gt;0,SUM(($C$11:C200&lt;&gt;0)*1),"")</f>
        <v/>
      </c>
      <c r="B200" s="316"/>
      <c r="C200" s="316"/>
      <c r="D200" s="316"/>
      <c r="E200" s="436"/>
      <c r="F200" s="372"/>
      <c r="G200" s="374"/>
      <c r="H200" s="374"/>
      <c r="I200" s="63" t="str">
        <f t="shared" si="129"/>
        <v/>
      </c>
      <c r="J200" s="318">
        <f t="shared" si="130"/>
        <v>0</v>
      </c>
      <c r="K200" s="318">
        <f t="shared" si="131"/>
        <v>0</v>
      </c>
      <c r="L200" s="318">
        <f t="shared" si="132"/>
        <v>0</v>
      </c>
      <c r="M200" s="318">
        <f t="shared" si="133"/>
        <v>0</v>
      </c>
      <c r="N200" s="318">
        <f t="shared" si="168"/>
        <v>0</v>
      </c>
      <c r="O200" s="318">
        <f t="shared" si="169"/>
        <v>0</v>
      </c>
      <c r="P200" s="318">
        <f t="shared" si="134"/>
        <v>0</v>
      </c>
      <c r="Q200" s="318">
        <f t="shared" si="135"/>
        <v>0</v>
      </c>
      <c r="R200" s="318">
        <f t="shared" si="136"/>
        <v>0</v>
      </c>
      <c r="S200" s="318">
        <f t="shared" si="137"/>
        <v>0</v>
      </c>
      <c r="T200" s="318">
        <f t="shared" si="170"/>
        <v>0</v>
      </c>
      <c r="U200" s="318">
        <f t="shared" si="171"/>
        <v>0</v>
      </c>
      <c r="V200" s="318">
        <f t="shared" si="138"/>
        <v>0</v>
      </c>
      <c r="W200" s="318">
        <f t="shared" si="139"/>
        <v>0</v>
      </c>
      <c r="X200" s="318">
        <f t="shared" si="140"/>
        <v>0</v>
      </c>
      <c r="Y200" s="318">
        <f t="shared" si="141"/>
        <v>0</v>
      </c>
      <c r="Z200" s="318">
        <f t="shared" si="142"/>
        <v>0</v>
      </c>
      <c r="AA200" s="318">
        <f t="shared" si="143"/>
        <v>0</v>
      </c>
      <c r="AB200" s="318">
        <f t="shared" si="144"/>
        <v>0</v>
      </c>
      <c r="AC200" s="318">
        <f t="shared" si="145"/>
        <v>0</v>
      </c>
      <c r="AD200" s="318">
        <f t="shared" si="146"/>
        <v>0</v>
      </c>
      <c r="AE200" s="318">
        <f t="shared" si="147"/>
        <v>0</v>
      </c>
      <c r="AF200" s="318">
        <f t="shared" si="172"/>
        <v>0</v>
      </c>
      <c r="AG200" s="318">
        <f t="shared" si="173"/>
        <v>0</v>
      </c>
      <c r="AH200" s="318">
        <f t="shared" si="148"/>
        <v>0</v>
      </c>
      <c r="AI200" s="318">
        <f t="shared" si="149"/>
        <v>0</v>
      </c>
      <c r="AJ200" s="318">
        <f t="shared" si="150"/>
        <v>0</v>
      </c>
      <c r="AK200" s="318">
        <f t="shared" si="151"/>
        <v>0</v>
      </c>
      <c r="AL200" s="318">
        <f t="shared" si="152"/>
        <v>0</v>
      </c>
      <c r="AM200" s="318">
        <f t="shared" si="153"/>
        <v>0</v>
      </c>
      <c r="AN200" s="318">
        <f t="shared" si="154"/>
        <v>0</v>
      </c>
      <c r="AO200" s="318">
        <f t="shared" si="155"/>
        <v>0</v>
      </c>
      <c r="AP200" s="318">
        <f t="shared" si="156"/>
        <v>0</v>
      </c>
      <c r="AQ200" s="318">
        <f t="shared" si="157"/>
        <v>0</v>
      </c>
      <c r="AR200" s="318">
        <f t="shared" si="158"/>
        <v>0</v>
      </c>
      <c r="AS200" s="318">
        <f t="shared" si="159"/>
        <v>0</v>
      </c>
      <c r="AT200" s="318">
        <f t="shared" si="160"/>
        <v>0</v>
      </c>
      <c r="AU200" s="318">
        <f t="shared" si="161"/>
        <v>0</v>
      </c>
      <c r="AV200" s="318">
        <f t="shared" si="162"/>
        <v>0</v>
      </c>
      <c r="AW200" s="318">
        <f t="shared" si="163"/>
        <v>0</v>
      </c>
      <c r="AX200" s="318">
        <f t="shared" si="164"/>
        <v>0</v>
      </c>
      <c r="AY200" s="318">
        <f t="shared" si="165"/>
        <v>0</v>
      </c>
      <c r="AZ200" s="318">
        <f t="shared" si="166"/>
        <v>0</v>
      </c>
      <c r="BA200" s="318">
        <f t="shared" si="167"/>
        <v>0</v>
      </c>
    </row>
    <row r="201" spans="1:53" s="315" customFormat="1" ht="16.5" customHeight="1">
      <c r="A201" s="63" t="str">
        <f t="array" ref="A201">IF(C201&lt;&gt;0,SUM(($C$11:C201&lt;&gt;0)*1),"")</f>
        <v/>
      </c>
      <c r="B201" s="316"/>
      <c r="C201" s="316"/>
      <c r="D201" s="316"/>
      <c r="E201" s="436"/>
      <c r="F201" s="372"/>
      <c r="G201" s="374"/>
      <c r="H201" s="374"/>
      <c r="I201" s="63" t="str">
        <f t="shared" si="129"/>
        <v/>
      </c>
      <c r="J201" s="318">
        <f t="shared" si="130"/>
        <v>0</v>
      </c>
      <c r="K201" s="318">
        <f t="shared" si="131"/>
        <v>0</v>
      </c>
      <c r="L201" s="318">
        <f t="shared" si="132"/>
        <v>0</v>
      </c>
      <c r="M201" s="318">
        <f t="shared" si="133"/>
        <v>0</v>
      </c>
      <c r="N201" s="318">
        <f t="shared" si="168"/>
        <v>0</v>
      </c>
      <c r="O201" s="318">
        <f t="shared" si="169"/>
        <v>0</v>
      </c>
      <c r="P201" s="318">
        <f t="shared" si="134"/>
        <v>0</v>
      </c>
      <c r="Q201" s="318">
        <f t="shared" si="135"/>
        <v>0</v>
      </c>
      <c r="R201" s="318">
        <f t="shared" si="136"/>
        <v>0</v>
      </c>
      <c r="S201" s="318">
        <f t="shared" si="137"/>
        <v>0</v>
      </c>
      <c r="T201" s="318">
        <f t="shared" si="170"/>
        <v>0</v>
      </c>
      <c r="U201" s="318">
        <f t="shared" si="171"/>
        <v>0</v>
      </c>
      <c r="V201" s="318">
        <f t="shared" si="138"/>
        <v>0</v>
      </c>
      <c r="W201" s="318">
        <f t="shared" si="139"/>
        <v>0</v>
      </c>
      <c r="X201" s="318">
        <f t="shared" si="140"/>
        <v>0</v>
      </c>
      <c r="Y201" s="318">
        <f t="shared" si="141"/>
        <v>0</v>
      </c>
      <c r="Z201" s="318">
        <f t="shared" si="142"/>
        <v>0</v>
      </c>
      <c r="AA201" s="318">
        <f t="shared" si="143"/>
        <v>0</v>
      </c>
      <c r="AB201" s="318">
        <f t="shared" si="144"/>
        <v>0</v>
      </c>
      <c r="AC201" s="318">
        <f t="shared" si="145"/>
        <v>0</v>
      </c>
      <c r="AD201" s="318">
        <f t="shared" si="146"/>
        <v>0</v>
      </c>
      <c r="AE201" s="318">
        <f t="shared" si="147"/>
        <v>0</v>
      </c>
      <c r="AF201" s="318">
        <f t="shared" si="172"/>
        <v>0</v>
      </c>
      <c r="AG201" s="318">
        <f t="shared" si="173"/>
        <v>0</v>
      </c>
      <c r="AH201" s="318">
        <f t="shared" si="148"/>
        <v>0</v>
      </c>
      <c r="AI201" s="318">
        <f t="shared" si="149"/>
        <v>0</v>
      </c>
      <c r="AJ201" s="318">
        <f t="shared" si="150"/>
        <v>0</v>
      </c>
      <c r="AK201" s="318">
        <f t="shared" si="151"/>
        <v>0</v>
      </c>
      <c r="AL201" s="318">
        <f t="shared" si="152"/>
        <v>0</v>
      </c>
      <c r="AM201" s="318">
        <f t="shared" si="153"/>
        <v>0</v>
      </c>
      <c r="AN201" s="318">
        <f t="shared" si="154"/>
        <v>0</v>
      </c>
      <c r="AO201" s="318">
        <f t="shared" si="155"/>
        <v>0</v>
      </c>
      <c r="AP201" s="318">
        <f t="shared" si="156"/>
        <v>0</v>
      </c>
      <c r="AQ201" s="318">
        <f t="shared" si="157"/>
        <v>0</v>
      </c>
      <c r="AR201" s="318">
        <f t="shared" si="158"/>
        <v>0</v>
      </c>
      <c r="AS201" s="318">
        <f t="shared" si="159"/>
        <v>0</v>
      </c>
      <c r="AT201" s="318">
        <f t="shared" si="160"/>
        <v>0</v>
      </c>
      <c r="AU201" s="318">
        <f t="shared" si="161"/>
        <v>0</v>
      </c>
      <c r="AV201" s="318">
        <f t="shared" si="162"/>
        <v>0</v>
      </c>
      <c r="AW201" s="318">
        <f t="shared" si="163"/>
        <v>0</v>
      </c>
      <c r="AX201" s="318">
        <f t="shared" si="164"/>
        <v>0</v>
      </c>
      <c r="AY201" s="318">
        <f t="shared" si="165"/>
        <v>0</v>
      </c>
      <c r="AZ201" s="318">
        <f t="shared" si="166"/>
        <v>0</v>
      </c>
      <c r="BA201" s="318">
        <f t="shared" si="167"/>
        <v>0</v>
      </c>
    </row>
    <row r="202" spans="1:53" s="315" customFormat="1" ht="16.5" customHeight="1">
      <c r="A202" s="63" t="str">
        <f t="array" ref="A202">IF(C202&lt;&gt;0,SUM(($C$11:C202&lt;&gt;0)*1),"")</f>
        <v/>
      </c>
      <c r="B202" s="316"/>
      <c r="C202" s="316"/>
      <c r="D202" s="316"/>
      <c r="E202" s="436"/>
      <c r="F202" s="372"/>
      <c r="G202" s="374"/>
      <c r="H202" s="374"/>
      <c r="I202" s="63" t="str">
        <f t="shared" si="129"/>
        <v/>
      </c>
      <c r="J202" s="318">
        <f t="shared" si="130"/>
        <v>0</v>
      </c>
      <c r="K202" s="318">
        <f t="shared" si="131"/>
        <v>0</v>
      </c>
      <c r="L202" s="318">
        <f t="shared" si="132"/>
        <v>0</v>
      </c>
      <c r="M202" s="318">
        <f t="shared" si="133"/>
        <v>0</v>
      </c>
      <c r="N202" s="318">
        <f t="shared" si="168"/>
        <v>0</v>
      </c>
      <c r="O202" s="318">
        <f t="shared" si="169"/>
        <v>0</v>
      </c>
      <c r="P202" s="318">
        <f t="shared" si="134"/>
        <v>0</v>
      </c>
      <c r="Q202" s="318">
        <f t="shared" si="135"/>
        <v>0</v>
      </c>
      <c r="R202" s="318">
        <f t="shared" si="136"/>
        <v>0</v>
      </c>
      <c r="S202" s="318">
        <f t="shared" si="137"/>
        <v>0</v>
      </c>
      <c r="T202" s="318">
        <f t="shared" si="170"/>
        <v>0</v>
      </c>
      <c r="U202" s="318">
        <f t="shared" si="171"/>
        <v>0</v>
      </c>
      <c r="V202" s="318">
        <f t="shared" si="138"/>
        <v>0</v>
      </c>
      <c r="W202" s="318">
        <f t="shared" si="139"/>
        <v>0</v>
      </c>
      <c r="X202" s="318">
        <f t="shared" si="140"/>
        <v>0</v>
      </c>
      <c r="Y202" s="318">
        <f t="shared" si="141"/>
        <v>0</v>
      </c>
      <c r="Z202" s="318">
        <f t="shared" si="142"/>
        <v>0</v>
      </c>
      <c r="AA202" s="318">
        <f t="shared" si="143"/>
        <v>0</v>
      </c>
      <c r="AB202" s="318">
        <f t="shared" si="144"/>
        <v>0</v>
      </c>
      <c r="AC202" s="318">
        <f t="shared" si="145"/>
        <v>0</v>
      </c>
      <c r="AD202" s="318">
        <f t="shared" si="146"/>
        <v>0</v>
      </c>
      <c r="AE202" s="318">
        <f t="shared" si="147"/>
        <v>0</v>
      </c>
      <c r="AF202" s="318">
        <f t="shared" si="172"/>
        <v>0</v>
      </c>
      <c r="AG202" s="318">
        <f t="shared" si="173"/>
        <v>0</v>
      </c>
      <c r="AH202" s="318">
        <f t="shared" si="148"/>
        <v>0</v>
      </c>
      <c r="AI202" s="318">
        <f t="shared" si="149"/>
        <v>0</v>
      </c>
      <c r="AJ202" s="318">
        <f t="shared" si="150"/>
        <v>0</v>
      </c>
      <c r="AK202" s="318">
        <f t="shared" si="151"/>
        <v>0</v>
      </c>
      <c r="AL202" s="318">
        <f t="shared" si="152"/>
        <v>0</v>
      </c>
      <c r="AM202" s="318">
        <f t="shared" si="153"/>
        <v>0</v>
      </c>
      <c r="AN202" s="318">
        <f t="shared" si="154"/>
        <v>0</v>
      </c>
      <c r="AO202" s="318">
        <f t="shared" si="155"/>
        <v>0</v>
      </c>
      <c r="AP202" s="318">
        <f t="shared" si="156"/>
        <v>0</v>
      </c>
      <c r="AQ202" s="318">
        <f t="shared" si="157"/>
        <v>0</v>
      </c>
      <c r="AR202" s="318">
        <f t="shared" si="158"/>
        <v>0</v>
      </c>
      <c r="AS202" s="318">
        <f t="shared" si="159"/>
        <v>0</v>
      </c>
      <c r="AT202" s="318">
        <f t="shared" si="160"/>
        <v>0</v>
      </c>
      <c r="AU202" s="318">
        <f t="shared" si="161"/>
        <v>0</v>
      </c>
      <c r="AV202" s="318">
        <f t="shared" si="162"/>
        <v>0</v>
      </c>
      <c r="AW202" s="318">
        <f t="shared" si="163"/>
        <v>0</v>
      </c>
      <c r="AX202" s="318">
        <f t="shared" si="164"/>
        <v>0</v>
      </c>
      <c r="AY202" s="318">
        <f t="shared" si="165"/>
        <v>0</v>
      </c>
      <c r="AZ202" s="318">
        <f t="shared" si="166"/>
        <v>0</v>
      </c>
      <c r="BA202" s="318">
        <f t="shared" si="167"/>
        <v>0</v>
      </c>
    </row>
    <row r="203" spans="1:53" s="315" customFormat="1" ht="16.5" customHeight="1">
      <c r="A203" s="63" t="str">
        <f t="array" ref="A203">IF(C203&lt;&gt;0,SUM(($C$11:C203&lt;&gt;0)*1),"")</f>
        <v/>
      </c>
      <c r="B203" s="316"/>
      <c r="C203" s="316"/>
      <c r="D203" s="316"/>
      <c r="E203" s="436"/>
      <c r="F203" s="372"/>
      <c r="G203" s="374"/>
      <c r="H203" s="374"/>
      <c r="I203" s="63" t="str">
        <f t="shared" si="129"/>
        <v/>
      </c>
      <c r="J203" s="318">
        <f t="shared" si="130"/>
        <v>0</v>
      </c>
      <c r="K203" s="318">
        <f t="shared" si="131"/>
        <v>0</v>
      </c>
      <c r="L203" s="318">
        <f t="shared" si="132"/>
        <v>0</v>
      </c>
      <c r="M203" s="318">
        <f t="shared" si="133"/>
        <v>0</v>
      </c>
      <c r="N203" s="318">
        <f t="shared" si="168"/>
        <v>0</v>
      </c>
      <c r="O203" s="318">
        <f t="shared" si="169"/>
        <v>0</v>
      </c>
      <c r="P203" s="318">
        <f t="shared" si="134"/>
        <v>0</v>
      </c>
      <c r="Q203" s="318">
        <f t="shared" si="135"/>
        <v>0</v>
      </c>
      <c r="R203" s="318">
        <f t="shared" si="136"/>
        <v>0</v>
      </c>
      <c r="S203" s="318">
        <f t="shared" si="137"/>
        <v>0</v>
      </c>
      <c r="T203" s="318">
        <f t="shared" si="170"/>
        <v>0</v>
      </c>
      <c r="U203" s="318">
        <f t="shared" si="171"/>
        <v>0</v>
      </c>
      <c r="V203" s="318">
        <f t="shared" si="138"/>
        <v>0</v>
      </c>
      <c r="W203" s="318">
        <f t="shared" si="139"/>
        <v>0</v>
      </c>
      <c r="X203" s="318">
        <f t="shared" si="140"/>
        <v>0</v>
      </c>
      <c r="Y203" s="318">
        <f t="shared" si="141"/>
        <v>0</v>
      </c>
      <c r="Z203" s="318">
        <f t="shared" si="142"/>
        <v>0</v>
      </c>
      <c r="AA203" s="318">
        <f t="shared" si="143"/>
        <v>0</v>
      </c>
      <c r="AB203" s="318">
        <f t="shared" si="144"/>
        <v>0</v>
      </c>
      <c r="AC203" s="318">
        <f t="shared" si="145"/>
        <v>0</v>
      </c>
      <c r="AD203" s="318">
        <f t="shared" si="146"/>
        <v>0</v>
      </c>
      <c r="AE203" s="318">
        <f t="shared" si="147"/>
        <v>0</v>
      </c>
      <c r="AF203" s="318">
        <f t="shared" si="172"/>
        <v>0</v>
      </c>
      <c r="AG203" s="318">
        <f t="shared" si="173"/>
        <v>0</v>
      </c>
      <c r="AH203" s="318">
        <f t="shared" si="148"/>
        <v>0</v>
      </c>
      <c r="AI203" s="318">
        <f t="shared" si="149"/>
        <v>0</v>
      </c>
      <c r="AJ203" s="318">
        <f t="shared" si="150"/>
        <v>0</v>
      </c>
      <c r="AK203" s="318">
        <f t="shared" si="151"/>
        <v>0</v>
      </c>
      <c r="AL203" s="318">
        <f t="shared" si="152"/>
        <v>0</v>
      </c>
      <c r="AM203" s="318">
        <f t="shared" si="153"/>
        <v>0</v>
      </c>
      <c r="AN203" s="318">
        <f t="shared" si="154"/>
        <v>0</v>
      </c>
      <c r="AO203" s="318">
        <f t="shared" si="155"/>
        <v>0</v>
      </c>
      <c r="AP203" s="318">
        <f t="shared" si="156"/>
        <v>0</v>
      </c>
      <c r="AQ203" s="318">
        <f t="shared" si="157"/>
        <v>0</v>
      </c>
      <c r="AR203" s="318">
        <f t="shared" si="158"/>
        <v>0</v>
      </c>
      <c r="AS203" s="318">
        <f t="shared" si="159"/>
        <v>0</v>
      </c>
      <c r="AT203" s="318">
        <f t="shared" si="160"/>
        <v>0</v>
      </c>
      <c r="AU203" s="318">
        <f t="shared" si="161"/>
        <v>0</v>
      </c>
      <c r="AV203" s="318">
        <f t="shared" si="162"/>
        <v>0</v>
      </c>
      <c r="AW203" s="318">
        <f t="shared" si="163"/>
        <v>0</v>
      </c>
      <c r="AX203" s="318">
        <f t="shared" si="164"/>
        <v>0</v>
      </c>
      <c r="AY203" s="318">
        <f t="shared" si="165"/>
        <v>0</v>
      </c>
      <c r="AZ203" s="318">
        <f t="shared" si="166"/>
        <v>0</v>
      </c>
      <c r="BA203" s="318">
        <f t="shared" si="167"/>
        <v>0</v>
      </c>
    </row>
    <row r="204" spans="1:53" s="315" customFormat="1" ht="16.5" customHeight="1">
      <c r="A204" s="63" t="str">
        <f t="array" ref="A204">IF(C204&lt;&gt;0,SUM(($C$11:C204&lt;&gt;0)*1),"")</f>
        <v/>
      </c>
      <c r="B204" s="316"/>
      <c r="C204" s="316"/>
      <c r="D204" s="316"/>
      <c r="E204" s="436"/>
      <c r="F204" s="372"/>
      <c r="G204" s="374"/>
      <c r="H204" s="374"/>
      <c r="I204" s="63" t="str">
        <f t="shared" si="129"/>
        <v/>
      </c>
      <c r="J204" s="318">
        <f t="shared" si="130"/>
        <v>0</v>
      </c>
      <c r="K204" s="318">
        <f t="shared" si="131"/>
        <v>0</v>
      </c>
      <c r="L204" s="318">
        <f t="shared" si="132"/>
        <v>0</v>
      </c>
      <c r="M204" s="318">
        <f t="shared" si="133"/>
        <v>0</v>
      </c>
      <c r="N204" s="318">
        <f t="shared" ref="N204:N267" si="174">IF($G204="1122",$F204,0)</f>
        <v>0</v>
      </c>
      <c r="O204" s="318">
        <f t="shared" ref="O204:O267" si="175">IF($H204="1122",$F204,0)</f>
        <v>0</v>
      </c>
      <c r="P204" s="318">
        <f t="shared" si="134"/>
        <v>0</v>
      </c>
      <c r="Q204" s="318">
        <f t="shared" si="135"/>
        <v>0</v>
      </c>
      <c r="R204" s="318">
        <f t="shared" si="136"/>
        <v>0</v>
      </c>
      <c r="S204" s="318">
        <f t="shared" si="137"/>
        <v>0</v>
      </c>
      <c r="T204" s="318">
        <f t="shared" ref="T204:T267" si="176">IF($G204="2412",$F204,0)</f>
        <v>0</v>
      </c>
      <c r="U204" s="318">
        <f t="shared" ref="U204:U267" si="177">IF($H204="2412",$F204,0)</f>
        <v>0</v>
      </c>
      <c r="V204" s="318">
        <f t="shared" si="138"/>
        <v>0</v>
      </c>
      <c r="W204" s="318">
        <f t="shared" si="139"/>
        <v>0</v>
      </c>
      <c r="X204" s="318">
        <f t="shared" si="140"/>
        <v>0</v>
      </c>
      <c r="Y204" s="318">
        <f t="shared" si="141"/>
        <v>0</v>
      </c>
      <c r="Z204" s="318">
        <f t="shared" si="142"/>
        <v>0</v>
      </c>
      <c r="AA204" s="318">
        <f t="shared" si="143"/>
        <v>0</v>
      </c>
      <c r="AB204" s="318">
        <f t="shared" si="144"/>
        <v>0</v>
      </c>
      <c r="AC204" s="318">
        <f t="shared" si="145"/>
        <v>0</v>
      </c>
      <c r="AD204" s="318">
        <f t="shared" si="146"/>
        <v>0</v>
      </c>
      <c r="AE204" s="318">
        <f t="shared" si="147"/>
        <v>0</v>
      </c>
      <c r="AF204" s="318">
        <f t="shared" ref="AF204:AF267" si="178">IF($G204="3412",$F204,0)</f>
        <v>0</v>
      </c>
      <c r="AG204" s="318">
        <f t="shared" ref="AG204:AG267" si="179">IF($H204="3412",$F204,0)</f>
        <v>0</v>
      </c>
      <c r="AH204" s="318">
        <f t="shared" si="148"/>
        <v>0</v>
      </c>
      <c r="AI204" s="318">
        <f t="shared" si="149"/>
        <v>0</v>
      </c>
      <c r="AJ204" s="318">
        <f t="shared" si="150"/>
        <v>0</v>
      </c>
      <c r="AK204" s="318">
        <f t="shared" si="151"/>
        <v>0</v>
      </c>
      <c r="AL204" s="318">
        <f t="shared" si="152"/>
        <v>0</v>
      </c>
      <c r="AM204" s="318">
        <f t="shared" si="153"/>
        <v>0</v>
      </c>
      <c r="AN204" s="318">
        <f t="shared" si="154"/>
        <v>0</v>
      </c>
      <c r="AO204" s="318">
        <f t="shared" si="155"/>
        <v>0</v>
      </c>
      <c r="AP204" s="318">
        <f t="shared" si="156"/>
        <v>0</v>
      </c>
      <c r="AQ204" s="318">
        <f t="shared" si="157"/>
        <v>0</v>
      </c>
      <c r="AR204" s="318">
        <f t="shared" si="158"/>
        <v>0</v>
      </c>
      <c r="AS204" s="318">
        <f t="shared" si="159"/>
        <v>0</v>
      </c>
      <c r="AT204" s="318">
        <f t="shared" si="160"/>
        <v>0</v>
      </c>
      <c r="AU204" s="318">
        <f t="shared" si="161"/>
        <v>0</v>
      </c>
      <c r="AV204" s="318">
        <f t="shared" si="162"/>
        <v>0</v>
      </c>
      <c r="AW204" s="318">
        <f t="shared" si="163"/>
        <v>0</v>
      </c>
      <c r="AX204" s="318">
        <f t="shared" si="164"/>
        <v>0</v>
      </c>
      <c r="AY204" s="318">
        <f t="shared" si="165"/>
        <v>0</v>
      </c>
      <c r="AZ204" s="318">
        <f t="shared" si="166"/>
        <v>0</v>
      </c>
      <c r="BA204" s="318">
        <f t="shared" si="167"/>
        <v>0</v>
      </c>
    </row>
    <row r="205" spans="1:53" s="315" customFormat="1" ht="16.5" customHeight="1">
      <c r="A205" s="63" t="str">
        <f t="array" ref="A205">IF(C205&lt;&gt;0,SUM(($C$11:C205&lt;&gt;0)*1),"")</f>
        <v/>
      </c>
      <c r="B205" s="316"/>
      <c r="C205" s="316"/>
      <c r="D205" s="316"/>
      <c r="E205" s="436"/>
      <c r="F205" s="372"/>
      <c r="G205" s="374"/>
      <c r="H205" s="374"/>
      <c r="I205" s="63" t="str">
        <f t="shared" si="129"/>
        <v/>
      </c>
      <c r="J205" s="318">
        <f t="shared" si="130"/>
        <v>0</v>
      </c>
      <c r="K205" s="318">
        <f t="shared" si="131"/>
        <v>0</v>
      </c>
      <c r="L205" s="318">
        <f t="shared" si="132"/>
        <v>0</v>
      </c>
      <c r="M205" s="318">
        <f t="shared" si="133"/>
        <v>0</v>
      </c>
      <c r="N205" s="318">
        <f t="shared" si="174"/>
        <v>0</v>
      </c>
      <c r="O205" s="318">
        <f t="shared" si="175"/>
        <v>0</v>
      </c>
      <c r="P205" s="318">
        <f t="shared" si="134"/>
        <v>0</v>
      </c>
      <c r="Q205" s="318">
        <f t="shared" si="135"/>
        <v>0</v>
      </c>
      <c r="R205" s="318">
        <f t="shared" si="136"/>
        <v>0</v>
      </c>
      <c r="S205" s="318">
        <f t="shared" si="137"/>
        <v>0</v>
      </c>
      <c r="T205" s="318">
        <f t="shared" si="176"/>
        <v>0</v>
      </c>
      <c r="U205" s="318">
        <f t="shared" si="177"/>
        <v>0</v>
      </c>
      <c r="V205" s="318">
        <f t="shared" si="138"/>
        <v>0</v>
      </c>
      <c r="W205" s="318">
        <f t="shared" si="139"/>
        <v>0</v>
      </c>
      <c r="X205" s="318">
        <f t="shared" si="140"/>
        <v>0</v>
      </c>
      <c r="Y205" s="318">
        <f t="shared" si="141"/>
        <v>0</v>
      </c>
      <c r="Z205" s="318">
        <f t="shared" si="142"/>
        <v>0</v>
      </c>
      <c r="AA205" s="318">
        <f t="shared" si="143"/>
        <v>0</v>
      </c>
      <c r="AB205" s="318">
        <f t="shared" si="144"/>
        <v>0</v>
      </c>
      <c r="AC205" s="318">
        <f t="shared" si="145"/>
        <v>0</v>
      </c>
      <c r="AD205" s="318">
        <f t="shared" si="146"/>
        <v>0</v>
      </c>
      <c r="AE205" s="318">
        <f t="shared" si="147"/>
        <v>0</v>
      </c>
      <c r="AF205" s="318">
        <f t="shared" si="178"/>
        <v>0</v>
      </c>
      <c r="AG205" s="318">
        <f t="shared" si="179"/>
        <v>0</v>
      </c>
      <c r="AH205" s="318">
        <f t="shared" si="148"/>
        <v>0</v>
      </c>
      <c r="AI205" s="318">
        <f t="shared" si="149"/>
        <v>0</v>
      </c>
      <c r="AJ205" s="318">
        <f t="shared" si="150"/>
        <v>0</v>
      </c>
      <c r="AK205" s="318">
        <f t="shared" si="151"/>
        <v>0</v>
      </c>
      <c r="AL205" s="318">
        <f t="shared" si="152"/>
        <v>0</v>
      </c>
      <c r="AM205" s="318">
        <f t="shared" si="153"/>
        <v>0</v>
      </c>
      <c r="AN205" s="318">
        <f t="shared" si="154"/>
        <v>0</v>
      </c>
      <c r="AO205" s="318">
        <f t="shared" si="155"/>
        <v>0</v>
      </c>
      <c r="AP205" s="318">
        <f t="shared" si="156"/>
        <v>0</v>
      </c>
      <c r="AQ205" s="318">
        <f t="shared" si="157"/>
        <v>0</v>
      </c>
      <c r="AR205" s="318">
        <f t="shared" si="158"/>
        <v>0</v>
      </c>
      <c r="AS205" s="318">
        <f t="shared" si="159"/>
        <v>0</v>
      </c>
      <c r="AT205" s="318">
        <f t="shared" si="160"/>
        <v>0</v>
      </c>
      <c r="AU205" s="318">
        <f t="shared" si="161"/>
        <v>0</v>
      </c>
      <c r="AV205" s="318">
        <f t="shared" si="162"/>
        <v>0</v>
      </c>
      <c r="AW205" s="318">
        <f t="shared" si="163"/>
        <v>0</v>
      </c>
      <c r="AX205" s="318">
        <f t="shared" si="164"/>
        <v>0</v>
      </c>
      <c r="AY205" s="318">
        <f t="shared" si="165"/>
        <v>0</v>
      </c>
      <c r="AZ205" s="318">
        <f t="shared" si="166"/>
        <v>0</v>
      </c>
      <c r="BA205" s="318">
        <f t="shared" si="167"/>
        <v>0</v>
      </c>
    </row>
    <row r="206" spans="1:53" s="315" customFormat="1" ht="16.5" customHeight="1">
      <c r="A206" s="63" t="str">
        <f t="array" ref="A206">IF(C206&lt;&gt;0,SUM(($C$11:C206&lt;&gt;0)*1),"")</f>
        <v/>
      </c>
      <c r="B206" s="316"/>
      <c r="C206" s="316"/>
      <c r="D206" s="316"/>
      <c r="E206" s="436"/>
      <c r="F206" s="372"/>
      <c r="G206" s="374"/>
      <c r="H206" s="374"/>
      <c r="I206" s="63" t="str">
        <f t="shared" si="129"/>
        <v/>
      </c>
      <c r="J206" s="318">
        <f t="shared" si="130"/>
        <v>0</v>
      </c>
      <c r="K206" s="318">
        <f t="shared" si="131"/>
        <v>0</v>
      </c>
      <c r="L206" s="318">
        <f t="shared" si="132"/>
        <v>0</v>
      </c>
      <c r="M206" s="318">
        <f t="shared" si="133"/>
        <v>0</v>
      </c>
      <c r="N206" s="318">
        <f t="shared" si="174"/>
        <v>0</v>
      </c>
      <c r="O206" s="318">
        <f t="shared" si="175"/>
        <v>0</v>
      </c>
      <c r="P206" s="318">
        <f t="shared" si="134"/>
        <v>0</v>
      </c>
      <c r="Q206" s="318">
        <f t="shared" si="135"/>
        <v>0</v>
      </c>
      <c r="R206" s="318">
        <f t="shared" si="136"/>
        <v>0</v>
      </c>
      <c r="S206" s="318">
        <f t="shared" si="137"/>
        <v>0</v>
      </c>
      <c r="T206" s="318">
        <f t="shared" si="176"/>
        <v>0</v>
      </c>
      <c r="U206" s="318">
        <f t="shared" si="177"/>
        <v>0</v>
      </c>
      <c r="V206" s="318">
        <f t="shared" si="138"/>
        <v>0</v>
      </c>
      <c r="W206" s="318">
        <f t="shared" si="139"/>
        <v>0</v>
      </c>
      <c r="X206" s="318">
        <f t="shared" si="140"/>
        <v>0</v>
      </c>
      <c r="Y206" s="318">
        <f t="shared" si="141"/>
        <v>0</v>
      </c>
      <c r="Z206" s="318">
        <f t="shared" si="142"/>
        <v>0</v>
      </c>
      <c r="AA206" s="318">
        <f t="shared" si="143"/>
        <v>0</v>
      </c>
      <c r="AB206" s="318">
        <f t="shared" si="144"/>
        <v>0</v>
      </c>
      <c r="AC206" s="318">
        <f t="shared" si="145"/>
        <v>0</v>
      </c>
      <c r="AD206" s="318">
        <f t="shared" si="146"/>
        <v>0</v>
      </c>
      <c r="AE206" s="318">
        <f t="shared" si="147"/>
        <v>0</v>
      </c>
      <c r="AF206" s="318">
        <f t="shared" si="178"/>
        <v>0</v>
      </c>
      <c r="AG206" s="318">
        <f t="shared" si="179"/>
        <v>0</v>
      </c>
      <c r="AH206" s="318">
        <f t="shared" si="148"/>
        <v>0</v>
      </c>
      <c r="AI206" s="318">
        <f t="shared" si="149"/>
        <v>0</v>
      </c>
      <c r="AJ206" s="318">
        <f t="shared" si="150"/>
        <v>0</v>
      </c>
      <c r="AK206" s="318">
        <f t="shared" si="151"/>
        <v>0</v>
      </c>
      <c r="AL206" s="318">
        <f t="shared" si="152"/>
        <v>0</v>
      </c>
      <c r="AM206" s="318">
        <f t="shared" si="153"/>
        <v>0</v>
      </c>
      <c r="AN206" s="318">
        <f t="shared" si="154"/>
        <v>0</v>
      </c>
      <c r="AO206" s="318">
        <f t="shared" si="155"/>
        <v>0</v>
      </c>
      <c r="AP206" s="318">
        <f t="shared" si="156"/>
        <v>0</v>
      </c>
      <c r="AQ206" s="318">
        <f t="shared" si="157"/>
        <v>0</v>
      </c>
      <c r="AR206" s="318">
        <f t="shared" si="158"/>
        <v>0</v>
      </c>
      <c r="AS206" s="318">
        <f t="shared" si="159"/>
        <v>0</v>
      </c>
      <c r="AT206" s="318">
        <f t="shared" si="160"/>
        <v>0</v>
      </c>
      <c r="AU206" s="318">
        <f t="shared" si="161"/>
        <v>0</v>
      </c>
      <c r="AV206" s="318">
        <f t="shared" si="162"/>
        <v>0</v>
      </c>
      <c r="AW206" s="318">
        <f t="shared" si="163"/>
        <v>0</v>
      </c>
      <c r="AX206" s="318">
        <f t="shared" si="164"/>
        <v>0</v>
      </c>
      <c r="AY206" s="318">
        <f t="shared" si="165"/>
        <v>0</v>
      </c>
      <c r="AZ206" s="318">
        <f t="shared" si="166"/>
        <v>0</v>
      </c>
      <c r="BA206" s="318">
        <f t="shared" si="167"/>
        <v>0</v>
      </c>
    </row>
    <row r="207" spans="1:53" s="315" customFormat="1" ht="16.5" customHeight="1">
      <c r="A207" s="63" t="str">
        <f t="array" ref="A207">IF(C207&lt;&gt;0,SUM(($C$11:C207&lt;&gt;0)*1),"")</f>
        <v/>
      </c>
      <c r="B207" s="316"/>
      <c r="C207" s="316"/>
      <c r="D207" s="316"/>
      <c r="E207" s="436"/>
      <c r="F207" s="372"/>
      <c r="G207" s="374"/>
      <c r="H207" s="374"/>
      <c r="I207" s="63" t="str">
        <f t="shared" ref="I207:I240" si="180">A207</f>
        <v/>
      </c>
      <c r="J207" s="318">
        <f t="shared" ref="J207:J270" si="181">IF($G207="1111",$F207,0)</f>
        <v>0</v>
      </c>
      <c r="K207" s="318">
        <f t="shared" ref="K207:K270" si="182">IF($H207="1111",$F207,0)</f>
        <v>0</v>
      </c>
      <c r="L207" s="318">
        <f t="shared" si="132"/>
        <v>0</v>
      </c>
      <c r="M207" s="318">
        <f t="shared" si="133"/>
        <v>0</v>
      </c>
      <c r="N207" s="318">
        <f t="shared" si="174"/>
        <v>0</v>
      </c>
      <c r="O207" s="318">
        <f t="shared" si="175"/>
        <v>0</v>
      </c>
      <c r="P207" s="318">
        <f t="shared" si="134"/>
        <v>0</v>
      </c>
      <c r="Q207" s="318">
        <f t="shared" si="135"/>
        <v>0</v>
      </c>
      <c r="R207" s="318">
        <f t="shared" si="136"/>
        <v>0</v>
      </c>
      <c r="S207" s="318">
        <f t="shared" si="137"/>
        <v>0</v>
      </c>
      <c r="T207" s="318">
        <f t="shared" si="176"/>
        <v>0</v>
      </c>
      <c r="U207" s="318">
        <f t="shared" si="177"/>
        <v>0</v>
      </c>
      <c r="V207" s="318">
        <f t="shared" si="138"/>
        <v>0</v>
      </c>
      <c r="W207" s="318">
        <f t="shared" si="139"/>
        <v>0</v>
      </c>
      <c r="X207" s="318">
        <f t="shared" si="140"/>
        <v>0</v>
      </c>
      <c r="Y207" s="318">
        <f t="shared" si="141"/>
        <v>0</v>
      </c>
      <c r="Z207" s="318">
        <f t="shared" ref="Z207:Z270" si="183">IF($G207="33382",$F207,0)</f>
        <v>0</v>
      </c>
      <c r="AA207" s="318">
        <f t="shared" ref="AA207:AA270" si="184">IF($H207="33382",$F207,0)</f>
        <v>0</v>
      </c>
      <c r="AB207" s="318">
        <f t="shared" si="144"/>
        <v>0</v>
      </c>
      <c r="AC207" s="318">
        <f t="shared" si="145"/>
        <v>0</v>
      </c>
      <c r="AD207" s="318">
        <f t="shared" ref="AD207:AD270" si="185">IF($G207="3411",$F207,0)</f>
        <v>0</v>
      </c>
      <c r="AE207" s="318">
        <f t="shared" ref="AE207:AE270" si="186">IF($H207="3411",$F207,0)</f>
        <v>0</v>
      </c>
      <c r="AF207" s="318">
        <f t="shared" si="178"/>
        <v>0</v>
      </c>
      <c r="AG207" s="318">
        <f t="shared" si="179"/>
        <v>0</v>
      </c>
      <c r="AH207" s="318">
        <f t="shared" si="148"/>
        <v>0</v>
      </c>
      <c r="AI207" s="318">
        <f t="shared" si="149"/>
        <v>0</v>
      </c>
      <c r="AJ207" s="318">
        <f t="shared" si="150"/>
        <v>0</v>
      </c>
      <c r="AK207" s="318">
        <f t="shared" si="151"/>
        <v>0</v>
      </c>
      <c r="AL207" s="318">
        <f t="shared" si="152"/>
        <v>0</v>
      </c>
      <c r="AM207" s="318">
        <f t="shared" si="153"/>
        <v>0</v>
      </c>
      <c r="AN207" s="318">
        <f t="shared" si="154"/>
        <v>0</v>
      </c>
      <c r="AO207" s="318">
        <f t="shared" si="155"/>
        <v>0</v>
      </c>
      <c r="AP207" s="318">
        <f t="shared" si="156"/>
        <v>0</v>
      </c>
      <c r="AQ207" s="318">
        <f t="shared" si="157"/>
        <v>0</v>
      </c>
      <c r="AR207" s="318">
        <f t="shared" ref="AR207:AR270" si="187">IF($G207="642",$F207,0)</f>
        <v>0</v>
      </c>
      <c r="AS207" s="318">
        <f t="shared" ref="AS207:AS270" si="188">IF($H207="642",$F207,0)</f>
        <v>0</v>
      </c>
      <c r="AT207" s="318">
        <f t="shared" si="160"/>
        <v>0</v>
      </c>
      <c r="AU207" s="318">
        <f t="shared" si="161"/>
        <v>0</v>
      </c>
      <c r="AV207" s="318">
        <f t="shared" si="162"/>
        <v>0</v>
      </c>
      <c r="AW207" s="318">
        <f t="shared" si="163"/>
        <v>0</v>
      </c>
      <c r="AX207" s="318">
        <f t="shared" ref="AX207:AX270" si="189">IF($G207="821",$F207,0)</f>
        <v>0</v>
      </c>
      <c r="AY207" s="318">
        <f t="shared" ref="AY207:AY270" si="190">IF($H207="821",$F207,0)</f>
        <v>0</v>
      </c>
      <c r="AZ207" s="318">
        <f t="shared" ref="AZ207:AZ270" si="191">IF($G207="911",$F207,0)</f>
        <v>0</v>
      </c>
      <c r="BA207" s="318">
        <f t="shared" ref="BA207:BA270" si="192">IF($H207="911",$F207,0)</f>
        <v>0</v>
      </c>
    </row>
    <row r="208" spans="1:53" s="315" customFormat="1" ht="16.5" customHeight="1">
      <c r="A208" s="63" t="str">
        <f t="array" ref="A208">IF(C208&lt;&gt;0,SUM(($C$11:C208&lt;&gt;0)*1),"")</f>
        <v/>
      </c>
      <c r="B208" s="316"/>
      <c r="C208" s="316"/>
      <c r="D208" s="316"/>
      <c r="E208" s="436"/>
      <c r="F208" s="372"/>
      <c r="G208" s="374"/>
      <c r="H208" s="374"/>
      <c r="I208" s="63" t="str">
        <f t="shared" si="180"/>
        <v/>
      </c>
      <c r="J208" s="318">
        <f t="shared" si="181"/>
        <v>0</v>
      </c>
      <c r="K208" s="318">
        <f t="shared" si="182"/>
        <v>0</v>
      </c>
      <c r="L208" s="318">
        <f t="shared" ref="L208:L271" si="193">IF($G208="1121",$F208,0)</f>
        <v>0</v>
      </c>
      <c r="M208" s="318">
        <f t="shared" ref="M208:M271" si="194">IF($H208="1121",$F208,0)</f>
        <v>0</v>
      </c>
      <c r="N208" s="318">
        <f t="shared" si="174"/>
        <v>0</v>
      </c>
      <c r="O208" s="318">
        <f t="shared" si="175"/>
        <v>0</v>
      </c>
      <c r="P208" s="318">
        <f t="shared" ref="P208:P271" si="195">IF($G208="1331",$F208,0)</f>
        <v>0</v>
      </c>
      <c r="Q208" s="318">
        <f t="shared" ref="Q208:Q271" si="196">IF($H208="1331",$F208,0)</f>
        <v>0</v>
      </c>
      <c r="R208" s="318">
        <f t="shared" ref="R208:R271" si="197">IF($G208="1388",$F208,0)</f>
        <v>0</v>
      </c>
      <c r="S208" s="318">
        <f t="shared" ref="S208:S271" si="198">IF($H208="1388",$F208,0)</f>
        <v>0</v>
      </c>
      <c r="T208" s="318">
        <f t="shared" si="176"/>
        <v>0</v>
      </c>
      <c r="U208" s="318">
        <f t="shared" si="177"/>
        <v>0</v>
      </c>
      <c r="V208" s="318">
        <f t="shared" ref="V208:V271" si="199">IF($G208="331",$F208,0)</f>
        <v>0</v>
      </c>
      <c r="W208" s="318">
        <f t="shared" ref="W208:W271" si="200">IF($H208="331",$F208,0)</f>
        <v>0</v>
      </c>
      <c r="X208" s="318">
        <f t="shared" ref="X208:X271" si="201">IF($G208="3334",$F208,0)</f>
        <v>0</v>
      </c>
      <c r="Y208" s="318">
        <f t="shared" ref="Y208:Y271" si="202">IF($H208="3334",$F208,0)</f>
        <v>0</v>
      </c>
      <c r="Z208" s="318">
        <f t="shared" si="183"/>
        <v>0</v>
      </c>
      <c r="AA208" s="318">
        <f t="shared" si="184"/>
        <v>0</v>
      </c>
      <c r="AB208" s="318">
        <f t="shared" ref="AB208:AB271" si="203">IF($G208="3388",$F208,0)</f>
        <v>0</v>
      </c>
      <c r="AC208" s="318">
        <f t="shared" ref="AC208:AC271" si="204">IF($H208="3388",$F208,0)</f>
        <v>0</v>
      </c>
      <c r="AD208" s="318">
        <f t="shared" si="185"/>
        <v>0</v>
      </c>
      <c r="AE208" s="318">
        <f t="shared" si="186"/>
        <v>0</v>
      </c>
      <c r="AF208" s="318">
        <f t="shared" si="178"/>
        <v>0</v>
      </c>
      <c r="AG208" s="318">
        <f t="shared" si="179"/>
        <v>0</v>
      </c>
      <c r="AH208" s="318">
        <f t="shared" ref="AH208:AH271" si="205">IF($G208="4111",$F208,0)</f>
        <v>0</v>
      </c>
      <c r="AI208" s="318">
        <f t="shared" ref="AI208:AI271" si="206">IF($H208="4111",$F208,0)</f>
        <v>0</v>
      </c>
      <c r="AJ208" s="318">
        <f t="shared" ref="AJ208:AJ271" si="207">IF($G208="4211",$F208,0)</f>
        <v>0</v>
      </c>
      <c r="AK208" s="318">
        <f t="shared" ref="AK208:AK271" si="208">IF($H208="4211",$F208,0)</f>
        <v>0</v>
      </c>
      <c r="AL208" s="318">
        <f t="shared" ref="AL208:AL271" si="209">IF($G208="4212",$F208,0)</f>
        <v>0</v>
      </c>
      <c r="AM208" s="318">
        <f t="shared" ref="AM208:AM271" si="210">IF($H208="4212",$F208,0)</f>
        <v>0</v>
      </c>
      <c r="AN208" s="318">
        <f t="shared" ref="AN208:AN271" si="211">IF($G208="515",$F208,0)</f>
        <v>0</v>
      </c>
      <c r="AO208" s="318">
        <f t="shared" ref="AO208:AO271" si="212">IF($H208="515",$F208,0)</f>
        <v>0</v>
      </c>
      <c r="AP208" s="318">
        <f t="shared" ref="AP208:AP271" si="213">IF($G208="635",$F208,0)</f>
        <v>0</v>
      </c>
      <c r="AQ208" s="318">
        <f t="shared" ref="AQ208:AQ271" si="214">IF($H208="635",$F208,0)</f>
        <v>0</v>
      </c>
      <c r="AR208" s="318">
        <f t="shared" si="187"/>
        <v>0</v>
      </c>
      <c r="AS208" s="318">
        <f t="shared" si="188"/>
        <v>0</v>
      </c>
      <c r="AT208" s="318">
        <f t="shared" ref="AT208:AT271" si="215">IF($G208="711",$F208,0)</f>
        <v>0</v>
      </c>
      <c r="AU208" s="318">
        <f t="shared" ref="AU208:AU271" si="216">IF($H208="711",$F208,0)</f>
        <v>0</v>
      </c>
      <c r="AV208" s="318">
        <f t="shared" ref="AV208:AV271" si="217">IF($G208="811",$F208,0)</f>
        <v>0</v>
      </c>
      <c r="AW208" s="318">
        <f t="shared" ref="AW208:AW271" si="218">IF($H208="811",$F208,0)</f>
        <v>0</v>
      </c>
      <c r="AX208" s="318">
        <f t="shared" si="189"/>
        <v>0</v>
      </c>
      <c r="AY208" s="318">
        <f t="shared" si="190"/>
        <v>0</v>
      </c>
      <c r="AZ208" s="318">
        <f t="shared" si="191"/>
        <v>0</v>
      </c>
      <c r="BA208" s="318">
        <f t="shared" si="192"/>
        <v>0</v>
      </c>
    </row>
    <row r="209" spans="1:53" s="315" customFormat="1" ht="16.5" customHeight="1">
      <c r="A209" s="63" t="str">
        <f t="array" ref="A209">IF(C209&lt;&gt;0,SUM(($C$11:C209&lt;&gt;0)*1),"")</f>
        <v/>
      </c>
      <c r="B209" s="316"/>
      <c r="C209" s="316"/>
      <c r="D209" s="316"/>
      <c r="E209" s="436"/>
      <c r="F209" s="372"/>
      <c r="G209" s="374"/>
      <c r="H209" s="374"/>
      <c r="I209" s="63" t="str">
        <f t="shared" si="180"/>
        <v/>
      </c>
      <c r="J209" s="318">
        <f t="shared" si="181"/>
        <v>0</v>
      </c>
      <c r="K209" s="318">
        <f t="shared" si="182"/>
        <v>0</v>
      </c>
      <c r="L209" s="318">
        <f t="shared" si="193"/>
        <v>0</v>
      </c>
      <c r="M209" s="318">
        <f t="shared" si="194"/>
        <v>0</v>
      </c>
      <c r="N209" s="318">
        <f t="shared" si="174"/>
        <v>0</v>
      </c>
      <c r="O209" s="318">
        <f t="shared" si="175"/>
        <v>0</v>
      </c>
      <c r="P209" s="318">
        <f t="shared" si="195"/>
        <v>0</v>
      </c>
      <c r="Q209" s="318">
        <f t="shared" si="196"/>
        <v>0</v>
      </c>
      <c r="R209" s="318">
        <f t="shared" si="197"/>
        <v>0</v>
      </c>
      <c r="S209" s="318">
        <f t="shared" si="198"/>
        <v>0</v>
      </c>
      <c r="T209" s="318">
        <f t="shared" si="176"/>
        <v>0</v>
      </c>
      <c r="U209" s="318">
        <f t="shared" si="177"/>
        <v>0</v>
      </c>
      <c r="V209" s="318">
        <f t="shared" si="199"/>
        <v>0</v>
      </c>
      <c r="W209" s="318">
        <f t="shared" si="200"/>
        <v>0</v>
      </c>
      <c r="X209" s="318">
        <f t="shared" si="201"/>
        <v>0</v>
      </c>
      <c r="Y209" s="318">
        <f t="shared" si="202"/>
        <v>0</v>
      </c>
      <c r="Z209" s="318">
        <f t="shared" si="183"/>
        <v>0</v>
      </c>
      <c r="AA209" s="318">
        <f t="shared" si="184"/>
        <v>0</v>
      </c>
      <c r="AB209" s="318">
        <f t="shared" si="203"/>
        <v>0</v>
      </c>
      <c r="AC209" s="318">
        <f t="shared" si="204"/>
        <v>0</v>
      </c>
      <c r="AD209" s="318">
        <f t="shared" si="185"/>
        <v>0</v>
      </c>
      <c r="AE209" s="318">
        <f t="shared" si="186"/>
        <v>0</v>
      </c>
      <c r="AF209" s="318">
        <f t="shared" si="178"/>
        <v>0</v>
      </c>
      <c r="AG209" s="318">
        <f t="shared" si="179"/>
        <v>0</v>
      </c>
      <c r="AH209" s="318">
        <f t="shared" si="205"/>
        <v>0</v>
      </c>
      <c r="AI209" s="318">
        <f t="shared" si="206"/>
        <v>0</v>
      </c>
      <c r="AJ209" s="318">
        <f t="shared" si="207"/>
        <v>0</v>
      </c>
      <c r="AK209" s="318">
        <f t="shared" si="208"/>
        <v>0</v>
      </c>
      <c r="AL209" s="318">
        <f t="shared" si="209"/>
        <v>0</v>
      </c>
      <c r="AM209" s="318">
        <f t="shared" si="210"/>
        <v>0</v>
      </c>
      <c r="AN209" s="318">
        <f t="shared" si="211"/>
        <v>0</v>
      </c>
      <c r="AO209" s="318">
        <f t="shared" si="212"/>
        <v>0</v>
      </c>
      <c r="AP209" s="318">
        <f t="shared" si="213"/>
        <v>0</v>
      </c>
      <c r="AQ209" s="318">
        <f t="shared" si="214"/>
        <v>0</v>
      </c>
      <c r="AR209" s="318">
        <f t="shared" si="187"/>
        <v>0</v>
      </c>
      <c r="AS209" s="318">
        <f t="shared" si="188"/>
        <v>0</v>
      </c>
      <c r="AT209" s="318">
        <f t="shared" si="215"/>
        <v>0</v>
      </c>
      <c r="AU209" s="318">
        <f t="shared" si="216"/>
        <v>0</v>
      </c>
      <c r="AV209" s="318">
        <f t="shared" si="217"/>
        <v>0</v>
      </c>
      <c r="AW209" s="318">
        <f t="shared" si="218"/>
        <v>0</v>
      </c>
      <c r="AX209" s="318">
        <f t="shared" si="189"/>
        <v>0</v>
      </c>
      <c r="AY209" s="318">
        <f t="shared" si="190"/>
        <v>0</v>
      </c>
      <c r="AZ209" s="318">
        <f t="shared" si="191"/>
        <v>0</v>
      </c>
      <c r="BA209" s="318">
        <f t="shared" si="192"/>
        <v>0</v>
      </c>
    </row>
    <row r="210" spans="1:53" s="315" customFormat="1" ht="16.5" customHeight="1">
      <c r="A210" s="63" t="str">
        <f t="array" ref="A210">IF(C210&lt;&gt;0,SUM(($C$11:C210&lt;&gt;0)*1),"")</f>
        <v/>
      </c>
      <c r="B210" s="316"/>
      <c r="C210" s="316"/>
      <c r="D210" s="316"/>
      <c r="E210" s="436"/>
      <c r="F210" s="372"/>
      <c r="G210" s="374"/>
      <c r="H210" s="374"/>
      <c r="I210" s="63" t="str">
        <f t="shared" si="180"/>
        <v/>
      </c>
      <c r="J210" s="318">
        <f t="shared" si="181"/>
        <v>0</v>
      </c>
      <c r="K210" s="318">
        <f t="shared" si="182"/>
        <v>0</v>
      </c>
      <c r="L210" s="318">
        <f t="shared" si="193"/>
        <v>0</v>
      </c>
      <c r="M210" s="318">
        <f t="shared" si="194"/>
        <v>0</v>
      </c>
      <c r="N210" s="318">
        <f t="shared" si="174"/>
        <v>0</v>
      </c>
      <c r="O210" s="318">
        <f t="shared" si="175"/>
        <v>0</v>
      </c>
      <c r="P210" s="318">
        <f t="shared" si="195"/>
        <v>0</v>
      </c>
      <c r="Q210" s="318">
        <f t="shared" si="196"/>
        <v>0</v>
      </c>
      <c r="R210" s="318">
        <f t="shared" si="197"/>
        <v>0</v>
      </c>
      <c r="S210" s="318">
        <f t="shared" si="198"/>
        <v>0</v>
      </c>
      <c r="T210" s="318">
        <f t="shared" si="176"/>
        <v>0</v>
      </c>
      <c r="U210" s="318">
        <f t="shared" si="177"/>
        <v>0</v>
      </c>
      <c r="V210" s="318">
        <f t="shared" si="199"/>
        <v>0</v>
      </c>
      <c r="W210" s="318">
        <f t="shared" si="200"/>
        <v>0</v>
      </c>
      <c r="X210" s="318">
        <f t="shared" si="201"/>
        <v>0</v>
      </c>
      <c r="Y210" s="318">
        <f t="shared" si="202"/>
        <v>0</v>
      </c>
      <c r="Z210" s="318">
        <f t="shared" si="183"/>
        <v>0</v>
      </c>
      <c r="AA210" s="318">
        <f t="shared" si="184"/>
        <v>0</v>
      </c>
      <c r="AB210" s="318">
        <f t="shared" si="203"/>
        <v>0</v>
      </c>
      <c r="AC210" s="318">
        <f t="shared" si="204"/>
        <v>0</v>
      </c>
      <c r="AD210" s="318">
        <f t="shared" si="185"/>
        <v>0</v>
      </c>
      <c r="AE210" s="318">
        <f t="shared" si="186"/>
        <v>0</v>
      </c>
      <c r="AF210" s="318">
        <f t="shared" si="178"/>
        <v>0</v>
      </c>
      <c r="AG210" s="318">
        <f t="shared" si="179"/>
        <v>0</v>
      </c>
      <c r="AH210" s="318">
        <f t="shared" si="205"/>
        <v>0</v>
      </c>
      <c r="AI210" s="318">
        <f t="shared" si="206"/>
        <v>0</v>
      </c>
      <c r="AJ210" s="318">
        <f t="shared" si="207"/>
        <v>0</v>
      </c>
      <c r="AK210" s="318">
        <f t="shared" si="208"/>
        <v>0</v>
      </c>
      <c r="AL210" s="318">
        <f t="shared" si="209"/>
        <v>0</v>
      </c>
      <c r="AM210" s="318">
        <f t="shared" si="210"/>
        <v>0</v>
      </c>
      <c r="AN210" s="318">
        <f t="shared" si="211"/>
        <v>0</v>
      </c>
      <c r="AO210" s="318">
        <f t="shared" si="212"/>
        <v>0</v>
      </c>
      <c r="AP210" s="318">
        <f t="shared" si="213"/>
        <v>0</v>
      </c>
      <c r="AQ210" s="318">
        <f t="shared" si="214"/>
        <v>0</v>
      </c>
      <c r="AR210" s="318">
        <f t="shared" si="187"/>
        <v>0</v>
      </c>
      <c r="AS210" s="318">
        <f t="shared" si="188"/>
        <v>0</v>
      </c>
      <c r="AT210" s="318">
        <f t="shared" si="215"/>
        <v>0</v>
      </c>
      <c r="AU210" s="318">
        <f t="shared" si="216"/>
        <v>0</v>
      </c>
      <c r="AV210" s="318">
        <f t="shared" si="217"/>
        <v>0</v>
      </c>
      <c r="AW210" s="318">
        <f t="shared" si="218"/>
        <v>0</v>
      </c>
      <c r="AX210" s="318">
        <f t="shared" si="189"/>
        <v>0</v>
      </c>
      <c r="AY210" s="318">
        <f t="shared" si="190"/>
        <v>0</v>
      </c>
      <c r="AZ210" s="318">
        <f t="shared" si="191"/>
        <v>0</v>
      </c>
      <c r="BA210" s="318">
        <f t="shared" si="192"/>
        <v>0</v>
      </c>
    </row>
    <row r="211" spans="1:53" s="315" customFormat="1" ht="16.5" customHeight="1">
      <c r="A211" s="63" t="str">
        <f t="array" ref="A211">IF(C211&lt;&gt;0,SUM(($C$11:C211&lt;&gt;0)*1),"")</f>
        <v/>
      </c>
      <c r="B211" s="316"/>
      <c r="C211" s="316"/>
      <c r="D211" s="316"/>
      <c r="E211" s="436"/>
      <c r="F211" s="372"/>
      <c r="G211" s="374"/>
      <c r="H211" s="374"/>
      <c r="I211" s="63" t="str">
        <f t="shared" si="180"/>
        <v/>
      </c>
      <c r="J211" s="318">
        <f t="shared" si="181"/>
        <v>0</v>
      </c>
      <c r="K211" s="318">
        <f t="shared" si="182"/>
        <v>0</v>
      </c>
      <c r="L211" s="318">
        <f t="shared" si="193"/>
        <v>0</v>
      </c>
      <c r="M211" s="318">
        <f t="shared" si="194"/>
        <v>0</v>
      </c>
      <c r="N211" s="318">
        <f t="shared" si="174"/>
        <v>0</v>
      </c>
      <c r="O211" s="318">
        <f t="shared" si="175"/>
        <v>0</v>
      </c>
      <c r="P211" s="318">
        <f t="shared" si="195"/>
        <v>0</v>
      </c>
      <c r="Q211" s="318">
        <f t="shared" si="196"/>
        <v>0</v>
      </c>
      <c r="R211" s="318">
        <f t="shared" si="197"/>
        <v>0</v>
      </c>
      <c r="S211" s="318">
        <f t="shared" si="198"/>
        <v>0</v>
      </c>
      <c r="T211" s="318">
        <f t="shared" si="176"/>
        <v>0</v>
      </c>
      <c r="U211" s="318">
        <f t="shared" si="177"/>
        <v>0</v>
      </c>
      <c r="V211" s="318">
        <f t="shared" si="199"/>
        <v>0</v>
      </c>
      <c r="W211" s="318">
        <f t="shared" si="200"/>
        <v>0</v>
      </c>
      <c r="X211" s="318">
        <f t="shared" si="201"/>
        <v>0</v>
      </c>
      <c r="Y211" s="318">
        <f t="shared" si="202"/>
        <v>0</v>
      </c>
      <c r="Z211" s="318">
        <f t="shared" si="183"/>
        <v>0</v>
      </c>
      <c r="AA211" s="318">
        <f t="shared" si="184"/>
        <v>0</v>
      </c>
      <c r="AB211" s="318">
        <f t="shared" si="203"/>
        <v>0</v>
      </c>
      <c r="AC211" s="318">
        <f t="shared" si="204"/>
        <v>0</v>
      </c>
      <c r="AD211" s="318">
        <f t="shared" si="185"/>
        <v>0</v>
      </c>
      <c r="AE211" s="318">
        <f t="shared" si="186"/>
        <v>0</v>
      </c>
      <c r="AF211" s="318">
        <f t="shared" si="178"/>
        <v>0</v>
      </c>
      <c r="AG211" s="318">
        <f t="shared" si="179"/>
        <v>0</v>
      </c>
      <c r="AH211" s="318">
        <f t="shared" si="205"/>
        <v>0</v>
      </c>
      <c r="AI211" s="318">
        <f t="shared" si="206"/>
        <v>0</v>
      </c>
      <c r="AJ211" s="318">
        <f t="shared" si="207"/>
        <v>0</v>
      </c>
      <c r="AK211" s="318">
        <f t="shared" si="208"/>
        <v>0</v>
      </c>
      <c r="AL211" s="318">
        <f t="shared" si="209"/>
        <v>0</v>
      </c>
      <c r="AM211" s="318">
        <f t="shared" si="210"/>
        <v>0</v>
      </c>
      <c r="AN211" s="318">
        <f t="shared" si="211"/>
        <v>0</v>
      </c>
      <c r="AO211" s="318">
        <f t="shared" si="212"/>
        <v>0</v>
      </c>
      <c r="AP211" s="318">
        <f t="shared" si="213"/>
        <v>0</v>
      </c>
      <c r="AQ211" s="318">
        <f t="shared" si="214"/>
        <v>0</v>
      </c>
      <c r="AR211" s="318">
        <f t="shared" si="187"/>
        <v>0</v>
      </c>
      <c r="AS211" s="318">
        <f t="shared" si="188"/>
        <v>0</v>
      </c>
      <c r="AT211" s="318">
        <f t="shared" si="215"/>
        <v>0</v>
      </c>
      <c r="AU211" s="318">
        <f t="shared" si="216"/>
        <v>0</v>
      </c>
      <c r="AV211" s="318">
        <f t="shared" si="217"/>
        <v>0</v>
      </c>
      <c r="AW211" s="318">
        <f t="shared" si="218"/>
        <v>0</v>
      </c>
      <c r="AX211" s="318">
        <f t="shared" si="189"/>
        <v>0</v>
      </c>
      <c r="AY211" s="318">
        <f t="shared" si="190"/>
        <v>0</v>
      </c>
      <c r="AZ211" s="318">
        <f t="shared" si="191"/>
        <v>0</v>
      </c>
      <c r="BA211" s="318">
        <f t="shared" si="192"/>
        <v>0</v>
      </c>
    </row>
    <row r="212" spans="1:53" s="315" customFormat="1" ht="16.5" customHeight="1">
      <c r="A212" s="63" t="str">
        <f t="array" ref="A212">IF(C212&lt;&gt;0,SUM(($C$11:C212&lt;&gt;0)*1),"")</f>
        <v/>
      </c>
      <c r="B212" s="316"/>
      <c r="C212" s="316"/>
      <c r="D212" s="316"/>
      <c r="E212" s="436"/>
      <c r="F212" s="372"/>
      <c r="G212" s="374"/>
      <c r="H212" s="374"/>
      <c r="I212" s="63" t="str">
        <f t="shared" si="180"/>
        <v/>
      </c>
      <c r="J212" s="318">
        <f t="shared" si="181"/>
        <v>0</v>
      </c>
      <c r="K212" s="318">
        <f t="shared" si="182"/>
        <v>0</v>
      </c>
      <c r="L212" s="318">
        <f t="shared" si="193"/>
        <v>0</v>
      </c>
      <c r="M212" s="318">
        <f t="shared" si="194"/>
        <v>0</v>
      </c>
      <c r="N212" s="318">
        <f t="shared" si="174"/>
        <v>0</v>
      </c>
      <c r="O212" s="318">
        <f t="shared" si="175"/>
        <v>0</v>
      </c>
      <c r="P212" s="318">
        <f t="shared" si="195"/>
        <v>0</v>
      </c>
      <c r="Q212" s="318">
        <f t="shared" si="196"/>
        <v>0</v>
      </c>
      <c r="R212" s="318">
        <f t="shared" si="197"/>
        <v>0</v>
      </c>
      <c r="S212" s="318">
        <f t="shared" si="198"/>
        <v>0</v>
      </c>
      <c r="T212" s="318">
        <f t="shared" si="176"/>
        <v>0</v>
      </c>
      <c r="U212" s="318">
        <f t="shared" si="177"/>
        <v>0</v>
      </c>
      <c r="V212" s="318">
        <f t="shared" si="199"/>
        <v>0</v>
      </c>
      <c r="W212" s="318">
        <f t="shared" si="200"/>
        <v>0</v>
      </c>
      <c r="X212" s="318">
        <f t="shared" si="201"/>
        <v>0</v>
      </c>
      <c r="Y212" s="318">
        <f t="shared" si="202"/>
        <v>0</v>
      </c>
      <c r="Z212" s="318">
        <f t="shared" si="183"/>
        <v>0</v>
      </c>
      <c r="AA212" s="318">
        <f t="shared" si="184"/>
        <v>0</v>
      </c>
      <c r="AB212" s="318">
        <f t="shared" si="203"/>
        <v>0</v>
      </c>
      <c r="AC212" s="318">
        <f t="shared" si="204"/>
        <v>0</v>
      </c>
      <c r="AD212" s="318">
        <f t="shared" si="185"/>
        <v>0</v>
      </c>
      <c r="AE212" s="318">
        <f t="shared" si="186"/>
        <v>0</v>
      </c>
      <c r="AF212" s="318">
        <f t="shared" si="178"/>
        <v>0</v>
      </c>
      <c r="AG212" s="318">
        <f t="shared" si="179"/>
        <v>0</v>
      </c>
      <c r="AH212" s="318">
        <f t="shared" si="205"/>
        <v>0</v>
      </c>
      <c r="AI212" s="318">
        <f t="shared" si="206"/>
        <v>0</v>
      </c>
      <c r="AJ212" s="318">
        <f t="shared" si="207"/>
        <v>0</v>
      </c>
      <c r="AK212" s="318">
        <f t="shared" si="208"/>
        <v>0</v>
      </c>
      <c r="AL212" s="318">
        <f t="shared" si="209"/>
        <v>0</v>
      </c>
      <c r="AM212" s="318">
        <f t="shared" si="210"/>
        <v>0</v>
      </c>
      <c r="AN212" s="318">
        <f t="shared" si="211"/>
        <v>0</v>
      </c>
      <c r="AO212" s="318">
        <f t="shared" si="212"/>
        <v>0</v>
      </c>
      <c r="AP212" s="318">
        <f t="shared" si="213"/>
        <v>0</v>
      </c>
      <c r="AQ212" s="318">
        <f t="shared" si="214"/>
        <v>0</v>
      </c>
      <c r="AR212" s="318">
        <f t="shared" si="187"/>
        <v>0</v>
      </c>
      <c r="AS212" s="318">
        <f t="shared" si="188"/>
        <v>0</v>
      </c>
      <c r="AT212" s="318">
        <f t="shared" si="215"/>
        <v>0</v>
      </c>
      <c r="AU212" s="318">
        <f t="shared" si="216"/>
        <v>0</v>
      </c>
      <c r="AV212" s="318">
        <f t="shared" si="217"/>
        <v>0</v>
      </c>
      <c r="AW212" s="318">
        <f t="shared" si="218"/>
        <v>0</v>
      </c>
      <c r="AX212" s="318">
        <f t="shared" si="189"/>
        <v>0</v>
      </c>
      <c r="AY212" s="318">
        <f t="shared" si="190"/>
        <v>0</v>
      </c>
      <c r="AZ212" s="318">
        <f t="shared" si="191"/>
        <v>0</v>
      </c>
      <c r="BA212" s="318">
        <f t="shared" si="192"/>
        <v>0</v>
      </c>
    </row>
    <row r="213" spans="1:53" s="315" customFormat="1" ht="16.5" customHeight="1">
      <c r="A213" s="63" t="str">
        <f t="array" ref="A213">IF(C213&lt;&gt;0,SUM(($C$11:C213&lt;&gt;0)*1),"")</f>
        <v/>
      </c>
      <c r="B213" s="316"/>
      <c r="C213" s="316"/>
      <c r="D213" s="316"/>
      <c r="E213" s="436"/>
      <c r="F213" s="372"/>
      <c r="G213" s="374"/>
      <c r="H213" s="374"/>
      <c r="I213" s="63" t="str">
        <f t="shared" si="180"/>
        <v/>
      </c>
      <c r="J213" s="318">
        <f t="shared" si="181"/>
        <v>0</v>
      </c>
      <c r="K213" s="318">
        <f t="shared" si="182"/>
        <v>0</v>
      </c>
      <c r="L213" s="318">
        <f t="shared" si="193"/>
        <v>0</v>
      </c>
      <c r="M213" s="318">
        <f t="shared" si="194"/>
        <v>0</v>
      </c>
      <c r="N213" s="318">
        <f t="shared" si="174"/>
        <v>0</v>
      </c>
      <c r="O213" s="318">
        <f t="shared" si="175"/>
        <v>0</v>
      </c>
      <c r="P213" s="318">
        <f t="shared" si="195"/>
        <v>0</v>
      </c>
      <c r="Q213" s="318">
        <f t="shared" si="196"/>
        <v>0</v>
      </c>
      <c r="R213" s="318">
        <f t="shared" si="197"/>
        <v>0</v>
      </c>
      <c r="S213" s="318">
        <f t="shared" si="198"/>
        <v>0</v>
      </c>
      <c r="T213" s="318">
        <f t="shared" si="176"/>
        <v>0</v>
      </c>
      <c r="U213" s="318">
        <f t="shared" si="177"/>
        <v>0</v>
      </c>
      <c r="V213" s="318">
        <f t="shared" si="199"/>
        <v>0</v>
      </c>
      <c r="W213" s="318">
        <f t="shared" si="200"/>
        <v>0</v>
      </c>
      <c r="X213" s="318">
        <f t="shared" si="201"/>
        <v>0</v>
      </c>
      <c r="Y213" s="318">
        <f t="shared" si="202"/>
        <v>0</v>
      </c>
      <c r="Z213" s="318">
        <f t="shared" si="183"/>
        <v>0</v>
      </c>
      <c r="AA213" s="318">
        <f t="shared" si="184"/>
        <v>0</v>
      </c>
      <c r="AB213" s="318">
        <f t="shared" si="203"/>
        <v>0</v>
      </c>
      <c r="AC213" s="318">
        <f t="shared" si="204"/>
        <v>0</v>
      </c>
      <c r="AD213" s="318">
        <f t="shared" si="185"/>
        <v>0</v>
      </c>
      <c r="AE213" s="318">
        <f t="shared" si="186"/>
        <v>0</v>
      </c>
      <c r="AF213" s="318">
        <f t="shared" si="178"/>
        <v>0</v>
      </c>
      <c r="AG213" s="318">
        <f t="shared" si="179"/>
        <v>0</v>
      </c>
      <c r="AH213" s="318">
        <f t="shared" si="205"/>
        <v>0</v>
      </c>
      <c r="AI213" s="318">
        <f t="shared" si="206"/>
        <v>0</v>
      </c>
      <c r="AJ213" s="318">
        <f t="shared" si="207"/>
        <v>0</v>
      </c>
      <c r="AK213" s="318">
        <f t="shared" si="208"/>
        <v>0</v>
      </c>
      <c r="AL213" s="318">
        <f t="shared" si="209"/>
        <v>0</v>
      </c>
      <c r="AM213" s="318">
        <f t="shared" si="210"/>
        <v>0</v>
      </c>
      <c r="AN213" s="318">
        <f t="shared" si="211"/>
        <v>0</v>
      </c>
      <c r="AO213" s="318">
        <f t="shared" si="212"/>
        <v>0</v>
      </c>
      <c r="AP213" s="318">
        <f t="shared" si="213"/>
        <v>0</v>
      </c>
      <c r="AQ213" s="318">
        <f t="shared" si="214"/>
        <v>0</v>
      </c>
      <c r="AR213" s="318">
        <f t="shared" si="187"/>
        <v>0</v>
      </c>
      <c r="AS213" s="318">
        <f t="shared" si="188"/>
        <v>0</v>
      </c>
      <c r="AT213" s="318">
        <f t="shared" si="215"/>
        <v>0</v>
      </c>
      <c r="AU213" s="318">
        <f t="shared" si="216"/>
        <v>0</v>
      </c>
      <c r="AV213" s="318">
        <f t="shared" si="217"/>
        <v>0</v>
      </c>
      <c r="AW213" s="318">
        <f t="shared" si="218"/>
        <v>0</v>
      </c>
      <c r="AX213" s="318">
        <f t="shared" si="189"/>
        <v>0</v>
      </c>
      <c r="AY213" s="318">
        <f t="shared" si="190"/>
        <v>0</v>
      </c>
      <c r="AZ213" s="318">
        <f t="shared" si="191"/>
        <v>0</v>
      </c>
      <c r="BA213" s="318">
        <f t="shared" si="192"/>
        <v>0</v>
      </c>
    </row>
    <row r="214" spans="1:53" s="315" customFormat="1" ht="16.5" customHeight="1">
      <c r="A214" s="63" t="str">
        <f t="array" ref="A214">IF(C214&lt;&gt;0,SUM(($C$11:C214&lt;&gt;0)*1),"")</f>
        <v/>
      </c>
      <c r="B214" s="316"/>
      <c r="C214" s="316"/>
      <c r="D214" s="316"/>
      <c r="E214" s="436"/>
      <c r="F214" s="372"/>
      <c r="G214" s="374"/>
      <c r="H214" s="374"/>
      <c r="I214" s="63" t="str">
        <f t="shared" si="180"/>
        <v/>
      </c>
      <c r="J214" s="318">
        <f t="shared" si="181"/>
        <v>0</v>
      </c>
      <c r="K214" s="318">
        <f t="shared" si="182"/>
        <v>0</v>
      </c>
      <c r="L214" s="318">
        <f t="shared" si="193"/>
        <v>0</v>
      </c>
      <c r="M214" s="318">
        <f t="shared" si="194"/>
        <v>0</v>
      </c>
      <c r="N214" s="318">
        <f t="shared" si="174"/>
        <v>0</v>
      </c>
      <c r="O214" s="318">
        <f t="shared" si="175"/>
        <v>0</v>
      </c>
      <c r="P214" s="318">
        <f t="shared" si="195"/>
        <v>0</v>
      </c>
      <c r="Q214" s="318">
        <f t="shared" si="196"/>
        <v>0</v>
      </c>
      <c r="R214" s="318">
        <f t="shared" si="197"/>
        <v>0</v>
      </c>
      <c r="S214" s="318">
        <f t="shared" si="198"/>
        <v>0</v>
      </c>
      <c r="T214" s="318">
        <f t="shared" si="176"/>
        <v>0</v>
      </c>
      <c r="U214" s="318">
        <f t="shared" si="177"/>
        <v>0</v>
      </c>
      <c r="V214" s="318">
        <f t="shared" si="199"/>
        <v>0</v>
      </c>
      <c r="W214" s="318">
        <f t="shared" si="200"/>
        <v>0</v>
      </c>
      <c r="X214" s="318">
        <f t="shared" si="201"/>
        <v>0</v>
      </c>
      <c r="Y214" s="318">
        <f t="shared" si="202"/>
        <v>0</v>
      </c>
      <c r="Z214" s="318">
        <f t="shared" si="183"/>
        <v>0</v>
      </c>
      <c r="AA214" s="318">
        <f t="shared" si="184"/>
        <v>0</v>
      </c>
      <c r="AB214" s="318">
        <f t="shared" si="203"/>
        <v>0</v>
      </c>
      <c r="AC214" s="318">
        <f t="shared" si="204"/>
        <v>0</v>
      </c>
      <c r="AD214" s="318">
        <f t="shared" si="185"/>
        <v>0</v>
      </c>
      <c r="AE214" s="318">
        <f t="shared" si="186"/>
        <v>0</v>
      </c>
      <c r="AF214" s="318">
        <f t="shared" si="178"/>
        <v>0</v>
      </c>
      <c r="AG214" s="318">
        <f t="shared" si="179"/>
        <v>0</v>
      </c>
      <c r="AH214" s="318">
        <f t="shared" si="205"/>
        <v>0</v>
      </c>
      <c r="AI214" s="318">
        <f t="shared" si="206"/>
        <v>0</v>
      </c>
      <c r="AJ214" s="318">
        <f t="shared" si="207"/>
        <v>0</v>
      </c>
      <c r="AK214" s="318">
        <f t="shared" si="208"/>
        <v>0</v>
      </c>
      <c r="AL214" s="318">
        <f t="shared" si="209"/>
        <v>0</v>
      </c>
      <c r="AM214" s="318">
        <f t="shared" si="210"/>
        <v>0</v>
      </c>
      <c r="AN214" s="318">
        <f t="shared" si="211"/>
        <v>0</v>
      </c>
      <c r="AO214" s="318">
        <f t="shared" si="212"/>
        <v>0</v>
      </c>
      <c r="AP214" s="318">
        <f t="shared" si="213"/>
        <v>0</v>
      </c>
      <c r="AQ214" s="318">
        <f t="shared" si="214"/>
        <v>0</v>
      </c>
      <c r="AR214" s="318">
        <f t="shared" si="187"/>
        <v>0</v>
      </c>
      <c r="AS214" s="318">
        <f t="shared" si="188"/>
        <v>0</v>
      </c>
      <c r="AT214" s="318">
        <f t="shared" si="215"/>
        <v>0</v>
      </c>
      <c r="AU214" s="318">
        <f t="shared" si="216"/>
        <v>0</v>
      </c>
      <c r="AV214" s="318">
        <f t="shared" si="217"/>
        <v>0</v>
      </c>
      <c r="AW214" s="318">
        <f t="shared" si="218"/>
        <v>0</v>
      </c>
      <c r="AX214" s="318">
        <f t="shared" si="189"/>
        <v>0</v>
      </c>
      <c r="AY214" s="318">
        <f t="shared" si="190"/>
        <v>0</v>
      </c>
      <c r="AZ214" s="318">
        <f t="shared" si="191"/>
        <v>0</v>
      </c>
      <c r="BA214" s="318">
        <f t="shared" si="192"/>
        <v>0</v>
      </c>
    </row>
    <row r="215" spans="1:53" s="315" customFormat="1" ht="16.5" customHeight="1">
      <c r="A215" s="63" t="str">
        <f t="array" ref="A215">IF(C215&lt;&gt;0,SUM(($C$11:C215&lt;&gt;0)*1),"")</f>
        <v/>
      </c>
      <c r="B215" s="316"/>
      <c r="C215" s="316"/>
      <c r="D215" s="316"/>
      <c r="E215" s="436"/>
      <c r="F215" s="372"/>
      <c r="G215" s="374"/>
      <c r="H215" s="374"/>
      <c r="I215" s="63" t="str">
        <f t="shared" si="180"/>
        <v/>
      </c>
      <c r="J215" s="318">
        <f t="shared" si="181"/>
        <v>0</v>
      </c>
      <c r="K215" s="318">
        <f t="shared" si="182"/>
        <v>0</v>
      </c>
      <c r="L215" s="318">
        <f t="shared" si="193"/>
        <v>0</v>
      </c>
      <c r="M215" s="318">
        <f t="shared" si="194"/>
        <v>0</v>
      </c>
      <c r="N215" s="318">
        <f t="shared" si="174"/>
        <v>0</v>
      </c>
      <c r="O215" s="318">
        <f t="shared" si="175"/>
        <v>0</v>
      </c>
      <c r="P215" s="318">
        <f t="shared" si="195"/>
        <v>0</v>
      </c>
      <c r="Q215" s="318">
        <f t="shared" si="196"/>
        <v>0</v>
      </c>
      <c r="R215" s="318">
        <f t="shared" si="197"/>
        <v>0</v>
      </c>
      <c r="S215" s="318">
        <f t="shared" si="198"/>
        <v>0</v>
      </c>
      <c r="T215" s="318">
        <f t="shared" si="176"/>
        <v>0</v>
      </c>
      <c r="U215" s="318">
        <f t="shared" si="177"/>
        <v>0</v>
      </c>
      <c r="V215" s="318">
        <f t="shared" si="199"/>
        <v>0</v>
      </c>
      <c r="W215" s="318">
        <f t="shared" si="200"/>
        <v>0</v>
      </c>
      <c r="X215" s="318">
        <f t="shared" si="201"/>
        <v>0</v>
      </c>
      <c r="Y215" s="318">
        <f t="shared" si="202"/>
        <v>0</v>
      </c>
      <c r="Z215" s="318">
        <f t="shared" si="183"/>
        <v>0</v>
      </c>
      <c r="AA215" s="318">
        <f t="shared" si="184"/>
        <v>0</v>
      </c>
      <c r="AB215" s="318">
        <f t="shared" si="203"/>
        <v>0</v>
      </c>
      <c r="AC215" s="318">
        <f t="shared" si="204"/>
        <v>0</v>
      </c>
      <c r="AD215" s="318">
        <f t="shared" si="185"/>
        <v>0</v>
      </c>
      <c r="AE215" s="318">
        <f t="shared" si="186"/>
        <v>0</v>
      </c>
      <c r="AF215" s="318">
        <f t="shared" si="178"/>
        <v>0</v>
      </c>
      <c r="AG215" s="318">
        <f t="shared" si="179"/>
        <v>0</v>
      </c>
      <c r="AH215" s="318">
        <f t="shared" si="205"/>
        <v>0</v>
      </c>
      <c r="AI215" s="318">
        <f t="shared" si="206"/>
        <v>0</v>
      </c>
      <c r="AJ215" s="318">
        <f t="shared" si="207"/>
        <v>0</v>
      </c>
      <c r="AK215" s="318">
        <f t="shared" si="208"/>
        <v>0</v>
      </c>
      <c r="AL215" s="318">
        <f t="shared" si="209"/>
        <v>0</v>
      </c>
      <c r="AM215" s="318">
        <f t="shared" si="210"/>
        <v>0</v>
      </c>
      <c r="AN215" s="318">
        <f t="shared" si="211"/>
        <v>0</v>
      </c>
      <c r="AO215" s="318">
        <f t="shared" si="212"/>
        <v>0</v>
      </c>
      <c r="AP215" s="318">
        <f t="shared" si="213"/>
        <v>0</v>
      </c>
      <c r="AQ215" s="318">
        <f t="shared" si="214"/>
        <v>0</v>
      </c>
      <c r="AR215" s="318">
        <f t="shared" si="187"/>
        <v>0</v>
      </c>
      <c r="AS215" s="318">
        <f t="shared" si="188"/>
        <v>0</v>
      </c>
      <c r="AT215" s="318">
        <f t="shared" si="215"/>
        <v>0</v>
      </c>
      <c r="AU215" s="318">
        <f t="shared" si="216"/>
        <v>0</v>
      </c>
      <c r="AV215" s="318">
        <f t="shared" si="217"/>
        <v>0</v>
      </c>
      <c r="AW215" s="318">
        <f t="shared" si="218"/>
        <v>0</v>
      </c>
      <c r="AX215" s="318">
        <f t="shared" si="189"/>
        <v>0</v>
      </c>
      <c r="AY215" s="318">
        <f t="shared" si="190"/>
        <v>0</v>
      </c>
      <c r="AZ215" s="318">
        <f t="shared" si="191"/>
        <v>0</v>
      </c>
      <c r="BA215" s="318">
        <f t="shared" si="192"/>
        <v>0</v>
      </c>
    </row>
    <row r="216" spans="1:53" s="315" customFormat="1" ht="16.5" customHeight="1">
      <c r="A216" s="63" t="str">
        <f t="array" ref="A216">IF(C216&lt;&gt;0,SUM(($C$11:C216&lt;&gt;0)*1),"")</f>
        <v/>
      </c>
      <c r="B216" s="316"/>
      <c r="C216" s="316"/>
      <c r="D216" s="316"/>
      <c r="E216" s="436"/>
      <c r="F216" s="372"/>
      <c r="G216" s="374"/>
      <c r="H216" s="374"/>
      <c r="I216" s="63" t="str">
        <f t="shared" si="180"/>
        <v/>
      </c>
      <c r="J216" s="318">
        <f t="shared" si="181"/>
        <v>0</v>
      </c>
      <c r="K216" s="318">
        <f t="shared" si="182"/>
        <v>0</v>
      </c>
      <c r="L216" s="318">
        <f t="shared" si="193"/>
        <v>0</v>
      </c>
      <c r="M216" s="318">
        <f t="shared" si="194"/>
        <v>0</v>
      </c>
      <c r="N216" s="318">
        <f t="shared" si="174"/>
        <v>0</v>
      </c>
      <c r="O216" s="318">
        <f t="shared" si="175"/>
        <v>0</v>
      </c>
      <c r="P216" s="318">
        <f t="shared" si="195"/>
        <v>0</v>
      </c>
      <c r="Q216" s="318">
        <f t="shared" si="196"/>
        <v>0</v>
      </c>
      <c r="R216" s="318">
        <f t="shared" si="197"/>
        <v>0</v>
      </c>
      <c r="S216" s="318">
        <f t="shared" si="198"/>
        <v>0</v>
      </c>
      <c r="T216" s="318">
        <f t="shared" si="176"/>
        <v>0</v>
      </c>
      <c r="U216" s="318">
        <f t="shared" si="177"/>
        <v>0</v>
      </c>
      <c r="V216" s="318">
        <f t="shared" si="199"/>
        <v>0</v>
      </c>
      <c r="W216" s="318">
        <f t="shared" si="200"/>
        <v>0</v>
      </c>
      <c r="X216" s="318">
        <f t="shared" si="201"/>
        <v>0</v>
      </c>
      <c r="Y216" s="318">
        <f t="shared" si="202"/>
        <v>0</v>
      </c>
      <c r="Z216" s="318">
        <f t="shared" si="183"/>
        <v>0</v>
      </c>
      <c r="AA216" s="318">
        <f t="shared" si="184"/>
        <v>0</v>
      </c>
      <c r="AB216" s="318">
        <f t="shared" si="203"/>
        <v>0</v>
      </c>
      <c r="AC216" s="318">
        <f t="shared" si="204"/>
        <v>0</v>
      </c>
      <c r="AD216" s="318">
        <f t="shared" si="185"/>
        <v>0</v>
      </c>
      <c r="AE216" s="318">
        <f t="shared" si="186"/>
        <v>0</v>
      </c>
      <c r="AF216" s="318">
        <f t="shared" si="178"/>
        <v>0</v>
      </c>
      <c r="AG216" s="318">
        <f t="shared" si="179"/>
        <v>0</v>
      </c>
      <c r="AH216" s="318">
        <f t="shared" si="205"/>
        <v>0</v>
      </c>
      <c r="AI216" s="318">
        <f t="shared" si="206"/>
        <v>0</v>
      </c>
      <c r="AJ216" s="318">
        <f t="shared" si="207"/>
        <v>0</v>
      </c>
      <c r="AK216" s="318">
        <f t="shared" si="208"/>
        <v>0</v>
      </c>
      <c r="AL216" s="318">
        <f t="shared" si="209"/>
        <v>0</v>
      </c>
      <c r="AM216" s="318">
        <f t="shared" si="210"/>
        <v>0</v>
      </c>
      <c r="AN216" s="318">
        <f t="shared" si="211"/>
        <v>0</v>
      </c>
      <c r="AO216" s="318">
        <f t="shared" si="212"/>
        <v>0</v>
      </c>
      <c r="AP216" s="318">
        <f t="shared" si="213"/>
        <v>0</v>
      </c>
      <c r="AQ216" s="318">
        <f t="shared" si="214"/>
        <v>0</v>
      </c>
      <c r="AR216" s="318">
        <f t="shared" si="187"/>
        <v>0</v>
      </c>
      <c r="AS216" s="318">
        <f t="shared" si="188"/>
        <v>0</v>
      </c>
      <c r="AT216" s="318">
        <f t="shared" si="215"/>
        <v>0</v>
      </c>
      <c r="AU216" s="318">
        <f t="shared" si="216"/>
        <v>0</v>
      </c>
      <c r="AV216" s="318">
        <f t="shared" si="217"/>
        <v>0</v>
      </c>
      <c r="AW216" s="318">
        <f t="shared" si="218"/>
        <v>0</v>
      </c>
      <c r="AX216" s="318">
        <f t="shared" si="189"/>
        <v>0</v>
      </c>
      <c r="AY216" s="318">
        <f t="shared" si="190"/>
        <v>0</v>
      </c>
      <c r="AZ216" s="318">
        <f t="shared" si="191"/>
        <v>0</v>
      </c>
      <c r="BA216" s="318">
        <f t="shared" si="192"/>
        <v>0</v>
      </c>
    </row>
    <row r="217" spans="1:53" s="315" customFormat="1" ht="16.5" customHeight="1">
      <c r="A217" s="63" t="str">
        <f t="array" ref="A217">IF(C217&lt;&gt;0,SUM(($C$11:C217&lt;&gt;0)*1),"")</f>
        <v/>
      </c>
      <c r="B217" s="316"/>
      <c r="C217" s="316"/>
      <c r="D217" s="316"/>
      <c r="E217" s="436"/>
      <c r="F217" s="372"/>
      <c r="G217" s="374"/>
      <c r="H217" s="374"/>
      <c r="I217" s="63" t="str">
        <f t="shared" si="180"/>
        <v/>
      </c>
      <c r="J217" s="318">
        <f t="shared" si="181"/>
        <v>0</v>
      </c>
      <c r="K217" s="318">
        <f t="shared" si="182"/>
        <v>0</v>
      </c>
      <c r="L217" s="318">
        <f t="shared" si="193"/>
        <v>0</v>
      </c>
      <c r="M217" s="318">
        <f t="shared" si="194"/>
        <v>0</v>
      </c>
      <c r="N217" s="318">
        <f t="shared" si="174"/>
        <v>0</v>
      </c>
      <c r="O217" s="318">
        <f t="shared" si="175"/>
        <v>0</v>
      </c>
      <c r="P217" s="318">
        <f t="shared" si="195"/>
        <v>0</v>
      </c>
      <c r="Q217" s="318">
        <f t="shared" si="196"/>
        <v>0</v>
      </c>
      <c r="R217" s="318">
        <f t="shared" si="197"/>
        <v>0</v>
      </c>
      <c r="S217" s="318">
        <f t="shared" si="198"/>
        <v>0</v>
      </c>
      <c r="T217" s="318">
        <f t="shared" si="176"/>
        <v>0</v>
      </c>
      <c r="U217" s="318">
        <f t="shared" si="177"/>
        <v>0</v>
      </c>
      <c r="V217" s="318">
        <f t="shared" si="199"/>
        <v>0</v>
      </c>
      <c r="W217" s="318">
        <f t="shared" si="200"/>
        <v>0</v>
      </c>
      <c r="X217" s="318">
        <f t="shared" si="201"/>
        <v>0</v>
      </c>
      <c r="Y217" s="318">
        <f t="shared" si="202"/>
        <v>0</v>
      </c>
      <c r="Z217" s="318">
        <f t="shared" si="183"/>
        <v>0</v>
      </c>
      <c r="AA217" s="318">
        <f t="shared" si="184"/>
        <v>0</v>
      </c>
      <c r="AB217" s="318">
        <f t="shared" si="203"/>
        <v>0</v>
      </c>
      <c r="AC217" s="318">
        <f t="shared" si="204"/>
        <v>0</v>
      </c>
      <c r="AD217" s="318">
        <f t="shared" si="185"/>
        <v>0</v>
      </c>
      <c r="AE217" s="318">
        <f t="shared" si="186"/>
        <v>0</v>
      </c>
      <c r="AF217" s="318">
        <f t="shared" si="178"/>
        <v>0</v>
      </c>
      <c r="AG217" s="318">
        <f t="shared" si="179"/>
        <v>0</v>
      </c>
      <c r="AH217" s="318">
        <f t="shared" si="205"/>
        <v>0</v>
      </c>
      <c r="AI217" s="318">
        <f t="shared" si="206"/>
        <v>0</v>
      </c>
      <c r="AJ217" s="318">
        <f t="shared" si="207"/>
        <v>0</v>
      </c>
      <c r="AK217" s="318">
        <f t="shared" si="208"/>
        <v>0</v>
      </c>
      <c r="AL217" s="318">
        <f t="shared" si="209"/>
        <v>0</v>
      </c>
      <c r="AM217" s="318">
        <f t="shared" si="210"/>
        <v>0</v>
      </c>
      <c r="AN217" s="318">
        <f t="shared" si="211"/>
        <v>0</v>
      </c>
      <c r="AO217" s="318">
        <f t="shared" si="212"/>
        <v>0</v>
      </c>
      <c r="AP217" s="318">
        <f t="shared" si="213"/>
        <v>0</v>
      </c>
      <c r="AQ217" s="318">
        <f t="shared" si="214"/>
        <v>0</v>
      </c>
      <c r="AR217" s="318">
        <f t="shared" si="187"/>
        <v>0</v>
      </c>
      <c r="AS217" s="318">
        <f t="shared" si="188"/>
        <v>0</v>
      </c>
      <c r="AT217" s="318">
        <f t="shared" si="215"/>
        <v>0</v>
      </c>
      <c r="AU217" s="318">
        <f t="shared" si="216"/>
        <v>0</v>
      </c>
      <c r="AV217" s="318">
        <f t="shared" si="217"/>
        <v>0</v>
      </c>
      <c r="AW217" s="318">
        <f t="shared" si="218"/>
        <v>0</v>
      </c>
      <c r="AX217" s="318">
        <f t="shared" si="189"/>
        <v>0</v>
      </c>
      <c r="AY217" s="318">
        <f t="shared" si="190"/>
        <v>0</v>
      </c>
      <c r="AZ217" s="318">
        <f t="shared" si="191"/>
        <v>0</v>
      </c>
      <c r="BA217" s="318">
        <f t="shared" si="192"/>
        <v>0</v>
      </c>
    </row>
    <row r="218" spans="1:53" s="315" customFormat="1" ht="16.5" customHeight="1">
      <c r="A218" s="63" t="str">
        <f t="array" ref="A218">IF(C218&lt;&gt;0,SUM(($C$11:C218&lt;&gt;0)*1),"")</f>
        <v/>
      </c>
      <c r="B218" s="316"/>
      <c r="C218" s="316"/>
      <c r="D218" s="316"/>
      <c r="E218" s="436"/>
      <c r="F218" s="372"/>
      <c r="G218" s="374"/>
      <c r="H218" s="374"/>
      <c r="I218" s="63" t="str">
        <f t="shared" si="180"/>
        <v/>
      </c>
      <c r="J218" s="318">
        <f t="shared" si="181"/>
        <v>0</v>
      </c>
      <c r="K218" s="318">
        <f t="shared" si="182"/>
        <v>0</v>
      </c>
      <c r="L218" s="318">
        <f t="shared" si="193"/>
        <v>0</v>
      </c>
      <c r="M218" s="318">
        <f t="shared" si="194"/>
        <v>0</v>
      </c>
      <c r="N218" s="318">
        <f t="shared" si="174"/>
        <v>0</v>
      </c>
      <c r="O218" s="318">
        <f t="shared" si="175"/>
        <v>0</v>
      </c>
      <c r="P218" s="318">
        <f t="shared" si="195"/>
        <v>0</v>
      </c>
      <c r="Q218" s="318">
        <f t="shared" si="196"/>
        <v>0</v>
      </c>
      <c r="R218" s="318">
        <f t="shared" si="197"/>
        <v>0</v>
      </c>
      <c r="S218" s="318">
        <f t="shared" si="198"/>
        <v>0</v>
      </c>
      <c r="T218" s="318">
        <f t="shared" si="176"/>
        <v>0</v>
      </c>
      <c r="U218" s="318">
        <f t="shared" si="177"/>
        <v>0</v>
      </c>
      <c r="V218" s="318">
        <f t="shared" si="199"/>
        <v>0</v>
      </c>
      <c r="W218" s="318">
        <f t="shared" si="200"/>
        <v>0</v>
      </c>
      <c r="X218" s="318">
        <f t="shared" si="201"/>
        <v>0</v>
      </c>
      <c r="Y218" s="318">
        <f t="shared" si="202"/>
        <v>0</v>
      </c>
      <c r="Z218" s="318">
        <f t="shared" si="183"/>
        <v>0</v>
      </c>
      <c r="AA218" s="318">
        <f t="shared" si="184"/>
        <v>0</v>
      </c>
      <c r="AB218" s="318">
        <f t="shared" si="203"/>
        <v>0</v>
      </c>
      <c r="AC218" s="318">
        <f t="shared" si="204"/>
        <v>0</v>
      </c>
      <c r="AD218" s="318">
        <f t="shared" si="185"/>
        <v>0</v>
      </c>
      <c r="AE218" s="318">
        <f t="shared" si="186"/>
        <v>0</v>
      </c>
      <c r="AF218" s="318">
        <f t="shared" si="178"/>
        <v>0</v>
      </c>
      <c r="AG218" s="318">
        <f t="shared" si="179"/>
        <v>0</v>
      </c>
      <c r="AH218" s="318">
        <f t="shared" si="205"/>
        <v>0</v>
      </c>
      <c r="AI218" s="318">
        <f t="shared" si="206"/>
        <v>0</v>
      </c>
      <c r="AJ218" s="318">
        <f t="shared" si="207"/>
        <v>0</v>
      </c>
      <c r="AK218" s="318">
        <f t="shared" si="208"/>
        <v>0</v>
      </c>
      <c r="AL218" s="318">
        <f t="shared" si="209"/>
        <v>0</v>
      </c>
      <c r="AM218" s="318">
        <f t="shared" si="210"/>
        <v>0</v>
      </c>
      <c r="AN218" s="318">
        <f t="shared" si="211"/>
        <v>0</v>
      </c>
      <c r="AO218" s="318">
        <f t="shared" si="212"/>
        <v>0</v>
      </c>
      <c r="AP218" s="318">
        <f t="shared" si="213"/>
        <v>0</v>
      </c>
      <c r="AQ218" s="318">
        <f t="shared" si="214"/>
        <v>0</v>
      </c>
      <c r="AR218" s="318">
        <f t="shared" si="187"/>
        <v>0</v>
      </c>
      <c r="AS218" s="318">
        <f t="shared" si="188"/>
        <v>0</v>
      </c>
      <c r="AT218" s="318">
        <f t="shared" si="215"/>
        <v>0</v>
      </c>
      <c r="AU218" s="318">
        <f t="shared" si="216"/>
        <v>0</v>
      </c>
      <c r="AV218" s="318">
        <f t="shared" si="217"/>
        <v>0</v>
      </c>
      <c r="AW218" s="318">
        <f t="shared" si="218"/>
        <v>0</v>
      </c>
      <c r="AX218" s="318">
        <f t="shared" si="189"/>
        <v>0</v>
      </c>
      <c r="AY218" s="318">
        <f t="shared" si="190"/>
        <v>0</v>
      </c>
      <c r="AZ218" s="318">
        <f t="shared" si="191"/>
        <v>0</v>
      </c>
      <c r="BA218" s="318">
        <f t="shared" si="192"/>
        <v>0</v>
      </c>
    </row>
    <row r="219" spans="1:53" s="315" customFormat="1" ht="16.5" customHeight="1">
      <c r="A219" s="63" t="str">
        <f t="array" ref="A219">IF(C219&lt;&gt;0,SUM(($C$11:C219&lt;&gt;0)*1),"")</f>
        <v/>
      </c>
      <c r="B219" s="316"/>
      <c r="C219" s="316"/>
      <c r="D219" s="316"/>
      <c r="E219" s="436"/>
      <c r="F219" s="372"/>
      <c r="G219" s="374"/>
      <c r="H219" s="374"/>
      <c r="I219" s="63" t="str">
        <f t="shared" si="180"/>
        <v/>
      </c>
      <c r="J219" s="318">
        <f t="shared" si="181"/>
        <v>0</v>
      </c>
      <c r="K219" s="318">
        <f t="shared" si="182"/>
        <v>0</v>
      </c>
      <c r="L219" s="318">
        <f t="shared" si="193"/>
        <v>0</v>
      </c>
      <c r="M219" s="318">
        <f t="shared" si="194"/>
        <v>0</v>
      </c>
      <c r="N219" s="318">
        <f t="shared" si="174"/>
        <v>0</v>
      </c>
      <c r="O219" s="318">
        <f t="shared" si="175"/>
        <v>0</v>
      </c>
      <c r="P219" s="318">
        <f t="shared" si="195"/>
        <v>0</v>
      </c>
      <c r="Q219" s="318">
        <f t="shared" si="196"/>
        <v>0</v>
      </c>
      <c r="R219" s="318">
        <f t="shared" si="197"/>
        <v>0</v>
      </c>
      <c r="S219" s="318">
        <f t="shared" si="198"/>
        <v>0</v>
      </c>
      <c r="T219" s="318">
        <f t="shared" si="176"/>
        <v>0</v>
      </c>
      <c r="U219" s="318">
        <f t="shared" si="177"/>
        <v>0</v>
      </c>
      <c r="V219" s="318">
        <f t="shared" si="199"/>
        <v>0</v>
      </c>
      <c r="W219" s="318">
        <f t="shared" si="200"/>
        <v>0</v>
      </c>
      <c r="X219" s="318">
        <f t="shared" si="201"/>
        <v>0</v>
      </c>
      <c r="Y219" s="318">
        <f t="shared" si="202"/>
        <v>0</v>
      </c>
      <c r="Z219" s="318">
        <f t="shared" si="183"/>
        <v>0</v>
      </c>
      <c r="AA219" s="318">
        <f t="shared" si="184"/>
        <v>0</v>
      </c>
      <c r="AB219" s="318">
        <f t="shared" si="203"/>
        <v>0</v>
      </c>
      <c r="AC219" s="318">
        <f t="shared" si="204"/>
        <v>0</v>
      </c>
      <c r="AD219" s="318">
        <f t="shared" si="185"/>
        <v>0</v>
      </c>
      <c r="AE219" s="318">
        <f t="shared" si="186"/>
        <v>0</v>
      </c>
      <c r="AF219" s="318">
        <f t="shared" si="178"/>
        <v>0</v>
      </c>
      <c r="AG219" s="318">
        <f t="shared" si="179"/>
        <v>0</v>
      </c>
      <c r="AH219" s="318">
        <f t="shared" si="205"/>
        <v>0</v>
      </c>
      <c r="AI219" s="318">
        <f t="shared" si="206"/>
        <v>0</v>
      </c>
      <c r="AJ219" s="318">
        <f t="shared" si="207"/>
        <v>0</v>
      </c>
      <c r="AK219" s="318">
        <f t="shared" si="208"/>
        <v>0</v>
      </c>
      <c r="AL219" s="318">
        <f t="shared" si="209"/>
        <v>0</v>
      </c>
      <c r="AM219" s="318">
        <f t="shared" si="210"/>
        <v>0</v>
      </c>
      <c r="AN219" s="318">
        <f t="shared" si="211"/>
        <v>0</v>
      </c>
      <c r="AO219" s="318">
        <f t="shared" si="212"/>
        <v>0</v>
      </c>
      <c r="AP219" s="318">
        <f t="shared" si="213"/>
        <v>0</v>
      </c>
      <c r="AQ219" s="318">
        <f t="shared" si="214"/>
        <v>0</v>
      </c>
      <c r="AR219" s="318">
        <f t="shared" si="187"/>
        <v>0</v>
      </c>
      <c r="AS219" s="318">
        <f t="shared" si="188"/>
        <v>0</v>
      </c>
      <c r="AT219" s="318">
        <f t="shared" si="215"/>
        <v>0</v>
      </c>
      <c r="AU219" s="318">
        <f t="shared" si="216"/>
        <v>0</v>
      </c>
      <c r="AV219" s="318">
        <f t="shared" si="217"/>
        <v>0</v>
      </c>
      <c r="AW219" s="318">
        <f t="shared" si="218"/>
        <v>0</v>
      </c>
      <c r="AX219" s="318">
        <f t="shared" si="189"/>
        <v>0</v>
      </c>
      <c r="AY219" s="318">
        <f t="shared" si="190"/>
        <v>0</v>
      </c>
      <c r="AZ219" s="318">
        <f t="shared" si="191"/>
        <v>0</v>
      </c>
      <c r="BA219" s="318">
        <f t="shared" si="192"/>
        <v>0</v>
      </c>
    </row>
    <row r="220" spans="1:53" s="315" customFormat="1" ht="16.5" customHeight="1">
      <c r="A220" s="63" t="str">
        <f t="array" ref="A220">IF(C220&lt;&gt;0,SUM(($C$11:C220&lt;&gt;0)*1),"")</f>
        <v/>
      </c>
      <c r="B220" s="316"/>
      <c r="C220" s="316"/>
      <c r="D220" s="316"/>
      <c r="E220" s="436"/>
      <c r="F220" s="372"/>
      <c r="G220" s="374"/>
      <c r="H220" s="374"/>
      <c r="I220" s="63" t="str">
        <f t="shared" si="180"/>
        <v/>
      </c>
      <c r="J220" s="318">
        <f t="shared" si="181"/>
        <v>0</v>
      </c>
      <c r="K220" s="318">
        <f t="shared" si="182"/>
        <v>0</v>
      </c>
      <c r="L220" s="318">
        <f t="shared" si="193"/>
        <v>0</v>
      </c>
      <c r="M220" s="318">
        <f t="shared" si="194"/>
        <v>0</v>
      </c>
      <c r="N220" s="318">
        <f t="shared" si="174"/>
        <v>0</v>
      </c>
      <c r="O220" s="318">
        <f t="shared" si="175"/>
        <v>0</v>
      </c>
      <c r="P220" s="318">
        <f t="shared" si="195"/>
        <v>0</v>
      </c>
      <c r="Q220" s="318">
        <f t="shared" si="196"/>
        <v>0</v>
      </c>
      <c r="R220" s="318">
        <f t="shared" si="197"/>
        <v>0</v>
      </c>
      <c r="S220" s="318">
        <f t="shared" si="198"/>
        <v>0</v>
      </c>
      <c r="T220" s="318">
        <f t="shared" si="176"/>
        <v>0</v>
      </c>
      <c r="U220" s="318">
        <f t="shared" si="177"/>
        <v>0</v>
      </c>
      <c r="V220" s="318">
        <f t="shared" si="199"/>
        <v>0</v>
      </c>
      <c r="W220" s="318">
        <f t="shared" si="200"/>
        <v>0</v>
      </c>
      <c r="X220" s="318">
        <f t="shared" si="201"/>
        <v>0</v>
      </c>
      <c r="Y220" s="318">
        <f t="shared" si="202"/>
        <v>0</v>
      </c>
      <c r="Z220" s="318">
        <f t="shared" si="183"/>
        <v>0</v>
      </c>
      <c r="AA220" s="318">
        <f t="shared" si="184"/>
        <v>0</v>
      </c>
      <c r="AB220" s="318">
        <f t="shared" si="203"/>
        <v>0</v>
      </c>
      <c r="AC220" s="318">
        <f t="shared" si="204"/>
        <v>0</v>
      </c>
      <c r="AD220" s="318">
        <f t="shared" si="185"/>
        <v>0</v>
      </c>
      <c r="AE220" s="318">
        <f t="shared" si="186"/>
        <v>0</v>
      </c>
      <c r="AF220" s="318">
        <f t="shared" si="178"/>
        <v>0</v>
      </c>
      <c r="AG220" s="318">
        <f t="shared" si="179"/>
        <v>0</v>
      </c>
      <c r="AH220" s="318">
        <f t="shared" si="205"/>
        <v>0</v>
      </c>
      <c r="AI220" s="318">
        <f t="shared" si="206"/>
        <v>0</v>
      </c>
      <c r="AJ220" s="318">
        <f t="shared" si="207"/>
        <v>0</v>
      </c>
      <c r="AK220" s="318">
        <f t="shared" si="208"/>
        <v>0</v>
      </c>
      <c r="AL220" s="318">
        <f t="shared" si="209"/>
        <v>0</v>
      </c>
      <c r="AM220" s="318">
        <f t="shared" si="210"/>
        <v>0</v>
      </c>
      <c r="AN220" s="318">
        <f t="shared" si="211"/>
        <v>0</v>
      </c>
      <c r="AO220" s="318">
        <f t="shared" si="212"/>
        <v>0</v>
      </c>
      <c r="AP220" s="318">
        <f t="shared" si="213"/>
        <v>0</v>
      </c>
      <c r="AQ220" s="318">
        <f t="shared" si="214"/>
        <v>0</v>
      </c>
      <c r="AR220" s="318">
        <f t="shared" si="187"/>
        <v>0</v>
      </c>
      <c r="AS220" s="318">
        <f t="shared" si="188"/>
        <v>0</v>
      </c>
      <c r="AT220" s="318">
        <f t="shared" si="215"/>
        <v>0</v>
      </c>
      <c r="AU220" s="318">
        <f t="shared" si="216"/>
        <v>0</v>
      </c>
      <c r="AV220" s="318">
        <f t="shared" si="217"/>
        <v>0</v>
      </c>
      <c r="AW220" s="318">
        <f t="shared" si="218"/>
        <v>0</v>
      </c>
      <c r="AX220" s="318">
        <f t="shared" si="189"/>
        <v>0</v>
      </c>
      <c r="AY220" s="318">
        <f t="shared" si="190"/>
        <v>0</v>
      </c>
      <c r="AZ220" s="318">
        <f t="shared" si="191"/>
        <v>0</v>
      </c>
      <c r="BA220" s="318">
        <f t="shared" si="192"/>
        <v>0</v>
      </c>
    </row>
    <row r="221" spans="1:53" s="315" customFormat="1" ht="16.5" customHeight="1">
      <c r="A221" s="63" t="str">
        <f t="array" ref="A221">IF(C221&lt;&gt;0,SUM(($C$11:C221&lt;&gt;0)*1),"")</f>
        <v/>
      </c>
      <c r="B221" s="316"/>
      <c r="C221" s="316"/>
      <c r="D221" s="316"/>
      <c r="E221" s="436"/>
      <c r="F221" s="372"/>
      <c r="G221" s="374"/>
      <c r="H221" s="374"/>
      <c r="I221" s="63" t="str">
        <f t="shared" si="180"/>
        <v/>
      </c>
      <c r="J221" s="318">
        <f t="shared" si="181"/>
        <v>0</v>
      </c>
      <c r="K221" s="318">
        <f t="shared" si="182"/>
        <v>0</v>
      </c>
      <c r="L221" s="318">
        <f t="shared" si="193"/>
        <v>0</v>
      </c>
      <c r="M221" s="318">
        <f t="shared" si="194"/>
        <v>0</v>
      </c>
      <c r="N221" s="318">
        <f t="shared" si="174"/>
        <v>0</v>
      </c>
      <c r="O221" s="318">
        <f t="shared" si="175"/>
        <v>0</v>
      </c>
      <c r="P221" s="318">
        <f t="shared" si="195"/>
        <v>0</v>
      </c>
      <c r="Q221" s="318">
        <f t="shared" si="196"/>
        <v>0</v>
      </c>
      <c r="R221" s="318">
        <f t="shared" si="197"/>
        <v>0</v>
      </c>
      <c r="S221" s="318">
        <f t="shared" si="198"/>
        <v>0</v>
      </c>
      <c r="T221" s="318">
        <f t="shared" si="176"/>
        <v>0</v>
      </c>
      <c r="U221" s="318">
        <f t="shared" si="177"/>
        <v>0</v>
      </c>
      <c r="V221" s="318">
        <f t="shared" si="199"/>
        <v>0</v>
      </c>
      <c r="W221" s="318">
        <f t="shared" si="200"/>
        <v>0</v>
      </c>
      <c r="X221" s="318">
        <f t="shared" si="201"/>
        <v>0</v>
      </c>
      <c r="Y221" s="318">
        <f t="shared" si="202"/>
        <v>0</v>
      </c>
      <c r="Z221" s="318">
        <f t="shared" si="183"/>
        <v>0</v>
      </c>
      <c r="AA221" s="318">
        <f t="shared" si="184"/>
        <v>0</v>
      </c>
      <c r="AB221" s="318">
        <f t="shared" si="203"/>
        <v>0</v>
      </c>
      <c r="AC221" s="318">
        <f t="shared" si="204"/>
        <v>0</v>
      </c>
      <c r="AD221" s="318">
        <f t="shared" si="185"/>
        <v>0</v>
      </c>
      <c r="AE221" s="318">
        <f t="shared" si="186"/>
        <v>0</v>
      </c>
      <c r="AF221" s="318">
        <f t="shared" si="178"/>
        <v>0</v>
      </c>
      <c r="AG221" s="318">
        <f t="shared" si="179"/>
        <v>0</v>
      </c>
      <c r="AH221" s="318">
        <f t="shared" si="205"/>
        <v>0</v>
      </c>
      <c r="AI221" s="318">
        <f t="shared" si="206"/>
        <v>0</v>
      </c>
      <c r="AJ221" s="318">
        <f t="shared" si="207"/>
        <v>0</v>
      </c>
      <c r="AK221" s="318">
        <f t="shared" si="208"/>
        <v>0</v>
      </c>
      <c r="AL221" s="318">
        <f t="shared" si="209"/>
        <v>0</v>
      </c>
      <c r="AM221" s="318">
        <f t="shared" si="210"/>
        <v>0</v>
      </c>
      <c r="AN221" s="318">
        <f t="shared" si="211"/>
        <v>0</v>
      </c>
      <c r="AO221" s="318">
        <f t="shared" si="212"/>
        <v>0</v>
      </c>
      <c r="AP221" s="318">
        <f t="shared" si="213"/>
        <v>0</v>
      </c>
      <c r="AQ221" s="318">
        <f t="shared" si="214"/>
        <v>0</v>
      </c>
      <c r="AR221" s="318">
        <f t="shared" si="187"/>
        <v>0</v>
      </c>
      <c r="AS221" s="318">
        <f t="shared" si="188"/>
        <v>0</v>
      </c>
      <c r="AT221" s="318">
        <f t="shared" si="215"/>
        <v>0</v>
      </c>
      <c r="AU221" s="318">
        <f t="shared" si="216"/>
        <v>0</v>
      </c>
      <c r="AV221" s="318">
        <f t="shared" si="217"/>
        <v>0</v>
      </c>
      <c r="AW221" s="318">
        <f t="shared" si="218"/>
        <v>0</v>
      </c>
      <c r="AX221" s="318">
        <f t="shared" si="189"/>
        <v>0</v>
      </c>
      <c r="AY221" s="318">
        <f t="shared" si="190"/>
        <v>0</v>
      </c>
      <c r="AZ221" s="318">
        <f t="shared" si="191"/>
        <v>0</v>
      </c>
      <c r="BA221" s="318">
        <f t="shared" si="192"/>
        <v>0</v>
      </c>
    </row>
    <row r="222" spans="1:53" s="315" customFormat="1" ht="16.5" customHeight="1">
      <c r="A222" s="63" t="str">
        <f t="array" ref="A222">IF(C222&lt;&gt;0,SUM(($C$11:C222&lt;&gt;0)*1),"")</f>
        <v/>
      </c>
      <c r="B222" s="316"/>
      <c r="C222" s="316"/>
      <c r="D222" s="316"/>
      <c r="E222" s="436"/>
      <c r="F222" s="372"/>
      <c r="G222" s="374"/>
      <c r="H222" s="374"/>
      <c r="I222" s="63" t="str">
        <f t="shared" si="180"/>
        <v/>
      </c>
      <c r="J222" s="318">
        <f t="shared" si="181"/>
        <v>0</v>
      </c>
      <c r="K222" s="318">
        <f t="shared" si="182"/>
        <v>0</v>
      </c>
      <c r="L222" s="318">
        <f t="shared" si="193"/>
        <v>0</v>
      </c>
      <c r="M222" s="318">
        <f t="shared" si="194"/>
        <v>0</v>
      </c>
      <c r="N222" s="318">
        <f t="shared" si="174"/>
        <v>0</v>
      </c>
      <c r="O222" s="318">
        <f t="shared" si="175"/>
        <v>0</v>
      </c>
      <c r="P222" s="318">
        <f t="shared" si="195"/>
        <v>0</v>
      </c>
      <c r="Q222" s="318">
        <f t="shared" si="196"/>
        <v>0</v>
      </c>
      <c r="R222" s="318">
        <f t="shared" si="197"/>
        <v>0</v>
      </c>
      <c r="S222" s="318">
        <f t="shared" si="198"/>
        <v>0</v>
      </c>
      <c r="T222" s="318">
        <f t="shared" si="176"/>
        <v>0</v>
      </c>
      <c r="U222" s="318">
        <f t="shared" si="177"/>
        <v>0</v>
      </c>
      <c r="V222" s="318">
        <f t="shared" si="199"/>
        <v>0</v>
      </c>
      <c r="W222" s="318">
        <f t="shared" si="200"/>
        <v>0</v>
      </c>
      <c r="X222" s="318">
        <f t="shared" si="201"/>
        <v>0</v>
      </c>
      <c r="Y222" s="318">
        <f t="shared" si="202"/>
        <v>0</v>
      </c>
      <c r="Z222" s="318">
        <f t="shared" si="183"/>
        <v>0</v>
      </c>
      <c r="AA222" s="318">
        <f t="shared" si="184"/>
        <v>0</v>
      </c>
      <c r="AB222" s="318">
        <f t="shared" si="203"/>
        <v>0</v>
      </c>
      <c r="AC222" s="318">
        <f t="shared" si="204"/>
        <v>0</v>
      </c>
      <c r="AD222" s="318">
        <f t="shared" si="185"/>
        <v>0</v>
      </c>
      <c r="AE222" s="318">
        <f t="shared" si="186"/>
        <v>0</v>
      </c>
      <c r="AF222" s="318">
        <f t="shared" si="178"/>
        <v>0</v>
      </c>
      <c r="AG222" s="318">
        <f t="shared" si="179"/>
        <v>0</v>
      </c>
      <c r="AH222" s="318">
        <f t="shared" si="205"/>
        <v>0</v>
      </c>
      <c r="AI222" s="318">
        <f t="shared" si="206"/>
        <v>0</v>
      </c>
      <c r="AJ222" s="318">
        <f t="shared" si="207"/>
        <v>0</v>
      </c>
      <c r="AK222" s="318">
        <f t="shared" si="208"/>
        <v>0</v>
      </c>
      <c r="AL222" s="318">
        <f t="shared" si="209"/>
        <v>0</v>
      </c>
      <c r="AM222" s="318">
        <f t="shared" si="210"/>
        <v>0</v>
      </c>
      <c r="AN222" s="318">
        <f t="shared" si="211"/>
        <v>0</v>
      </c>
      <c r="AO222" s="318">
        <f t="shared" si="212"/>
        <v>0</v>
      </c>
      <c r="AP222" s="318">
        <f t="shared" si="213"/>
        <v>0</v>
      </c>
      <c r="AQ222" s="318">
        <f t="shared" si="214"/>
        <v>0</v>
      </c>
      <c r="AR222" s="318">
        <f t="shared" si="187"/>
        <v>0</v>
      </c>
      <c r="AS222" s="318">
        <f t="shared" si="188"/>
        <v>0</v>
      </c>
      <c r="AT222" s="318">
        <f t="shared" si="215"/>
        <v>0</v>
      </c>
      <c r="AU222" s="318">
        <f t="shared" si="216"/>
        <v>0</v>
      </c>
      <c r="AV222" s="318">
        <f t="shared" si="217"/>
        <v>0</v>
      </c>
      <c r="AW222" s="318">
        <f t="shared" si="218"/>
        <v>0</v>
      </c>
      <c r="AX222" s="318">
        <f t="shared" si="189"/>
        <v>0</v>
      </c>
      <c r="AY222" s="318">
        <f t="shared" si="190"/>
        <v>0</v>
      </c>
      <c r="AZ222" s="318">
        <f t="shared" si="191"/>
        <v>0</v>
      </c>
      <c r="BA222" s="318">
        <f t="shared" si="192"/>
        <v>0</v>
      </c>
    </row>
    <row r="223" spans="1:53" s="315" customFormat="1" ht="16.5" customHeight="1">
      <c r="A223" s="63" t="str">
        <f t="array" ref="A223">IF(C223&lt;&gt;0,SUM(($C$11:C223&lt;&gt;0)*1),"")</f>
        <v/>
      </c>
      <c r="B223" s="316"/>
      <c r="C223" s="316"/>
      <c r="D223" s="316"/>
      <c r="E223" s="436"/>
      <c r="F223" s="372"/>
      <c r="G223" s="374"/>
      <c r="H223" s="374"/>
      <c r="I223" s="63" t="str">
        <f t="shared" si="180"/>
        <v/>
      </c>
      <c r="J223" s="318">
        <f t="shared" si="181"/>
        <v>0</v>
      </c>
      <c r="K223" s="318">
        <f t="shared" si="182"/>
        <v>0</v>
      </c>
      <c r="L223" s="318">
        <f t="shared" si="193"/>
        <v>0</v>
      </c>
      <c r="M223" s="318">
        <f t="shared" si="194"/>
        <v>0</v>
      </c>
      <c r="N223" s="318">
        <f t="shared" si="174"/>
        <v>0</v>
      </c>
      <c r="O223" s="318">
        <f t="shared" si="175"/>
        <v>0</v>
      </c>
      <c r="P223" s="318">
        <f t="shared" si="195"/>
        <v>0</v>
      </c>
      <c r="Q223" s="318">
        <f t="shared" si="196"/>
        <v>0</v>
      </c>
      <c r="R223" s="318">
        <f t="shared" si="197"/>
        <v>0</v>
      </c>
      <c r="S223" s="318">
        <f t="shared" si="198"/>
        <v>0</v>
      </c>
      <c r="T223" s="318">
        <f t="shared" si="176"/>
        <v>0</v>
      </c>
      <c r="U223" s="318">
        <f t="shared" si="177"/>
        <v>0</v>
      </c>
      <c r="V223" s="318">
        <f t="shared" si="199"/>
        <v>0</v>
      </c>
      <c r="W223" s="318">
        <f t="shared" si="200"/>
        <v>0</v>
      </c>
      <c r="X223" s="318">
        <f t="shared" si="201"/>
        <v>0</v>
      </c>
      <c r="Y223" s="318">
        <f t="shared" si="202"/>
        <v>0</v>
      </c>
      <c r="Z223" s="318">
        <f t="shared" si="183"/>
        <v>0</v>
      </c>
      <c r="AA223" s="318">
        <f t="shared" si="184"/>
        <v>0</v>
      </c>
      <c r="AB223" s="318">
        <f t="shared" si="203"/>
        <v>0</v>
      </c>
      <c r="AC223" s="318">
        <f t="shared" si="204"/>
        <v>0</v>
      </c>
      <c r="AD223" s="318">
        <f t="shared" si="185"/>
        <v>0</v>
      </c>
      <c r="AE223" s="318">
        <f t="shared" si="186"/>
        <v>0</v>
      </c>
      <c r="AF223" s="318">
        <f t="shared" si="178"/>
        <v>0</v>
      </c>
      <c r="AG223" s="318">
        <f t="shared" si="179"/>
        <v>0</v>
      </c>
      <c r="AH223" s="318">
        <f t="shared" si="205"/>
        <v>0</v>
      </c>
      <c r="AI223" s="318">
        <f t="shared" si="206"/>
        <v>0</v>
      </c>
      <c r="AJ223" s="318">
        <f t="shared" si="207"/>
        <v>0</v>
      </c>
      <c r="AK223" s="318">
        <f t="shared" si="208"/>
        <v>0</v>
      </c>
      <c r="AL223" s="318">
        <f t="shared" si="209"/>
        <v>0</v>
      </c>
      <c r="AM223" s="318">
        <f t="shared" si="210"/>
        <v>0</v>
      </c>
      <c r="AN223" s="318">
        <f t="shared" si="211"/>
        <v>0</v>
      </c>
      <c r="AO223" s="318">
        <f t="shared" si="212"/>
        <v>0</v>
      </c>
      <c r="AP223" s="318">
        <f t="shared" si="213"/>
        <v>0</v>
      </c>
      <c r="AQ223" s="318">
        <f t="shared" si="214"/>
        <v>0</v>
      </c>
      <c r="AR223" s="318">
        <f t="shared" si="187"/>
        <v>0</v>
      </c>
      <c r="AS223" s="318">
        <f t="shared" si="188"/>
        <v>0</v>
      </c>
      <c r="AT223" s="318">
        <f t="shared" si="215"/>
        <v>0</v>
      </c>
      <c r="AU223" s="318">
        <f t="shared" si="216"/>
        <v>0</v>
      </c>
      <c r="AV223" s="318">
        <f t="shared" si="217"/>
        <v>0</v>
      </c>
      <c r="AW223" s="318">
        <f t="shared" si="218"/>
        <v>0</v>
      </c>
      <c r="AX223" s="318">
        <f t="shared" si="189"/>
        <v>0</v>
      </c>
      <c r="AY223" s="318">
        <f t="shared" si="190"/>
        <v>0</v>
      </c>
      <c r="AZ223" s="318">
        <f t="shared" si="191"/>
        <v>0</v>
      </c>
      <c r="BA223" s="318">
        <f t="shared" si="192"/>
        <v>0</v>
      </c>
    </row>
    <row r="224" spans="1:53" s="315" customFormat="1" ht="16.5" customHeight="1">
      <c r="A224" s="63" t="str">
        <f t="array" ref="A224">IF(C224&lt;&gt;0,SUM(($C$11:C224&lt;&gt;0)*1),"")</f>
        <v/>
      </c>
      <c r="B224" s="316"/>
      <c r="C224" s="316"/>
      <c r="D224" s="316"/>
      <c r="E224" s="436"/>
      <c r="F224" s="372"/>
      <c r="G224" s="374"/>
      <c r="H224" s="374"/>
      <c r="I224" s="63" t="str">
        <f t="shared" si="180"/>
        <v/>
      </c>
      <c r="J224" s="318">
        <f t="shared" si="181"/>
        <v>0</v>
      </c>
      <c r="K224" s="318">
        <f t="shared" si="182"/>
        <v>0</v>
      </c>
      <c r="L224" s="318">
        <f t="shared" si="193"/>
        <v>0</v>
      </c>
      <c r="M224" s="318">
        <f t="shared" si="194"/>
        <v>0</v>
      </c>
      <c r="N224" s="318">
        <f t="shared" si="174"/>
        <v>0</v>
      </c>
      <c r="O224" s="318">
        <f t="shared" si="175"/>
        <v>0</v>
      </c>
      <c r="P224" s="318">
        <f t="shared" si="195"/>
        <v>0</v>
      </c>
      <c r="Q224" s="318">
        <f t="shared" si="196"/>
        <v>0</v>
      </c>
      <c r="R224" s="318">
        <f t="shared" si="197"/>
        <v>0</v>
      </c>
      <c r="S224" s="318">
        <f t="shared" si="198"/>
        <v>0</v>
      </c>
      <c r="T224" s="318">
        <f t="shared" si="176"/>
        <v>0</v>
      </c>
      <c r="U224" s="318">
        <f t="shared" si="177"/>
        <v>0</v>
      </c>
      <c r="V224" s="318">
        <f t="shared" si="199"/>
        <v>0</v>
      </c>
      <c r="W224" s="318">
        <f t="shared" si="200"/>
        <v>0</v>
      </c>
      <c r="X224" s="318">
        <f t="shared" si="201"/>
        <v>0</v>
      </c>
      <c r="Y224" s="318">
        <f t="shared" si="202"/>
        <v>0</v>
      </c>
      <c r="Z224" s="318">
        <f t="shared" si="183"/>
        <v>0</v>
      </c>
      <c r="AA224" s="318">
        <f t="shared" si="184"/>
        <v>0</v>
      </c>
      <c r="AB224" s="318">
        <f t="shared" si="203"/>
        <v>0</v>
      </c>
      <c r="AC224" s="318">
        <f t="shared" si="204"/>
        <v>0</v>
      </c>
      <c r="AD224" s="318">
        <f t="shared" si="185"/>
        <v>0</v>
      </c>
      <c r="AE224" s="318">
        <f t="shared" si="186"/>
        <v>0</v>
      </c>
      <c r="AF224" s="318">
        <f t="shared" si="178"/>
        <v>0</v>
      </c>
      <c r="AG224" s="318">
        <f t="shared" si="179"/>
        <v>0</v>
      </c>
      <c r="AH224" s="318">
        <f t="shared" si="205"/>
        <v>0</v>
      </c>
      <c r="AI224" s="318">
        <f t="shared" si="206"/>
        <v>0</v>
      </c>
      <c r="AJ224" s="318">
        <f t="shared" si="207"/>
        <v>0</v>
      </c>
      <c r="AK224" s="318">
        <f t="shared" si="208"/>
        <v>0</v>
      </c>
      <c r="AL224" s="318">
        <f t="shared" si="209"/>
        <v>0</v>
      </c>
      <c r="AM224" s="318">
        <f t="shared" si="210"/>
        <v>0</v>
      </c>
      <c r="AN224" s="318">
        <f t="shared" si="211"/>
        <v>0</v>
      </c>
      <c r="AO224" s="318">
        <f t="shared" si="212"/>
        <v>0</v>
      </c>
      <c r="AP224" s="318">
        <f t="shared" si="213"/>
        <v>0</v>
      </c>
      <c r="AQ224" s="318">
        <f t="shared" si="214"/>
        <v>0</v>
      </c>
      <c r="AR224" s="318">
        <f t="shared" si="187"/>
        <v>0</v>
      </c>
      <c r="AS224" s="318">
        <f t="shared" si="188"/>
        <v>0</v>
      </c>
      <c r="AT224" s="318">
        <f t="shared" si="215"/>
        <v>0</v>
      </c>
      <c r="AU224" s="318">
        <f t="shared" si="216"/>
        <v>0</v>
      </c>
      <c r="AV224" s="318">
        <f t="shared" si="217"/>
        <v>0</v>
      </c>
      <c r="AW224" s="318">
        <f t="shared" si="218"/>
        <v>0</v>
      </c>
      <c r="AX224" s="318">
        <f t="shared" si="189"/>
        <v>0</v>
      </c>
      <c r="AY224" s="318">
        <f t="shared" si="190"/>
        <v>0</v>
      </c>
      <c r="AZ224" s="318">
        <f t="shared" si="191"/>
        <v>0</v>
      </c>
      <c r="BA224" s="318">
        <f t="shared" si="192"/>
        <v>0</v>
      </c>
    </row>
    <row r="225" spans="1:53" s="315" customFormat="1" ht="16.5" customHeight="1">
      <c r="A225" s="63" t="str">
        <f t="array" ref="A225">IF(C225&lt;&gt;0,SUM(($C$11:C225&lt;&gt;0)*1),"")</f>
        <v/>
      </c>
      <c r="B225" s="316"/>
      <c r="C225" s="316"/>
      <c r="D225" s="316"/>
      <c r="E225" s="436"/>
      <c r="F225" s="372"/>
      <c r="G225" s="374"/>
      <c r="H225" s="374"/>
      <c r="I225" s="63" t="str">
        <f t="shared" si="180"/>
        <v/>
      </c>
      <c r="J225" s="318">
        <f t="shared" si="181"/>
        <v>0</v>
      </c>
      <c r="K225" s="318">
        <f t="shared" si="182"/>
        <v>0</v>
      </c>
      <c r="L225" s="318">
        <f t="shared" si="193"/>
        <v>0</v>
      </c>
      <c r="M225" s="318">
        <f t="shared" si="194"/>
        <v>0</v>
      </c>
      <c r="N225" s="318">
        <f t="shared" si="174"/>
        <v>0</v>
      </c>
      <c r="O225" s="318">
        <f t="shared" si="175"/>
        <v>0</v>
      </c>
      <c r="P225" s="318">
        <f t="shared" si="195"/>
        <v>0</v>
      </c>
      <c r="Q225" s="318">
        <f t="shared" si="196"/>
        <v>0</v>
      </c>
      <c r="R225" s="318">
        <f t="shared" si="197"/>
        <v>0</v>
      </c>
      <c r="S225" s="318">
        <f t="shared" si="198"/>
        <v>0</v>
      </c>
      <c r="T225" s="318">
        <f t="shared" si="176"/>
        <v>0</v>
      </c>
      <c r="U225" s="318">
        <f t="shared" si="177"/>
        <v>0</v>
      </c>
      <c r="V225" s="318">
        <f t="shared" si="199"/>
        <v>0</v>
      </c>
      <c r="W225" s="318">
        <f t="shared" si="200"/>
        <v>0</v>
      </c>
      <c r="X225" s="318">
        <f t="shared" si="201"/>
        <v>0</v>
      </c>
      <c r="Y225" s="318">
        <f t="shared" si="202"/>
        <v>0</v>
      </c>
      <c r="Z225" s="318">
        <f t="shared" si="183"/>
        <v>0</v>
      </c>
      <c r="AA225" s="318">
        <f t="shared" si="184"/>
        <v>0</v>
      </c>
      <c r="AB225" s="318">
        <f t="shared" si="203"/>
        <v>0</v>
      </c>
      <c r="AC225" s="318">
        <f t="shared" si="204"/>
        <v>0</v>
      </c>
      <c r="AD225" s="318">
        <f t="shared" si="185"/>
        <v>0</v>
      </c>
      <c r="AE225" s="318">
        <f t="shared" si="186"/>
        <v>0</v>
      </c>
      <c r="AF225" s="318">
        <f t="shared" si="178"/>
        <v>0</v>
      </c>
      <c r="AG225" s="318">
        <f t="shared" si="179"/>
        <v>0</v>
      </c>
      <c r="AH225" s="318">
        <f t="shared" si="205"/>
        <v>0</v>
      </c>
      <c r="AI225" s="318">
        <f t="shared" si="206"/>
        <v>0</v>
      </c>
      <c r="AJ225" s="318">
        <f t="shared" si="207"/>
        <v>0</v>
      </c>
      <c r="AK225" s="318">
        <f t="shared" si="208"/>
        <v>0</v>
      </c>
      <c r="AL225" s="318">
        <f t="shared" si="209"/>
        <v>0</v>
      </c>
      <c r="AM225" s="318">
        <f t="shared" si="210"/>
        <v>0</v>
      </c>
      <c r="AN225" s="318">
        <f t="shared" si="211"/>
        <v>0</v>
      </c>
      <c r="AO225" s="318">
        <f t="shared" si="212"/>
        <v>0</v>
      </c>
      <c r="AP225" s="318">
        <f t="shared" si="213"/>
        <v>0</v>
      </c>
      <c r="AQ225" s="318">
        <f t="shared" si="214"/>
        <v>0</v>
      </c>
      <c r="AR225" s="318">
        <f t="shared" si="187"/>
        <v>0</v>
      </c>
      <c r="AS225" s="318">
        <f t="shared" si="188"/>
        <v>0</v>
      </c>
      <c r="AT225" s="318">
        <f t="shared" si="215"/>
        <v>0</v>
      </c>
      <c r="AU225" s="318">
        <f t="shared" si="216"/>
        <v>0</v>
      </c>
      <c r="AV225" s="318">
        <f t="shared" si="217"/>
        <v>0</v>
      </c>
      <c r="AW225" s="318">
        <f t="shared" si="218"/>
        <v>0</v>
      </c>
      <c r="AX225" s="318">
        <f t="shared" si="189"/>
        <v>0</v>
      </c>
      <c r="AY225" s="318">
        <f t="shared" si="190"/>
        <v>0</v>
      </c>
      <c r="AZ225" s="318">
        <f t="shared" si="191"/>
        <v>0</v>
      </c>
      <c r="BA225" s="318">
        <f t="shared" si="192"/>
        <v>0</v>
      </c>
    </row>
    <row r="226" spans="1:53" s="315" customFormat="1" ht="16.5" customHeight="1">
      <c r="A226" s="63" t="str">
        <f t="array" ref="A226">IF(C226&lt;&gt;0,SUM(($C$11:C226&lt;&gt;0)*1),"")</f>
        <v/>
      </c>
      <c r="B226" s="316"/>
      <c r="C226" s="316"/>
      <c r="D226" s="316"/>
      <c r="E226" s="436"/>
      <c r="F226" s="372"/>
      <c r="G226" s="374"/>
      <c r="H226" s="374"/>
      <c r="I226" s="63" t="str">
        <f t="shared" si="180"/>
        <v/>
      </c>
      <c r="J226" s="318">
        <f t="shared" si="181"/>
        <v>0</v>
      </c>
      <c r="K226" s="318">
        <f t="shared" si="182"/>
        <v>0</v>
      </c>
      <c r="L226" s="318">
        <f t="shared" si="193"/>
        <v>0</v>
      </c>
      <c r="M226" s="318">
        <f t="shared" si="194"/>
        <v>0</v>
      </c>
      <c r="N226" s="318">
        <f t="shared" si="174"/>
        <v>0</v>
      </c>
      <c r="O226" s="318">
        <f t="shared" si="175"/>
        <v>0</v>
      </c>
      <c r="P226" s="318">
        <f t="shared" si="195"/>
        <v>0</v>
      </c>
      <c r="Q226" s="318">
        <f t="shared" si="196"/>
        <v>0</v>
      </c>
      <c r="R226" s="318">
        <f t="shared" si="197"/>
        <v>0</v>
      </c>
      <c r="S226" s="318">
        <f t="shared" si="198"/>
        <v>0</v>
      </c>
      <c r="T226" s="318">
        <f t="shared" si="176"/>
        <v>0</v>
      </c>
      <c r="U226" s="318">
        <f t="shared" si="177"/>
        <v>0</v>
      </c>
      <c r="V226" s="318">
        <f t="shared" si="199"/>
        <v>0</v>
      </c>
      <c r="W226" s="318">
        <f t="shared" si="200"/>
        <v>0</v>
      </c>
      <c r="X226" s="318">
        <f t="shared" si="201"/>
        <v>0</v>
      </c>
      <c r="Y226" s="318">
        <f t="shared" si="202"/>
        <v>0</v>
      </c>
      <c r="Z226" s="318">
        <f t="shared" si="183"/>
        <v>0</v>
      </c>
      <c r="AA226" s="318">
        <f t="shared" si="184"/>
        <v>0</v>
      </c>
      <c r="AB226" s="318">
        <f t="shared" si="203"/>
        <v>0</v>
      </c>
      <c r="AC226" s="318">
        <f t="shared" si="204"/>
        <v>0</v>
      </c>
      <c r="AD226" s="318">
        <f t="shared" si="185"/>
        <v>0</v>
      </c>
      <c r="AE226" s="318">
        <f t="shared" si="186"/>
        <v>0</v>
      </c>
      <c r="AF226" s="318">
        <f t="shared" si="178"/>
        <v>0</v>
      </c>
      <c r="AG226" s="318">
        <f t="shared" si="179"/>
        <v>0</v>
      </c>
      <c r="AH226" s="318">
        <f t="shared" si="205"/>
        <v>0</v>
      </c>
      <c r="AI226" s="318">
        <f t="shared" si="206"/>
        <v>0</v>
      </c>
      <c r="AJ226" s="318">
        <f t="shared" si="207"/>
        <v>0</v>
      </c>
      <c r="AK226" s="318">
        <f t="shared" si="208"/>
        <v>0</v>
      </c>
      <c r="AL226" s="318">
        <f t="shared" si="209"/>
        <v>0</v>
      </c>
      <c r="AM226" s="318">
        <f t="shared" si="210"/>
        <v>0</v>
      </c>
      <c r="AN226" s="318">
        <f t="shared" si="211"/>
        <v>0</v>
      </c>
      <c r="AO226" s="318">
        <f t="shared" si="212"/>
        <v>0</v>
      </c>
      <c r="AP226" s="318">
        <f t="shared" si="213"/>
        <v>0</v>
      </c>
      <c r="AQ226" s="318">
        <f t="shared" si="214"/>
        <v>0</v>
      </c>
      <c r="AR226" s="318">
        <f t="shared" si="187"/>
        <v>0</v>
      </c>
      <c r="AS226" s="318">
        <f t="shared" si="188"/>
        <v>0</v>
      </c>
      <c r="AT226" s="318">
        <f t="shared" si="215"/>
        <v>0</v>
      </c>
      <c r="AU226" s="318">
        <f t="shared" si="216"/>
        <v>0</v>
      </c>
      <c r="AV226" s="318">
        <f t="shared" si="217"/>
        <v>0</v>
      </c>
      <c r="AW226" s="318">
        <f t="shared" si="218"/>
        <v>0</v>
      </c>
      <c r="AX226" s="318">
        <f t="shared" si="189"/>
        <v>0</v>
      </c>
      <c r="AY226" s="318">
        <f t="shared" si="190"/>
        <v>0</v>
      </c>
      <c r="AZ226" s="318">
        <f t="shared" si="191"/>
        <v>0</v>
      </c>
      <c r="BA226" s="318">
        <f t="shared" si="192"/>
        <v>0</v>
      </c>
    </row>
    <row r="227" spans="1:53" s="315" customFormat="1" ht="16.5" customHeight="1">
      <c r="A227" s="63" t="str">
        <f t="array" ref="A227">IF(C227&lt;&gt;0,SUM(($C$11:C227&lt;&gt;0)*1),"")</f>
        <v/>
      </c>
      <c r="B227" s="316"/>
      <c r="C227" s="316"/>
      <c r="D227" s="316"/>
      <c r="E227" s="436"/>
      <c r="F227" s="372"/>
      <c r="G227" s="374"/>
      <c r="H227" s="374"/>
      <c r="I227" s="63" t="str">
        <f t="shared" si="180"/>
        <v/>
      </c>
      <c r="J227" s="318">
        <f t="shared" si="181"/>
        <v>0</v>
      </c>
      <c r="K227" s="318">
        <f t="shared" si="182"/>
        <v>0</v>
      </c>
      <c r="L227" s="318">
        <f t="shared" si="193"/>
        <v>0</v>
      </c>
      <c r="M227" s="318">
        <f t="shared" si="194"/>
        <v>0</v>
      </c>
      <c r="N227" s="318">
        <f t="shared" si="174"/>
        <v>0</v>
      </c>
      <c r="O227" s="318">
        <f t="shared" si="175"/>
        <v>0</v>
      </c>
      <c r="P227" s="318">
        <f t="shared" si="195"/>
        <v>0</v>
      </c>
      <c r="Q227" s="318">
        <f t="shared" si="196"/>
        <v>0</v>
      </c>
      <c r="R227" s="318">
        <f t="shared" si="197"/>
        <v>0</v>
      </c>
      <c r="S227" s="318">
        <f t="shared" si="198"/>
        <v>0</v>
      </c>
      <c r="T227" s="318">
        <f t="shared" si="176"/>
        <v>0</v>
      </c>
      <c r="U227" s="318">
        <f t="shared" si="177"/>
        <v>0</v>
      </c>
      <c r="V227" s="318">
        <f t="shared" si="199"/>
        <v>0</v>
      </c>
      <c r="W227" s="318">
        <f t="shared" si="200"/>
        <v>0</v>
      </c>
      <c r="X227" s="318">
        <f t="shared" si="201"/>
        <v>0</v>
      </c>
      <c r="Y227" s="318">
        <f t="shared" si="202"/>
        <v>0</v>
      </c>
      <c r="Z227" s="318">
        <f t="shared" si="183"/>
        <v>0</v>
      </c>
      <c r="AA227" s="318">
        <f t="shared" si="184"/>
        <v>0</v>
      </c>
      <c r="AB227" s="318">
        <f t="shared" si="203"/>
        <v>0</v>
      </c>
      <c r="AC227" s="318">
        <f t="shared" si="204"/>
        <v>0</v>
      </c>
      <c r="AD227" s="318">
        <f t="shared" si="185"/>
        <v>0</v>
      </c>
      <c r="AE227" s="318">
        <f t="shared" si="186"/>
        <v>0</v>
      </c>
      <c r="AF227" s="318">
        <f t="shared" si="178"/>
        <v>0</v>
      </c>
      <c r="AG227" s="318">
        <f t="shared" si="179"/>
        <v>0</v>
      </c>
      <c r="AH227" s="318">
        <f t="shared" si="205"/>
        <v>0</v>
      </c>
      <c r="AI227" s="318">
        <f t="shared" si="206"/>
        <v>0</v>
      </c>
      <c r="AJ227" s="318">
        <f t="shared" si="207"/>
        <v>0</v>
      </c>
      <c r="AK227" s="318">
        <f t="shared" si="208"/>
        <v>0</v>
      </c>
      <c r="AL227" s="318">
        <f t="shared" si="209"/>
        <v>0</v>
      </c>
      <c r="AM227" s="318">
        <f t="shared" si="210"/>
        <v>0</v>
      </c>
      <c r="AN227" s="318">
        <f t="shared" si="211"/>
        <v>0</v>
      </c>
      <c r="AO227" s="318">
        <f t="shared" si="212"/>
        <v>0</v>
      </c>
      <c r="AP227" s="318">
        <f t="shared" si="213"/>
        <v>0</v>
      </c>
      <c r="AQ227" s="318">
        <f t="shared" si="214"/>
        <v>0</v>
      </c>
      <c r="AR227" s="318">
        <f t="shared" si="187"/>
        <v>0</v>
      </c>
      <c r="AS227" s="318">
        <f t="shared" si="188"/>
        <v>0</v>
      </c>
      <c r="AT227" s="318">
        <f t="shared" si="215"/>
        <v>0</v>
      </c>
      <c r="AU227" s="318">
        <f t="shared" si="216"/>
        <v>0</v>
      </c>
      <c r="AV227" s="318">
        <f t="shared" si="217"/>
        <v>0</v>
      </c>
      <c r="AW227" s="318">
        <f t="shared" si="218"/>
        <v>0</v>
      </c>
      <c r="AX227" s="318">
        <f t="shared" si="189"/>
        <v>0</v>
      </c>
      <c r="AY227" s="318">
        <f t="shared" si="190"/>
        <v>0</v>
      </c>
      <c r="AZ227" s="318">
        <f t="shared" si="191"/>
        <v>0</v>
      </c>
      <c r="BA227" s="318">
        <f t="shared" si="192"/>
        <v>0</v>
      </c>
    </row>
    <row r="228" spans="1:53" s="315" customFormat="1" ht="16.5" customHeight="1">
      <c r="A228" s="63" t="str">
        <f t="array" ref="A228">IF(C228&lt;&gt;0,SUM(($C$11:C228&lt;&gt;0)*1),"")</f>
        <v/>
      </c>
      <c r="B228" s="316"/>
      <c r="C228" s="316"/>
      <c r="D228" s="316"/>
      <c r="E228" s="436"/>
      <c r="F228" s="372"/>
      <c r="G228" s="374"/>
      <c r="H228" s="374"/>
      <c r="I228" s="63" t="str">
        <f t="shared" si="180"/>
        <v/>
      </c>
      <c r="J228" s="318">
        <f t="shared" si="181"/>
        <v>0</v>
      </c>
      <c r="K228" s="318">
        <f t="shared" si="182"/>
        <v>0</v>
      </c>
      <c r="L228" s="318">
        <f t="shared" si="193"/>
        <v>0</v>
      </c>
      <c r="M228" s="318">
        <f t="shared" si="194"/>
        <v>0</v>
      </c>
      <c r="N228" s="318">
        <f t="shared" si="174"/>
        <v>0</v>
      </c>
      <c r="O228" s="318">
        <f t="shared" si="175"/>
        <v>0</v>
      </c>
      <c r="P228" s="318">
        <f t="shared" si="195"/>
        <v>0</v>
      </c>
      <c r="Q228" s="318">
        <f t="shared" si="196"/>
        <v>0</v>
      </c>
      <c r="R228" s="318">
        <f t="shared" si="197"/>
        <v>0</v>
      </c>
      <c r="S228" s="318">
        <f t="shared" si="198"/>
        <v>0</v>
      </c>
      <c r="T228" s="318">
        <f t="shared" si="176"/>
        <v>0</v>
      </c>
      <c r="U228" s="318">
        <f t="shared" si="177"/>
        <v>0</v>
      </c>
      <c r="V228" s="318">
        <f t="shared" si="199"/>
        <v>0</v>
      </c>
      <c r="W228" s="318">
        <f t="shared" si="200"/>
        <v>0</v>
      </c>
      <c r="X228" s="318">
        <f t="shared" si="201"/>
        <v>0</v>
      </c>
      <c r="Y228" s="318">
        <f t="shared" si="202"/>
        <v>0</v>
      </c>
      <c r="Z228" s="318">
        <f t="shared" si="183"/>
        <v>0</v>
      </c>
      <c r="AA228" s="318">
        <f t="shared" si="184"/>
        <v>0</v>
      </c>
      <c r="AB228" s="318">
        <f t="shared" si="203"/>
        <v>0</v>
      </c>
      <c r="AC228" s="318">
        <f t="shared" si="204"/>
        <v>0</v>
      </c>
      <c r="AD228" s="318">
        <f t="shared" si="185"/>
        <v>0</v>
      </c>
      <c r="AE228" s="318">
        <f t="shared" si="186"/>
        <v>0</v>
      </c>
      <c r="AF228" s="318">
        <f t="shared" si="178"/>
        <v>0</v>
      </c>
      <c r="AG228" s="318">
        <f t="shared" si="179"/>
        <v>0</v>
      </c>
      <c r="AH228" s="318">
        <f t="shared" si="205"/>
        <v>0</v>
      </c>
      <c r="AI228" s="318">
        <f t="shared" si="206"/>
        <v>0</v>
      </c>
      <c r="AJ228" s="318">
        <f t="shared" si="207"/>
        <v>0</v>
      </c>
      <c r="AK228" s="318">
        <f t="shared" si="208"/>
        <v>0</v>
      </c>
      <c r="AL228" s="318">
        <f t="shared" si="209"/>
        <v>0</v>
      </c>
      <c r="AM228" s="318">
        <f t="shared" si="210"/>
        <v>0</v>
      </c>
      <c r="AN228" s="318">
        <f t="shared" si="211"/>
        <v>0</v>
      </c>
      <c r="AO228" s="318">
        <f t="shared" si="212"/>
        <v>0</v>
      </c>
      <c r="AP228" s="318">
        <f t="shared" si="213"/>
        <v>0</v>
      </c>
      <c r="AQ228" s="318">
        <f t="shared" si="214"/>
        <v>0</v>
      </c>
      <c r="AR228" s="318">
        <f t="shared" si="187"/>
        <v>0</v>
      </c>
      <c r="AS228" s="318">
        <f t="shared" si="188"/>
        <v>0</v>
      </c>
      <c r="AT228" s="318">
        <f t="shared" si="215"/>
        <v>0</v>
      </c>
      <c r="AU228" s="318">
        <f t="shared" si="216"/>
        <v>0</v>
      </c>
      <c r="AV228" s="318">
        <f t="shared" si="217"/>
        <v>0</v>
      </c>
      <c r="AW228" s="318">
        <f t="shared" si="218"/>
        <v>0</v>
      </c>
      <c r="AX228" s="318">
        <f t="shared" si="189"/>
        <v>0</v>
      </c>
      <c r="AY228" s="318">
        <f t="shared" si="190"/>
        <v>0</v>
      </c>
      <c r="AZ228" s="318">
        <f t="shared" si="191"/>
        <v>0</v>
      </c>
      <c r="BA228" s="318">
        <f t="shared" si="192"/>
        <v>0</v>
      </c>
    </row>
    <row r="229" spans="1:53" s="315" customFormat="1" ht="16.5" customHeight="1">
      <c r="A229" s="63" t="str">
        <f t="array" ref="A229">IF(C229&lt;&gt;0,SUM(($C$11:C229&lt;&gt;0)*1),"")</f>
        <v/>
      </c>
      <c r="B229" s="316"/>
      <c r="C229" s="316"/>
      <c r="D229" s="316"/>
      <c r="E229" s="436"/>
      <c r="F229" s="372"/>
      <c r="G229" s="374"/>
      <c r="H229" s="374"/>
      <c r="I229" s="63" t="str">
        <f t="shared" si="180"/>
        <v/>
      </c>
      <c r="J229" s="318">
        <f t="shared" si="181"/>
        <v>0</v>
      </c>
      <c r="K229" s="318">
        <f t="shared" si="182"/>
        <v>0</v>
      </c>
      <c r="L229" s="318">
        <f t="shared" si="193"/>
        <v>0</v>
      </c>
      <c r="M229" s="318">
        <f t="shared" si="194"/>
        <v>0</v>
      </c>
      <c r="N229" s="318">
        <f t="shared" si="174"/>
        <v>0</v>
      </c>
      <c r="O229" s="318">
        <f t="shared" si="175"/>
        <v>0</v>
      </c>
      <c r="P229" s="318">
        <f t="shared" si="195"/>
        <v>0</v>
      </c>
      <c r="Q229" s="318">
        <f t="shared" si="196"/>
        <v>0</v>
      </c>
      <c r="R229" s="318">
        <f t="shared" si="197"/>
        <v>0</v>
      </c>
      <c r="S229" s="318">
        <f t="shared" si="198"/>
        <v>0</v>
      </c>
      <c r="T229" s="318">
        <f t="shared" si="176"/>
        <v>0</v>
      </c>
      <c r="U229" s="318">
        <f t="shared" si="177"/>
        <v>0</v>
      </c>
      <c r="V229" s="318">
        <f t="shared" si="199"/>
        <v>0</v>
      </c>
      <c r="W229" s="318">
        <f t="shared" si="200"/>
        <v>0</v>
      </c>
      <c r="X229" s="318">
        <f t="shared" si="201"/>
        <v>0</v>
      </c>
      <c r="Y229" s="318">
        <f t="shared" si="202"/>
        <v>0</v>
      </c>
      <c r="Z229" s="318">
        <f t="shared" si="183"/>
        <v>0</v>
      </c>
      <c r="AA229" s="318">
        <f t="shared" si="184"/>
        <v>0</v>
      </c>
      <c r="AB229" s="318">
        <f t="shared" si="203"/>
        <v>0</v>
      </c>
      <c r="AC229" s="318">
        <f t="shared" si="204"/>
        <v>0</v>
      </c>
      <c r="AD229" s="318">
        <f t="shared" si="185"/>
        <v>0</v>
      </c>
      <c r="AE229" s="318">
        <f t="shared" si="186"/>
        <v>0</v>
      </c>
      <c r="AF229" s="318">
        <f t="shared" si="178"/>
        <v>0</v>
      </c>
      <c r="AG229" s="318">
        <f t="shared" si="179"/>
        <v>0</v>
      </c>
      <c r="AH229" s="318">
        <f t="shared" si="205"/>
        <v>0</v>
      </c>
      <c r="AI229" s="318">
        <f t="shared" si="206"/>
        <v>0</v>
      </c>
      <c r="AJ229" s="318">
        <f t="shared" si="207"/>
        <v>0</v>
      </c>
      <c r="AK229" s="318">
        <f t="shared" si="208"/>
        <v>0</v>
      </c>
      <c r="AL229" s="318">
        <f t="shared" si="209"/>
        <v>0</v>
      </c>
      <c r="AM229" s="318">
        <f t="shared" si="210"/>
        <v>0</v>
      </c>
      <c r="AN229" s="318">
        <f t="shared" si="211"/>
        <v>0</v>
      </c>
      <c r="AO229" s="318">
        <f t="shared" si="212"/>
        <v>0</v>
      </c>
      <c r="AP229" s="318">
        <f t="shared" si="213"/>
        <v>0</v>
      </c>
      <c r="AQ229" s="318">
        <f t="shared" si="214"/>
        <v>0</v>
      </c>
      <c r="AR229" s="318">
        <f t="shared" si="187"/>
        <v>0</v>
      </c>
      <c r="AS229" s="318">
        <f t="shared" si="188"/>
        <v>0</v>
      </c>
      <c r="AT229" s="318">
        <f t="shared" si="215"/>
        <v>0</v>
      </c>
      <c r="AU229" s="318">
        <f t="shared" si="216"/>
        <v>0</v>
      </c>
      <c r="AV229" s="318">
        <f t="shared" si="217"/>
        <v>0</v>
      </c>
      <c r="AW229" s="318">
        <f t="shared" si="218"/>
        <v>0</v>
      </c>
      <c r="AX229" s="318">
        <f t="shared" si="189"/>
        <v>0</v>
      </c>
      <c r="AY229" s="318">
        <f t="shared" si="190"/>
        <v>0</v>
      </c>
      <c r="AZ229" s="318">
        <f t="shared" si="191"/>
        <v>0</v>
      </c>
      <c r="BA229" s="318">
        <f t="shared" si="192"/>
        <v>0</v>
      </c>
    </row>
    <row r="230" spans="1:53" s="315" customFormat="1" ht="16.5" customHeight="1">
      <c r="A230" s="63" t="str">
        <f t="array" ref="A230">IF(C230&lt;&gt;0,SUM(($C$11:C230&lt;&gt;0)*1),"")</f>
        <v/>
      </c>
      <c r="B230" s="316"/>
      <c r="C230" s="316"/>
      <c r="D230" s="316"/>
      <c r="E230" s="436"/>
      <c r="F230" s="372"/>
      <c r="G230" s="374"/>
      <c r="H230" s="374"/>
      <c r="I230" s="63" t="str">
        <f t="shared" si="180"/>
        <v/>
      </c>
      <c r="J230" s="318">
        <f t="shared" si="181"/>
        <v>0</v>
      </c>
      <c r="K230" s="318">
        <f t="shared" si="182"/>
        <v>0</v>
      </c>
      <c r="L230" s="318">
        <f t="shared" si="193"/>
        <v>0</v>
      </c>
      <c r="M230" s="318">
        <f t="shared" si="194"/>
        <v>0</v>
      </c>
      <c r="N230" s="318">
        <f t="shared" si="174"/>
        <v>0</v>
      </c>
      <c r="O230" s="318">
        <f t="shared" si="175"/>
        <v>0</v>
      </c>
      <c r="P230" s="318">
        <f t="shared" si="195"/>
        <v>0</v>
      </c>
      <c r="Q230" s="318">
        <f t="shared" si="196"/>
        <v>0</v>
      </c>
      <c r="R230" s="318">
        <f t="shared" si="197"/>
        <v>0</v>
      </c>
      <c r="S230" s="318">
        <f t="shared" si="198"/>
        <v>0</v>
      </c>
      <c r="T230" s="318">
        <f t="shared" si="176"/>
        <v>0</v>
      </c>
      <c r="U230" s="318">
        <f t="shared" si="177"/>
        <v>0</v>
      </c>
      <c r="V230" s="318">
        <f t="shared" si="199"/>
        <v>0</v>
      </c>
      <c r="W230" s="318">
        <f t="shared" si="200"/>
        <v>0</v>
      </c>
      <c r="X230" s="318">
        <f t="shared" si="201"/>
        <v>0</v>
      </c>
      <c r="Y230" s="318">
        <f t="shared" si="202"/>
        <v>0</v>
      </c>
      <c r="Z230" s="318">
        <f t="shared" si="183"/>
        <v>0</v>
      </c>
      <c r="AA230" s="318">
        <f t="shared" si="184"/>
        <v>0</v>
      </c>
      <c r="AB230" s="318">
        <f t="shared" si="203"/>
        <v>0</v>
      </c>
      <c r="AC230" s="318">
        <f t="shared" si="204"/>
        <v>0</v>
      </c>
      <c r="AD230" s="318">
        <f t="shared" si="185"/>
        <v>0</v>
      </c>
      <c r="AE230" s="318">
        <f t="shared" si="186"/>
        <v>0</v>
      </c>
      <c r="AF230" s="318">
        <f t="shared" si="178"/>
        <v>0</v>
      </c>
      <c r="AG230" s="318">
        <f t="shared" si="179"/>
        <v>0</v>
      </c>
      <c r="AH230" s="318">
        <f t="shared" si="205"/>
        <v>0</v>
      </c>
      <c r="AI230" s="318">
        <f t="shared" si="206"/>
        <v>0</v>
      </c>
      <c r="AJ230" s="318">
        <f t="shared" si="207"/>
        <v>0</v>
      </c>
      <c r="AK230" s="318">
        <f t="shared" si="208"/>
        <v>0</v>
      </c>
      <c r="AL230" s="318">
        <f t="shared" si="209"/>
        <v>0</v>
      </c>
      <c r="AM230" s="318">
        <f t="shared" si="210"/>
        <v>0</v>
      </c>
      <c r="AN230" s="318">
        <f t="shared" si="211"/>
        <v>0</v>
      </c>
      <c r="AO230" s="318">
        <f t="shared" si="212"/>
        <v>0</v>
      </c>
      <c r="AP230" s="318">
        <f t="shared" si="213"/>
        <v>0</v>
      </c>
      <c r="AQ230" s="318">
        <f t="shared" si="214"/>
        <v>0</v>
      </c>
      <c r="AR230" s="318">
        <f t="shared" si="187"/>
        <v>0</v>
      </c>
      <c r="AS230" s="318">
        <f t="shared" si="188"/>
        <v>0</v>
      </c>
      <c r="AT230" s="318">
        <f t="shared" si="215"/>
        <v>0</v>
      </c>
      <c r="AU230" s="318">
        <f t="shared" si="216"/>
        <v>0</v>
      </c>
      <c r="AV230" s="318">
        <f t="shared" si="217"/>
        <v>0</v>
      </c>
      <c r="AW230" s="318">
        <f t="shared" si="218"/>
        <v>0</v>
      </c>
      <c r="AX230" s="318">
        <f t="shared" si="189"/>
        <v>0</v>
      </c>
      <c r="AY230" s="318">
        <f t="shared" si="190"/>
        <v>0</v>
      </c>
      <c r="AZ230" s="318">
        <f t="shared" si="191"/>
        <v>0</v>
      </c>
      <c r="BA230" s="318">
        <f t="shared" si="192"/>
        <v>0</v>
      </c>
    </row>
    <row r="231" spans="1:53" s="315" customFormat="1" ht="16.5" customHeight="1">
      <c r="A231" s="63" t="str">
        <f t="array" ref="A231">IF(C231&lt;&gt;0,SUM(($C$11:C231&lt;&gt;0)*1),"")</f>
        <v/>
      </c>
      <c r="B231" s="316"/>
      <c r="C231" s="316"/>
      <c r="D231" s="316"/>
      <c r="E231" s="436"/>
      <c r="F231" s="372"/>
      <c r="G231" s="374"/>
      <c r="H231" s="374"/>
      <c r="I231" s="63" t="str">
        <f t="shared" si="180"/>
        <v/>
      </c>
      <c r="J231" s="318">
        <f t="shared" si="181"/>
        <v>0</v>
      </c>
      <c r="K231" s="318">
        <f t="shared" si="182"/>
        <v>0</v>
      </c>
      <c r="L231" s="318">
        <f t="shared" si="193"/>
        <v>0</v>
      </c>
      <c r="M231" s="318">
        <f t="shared" si="194"/>
        <v>0</v>
      </c>
      <c r="N231" s="318">
        <f t="shared" si="174"/>
        <v>0</v>
      </c>
      <c r="O231" s="318">
        <f t="shared" si="175"/>
        <v>0</v>
      </c>
      <c r="P231" s="318">
        <f t="shared" si="195"/>
        <v>0</v>
      </c>
      <c r="Q231" s="318">
        <f t="shared" si="196"/>
        <v>0</v>
      </c>
      <c r="R231" s="318">
        <f t="shared" si="197"/>
        <v>0</v>
      </c>
      <c r="S231" s="318">
        <f t="shared" si="198"/>
        <v>0</v>
      </c>
      <c r="T231" s="318">
        <f t="shared" si="176"/>
        <v>0</v>
      </c>
      <c r="U231" s="318">
        <f t="shared" si="177"/>
        <v>0</v>
      </c>
      <c r="V231" s="318">
        <f t="shared" si="199"/>
        <v>0</v>
      </c>
      <c r="W231" s="318">
        <f t="shared" si="200"/>
        <v>0</v>
      </c>
      <c r="X231" s="318">
        <f t="shared" si="201"/>
        <v>0</v>
      </c>
      <c r="Y231" s="318">
        <f t="shared" si="202"/>
        <v>0</v>
      </c>
      <c r="Z231" s="318">
        <f t="shared" si="183"/>
        <v>0</v>
      </c>
      <c r="AA231" s="318">
        <f t="shared" si="184"/>
        <v>0</v>
      </c>
      <c r="AB231" s="318">
        <f t="shared" si="203"/>
        <v>0</v>
      </c>
      <c r="AC231" s="318">
        <f t="shared" si="204"/>
        <v>0</v>
      </c>
      <c r="AD231" s="318">
        <f t="shared" si="185"/>
        <v>0</v>
      </c>
      <c r="AE231" s="318">
        <f t="shared" si="186"/>
        <v>0</v>
      </c>
      <c r="AF231" s="318">
        <f t="shared" si="178"/>
        <v>0</v>
      </c>
      <c r="AG231" s="318">
        <f t="shared" si="179"/>
        <v>0</v>
      </c>
      <c r="AH231" s="318">
        <f t="shared" si="205"/>
        <v>0</v>
      </c>
      <c r="AI231" s="318">
        <f t="shared" si="206"/>
        <v>0</v>
      </c>
      <c r="AJ231" s="318">
        <f t="shared" si="207"/>
        <v>0</v>
      </c>
      <c r="AK231" s="318">
        <f t="shared" si="208"/>
        <v>0</v>
      </c>
      <c r="AL231" s="318">
        <f t="shared" si="209"/>
        <v>0</v>
      </c>
      <c r="AM231" s="318">
        <f t="shared" si="210"/>
        <v>0</v>
      </c>
      <c r="AN231" s="318">
        <f t="shared" si="211"/>
        <v>0</v>
      </c>
      <c r="AO231" s="318">
        <f t="shared" si="212"/>
        <v>0</v>
      </c>
      <c r="AP231" s="318">
        <f t="shared" si="213"/>
        <v>0</v>
      </c>
      <c r="AQ231" s="318">
        <f t="shared" si="214"/>
        <v>0</v>
      </c>
      <c r="AR231" s="318">
        <f t="shared" si="187"/>
        <v>0</v>
      </c>
      <c r="AS231" s="318">
        <f t="shared" si="188"/>
        <v>0</v>
      </c>
      <c r="AT231" s="318">
        <f t="shared" si="215"/>
        <v>0</v>
      </c>
      <c r="AU231" s="318">
        <f t="shared" si="216"/>
        <v>0</v>
      </c>
      <c r="AV231" s="318">
        <f t="shared" si="217"/>
        <v>0</v>
      </c>
      <c r="AW231" s="318">
        <f t="shared" si="218"/>
        <v>0</v>
      </c>
      <c r="AX231" s="318">
        <f t="shared" si="189"/>
        <v>0</v>
      </c>
      <c r="AY231" s="318">
        <f t="shared" si="190"/>
        <v>0</v>
      </c>
      <c r="AZ231" s="318">
        <f t="shared" si="191"/>
        <v>0</v>
      </c>
      <c r="BA231" s="318">
        <f t="shared" si="192"/>
        <v>0</v>
      </c>
    </row>
    <row r="232" spans="1:53" s="315" customFormat="1" ht="16.5" customHeight="1">
      <c r="A232" s="63" t="str">
        <f t="array" ref="A232">IF(C232&lt;&gt;0,SUM(($C$11:C232&lt;&gt;0)*1),"")</f>
        <v/>
      </c>
      <c r="B232" s="316"/>
      <c r="C232" s="316"/>
      <c r="D232" s="316"/>
      <c r="E232" s="436"/>
      <c r="F232" s="372"/>
      <c r="G232" s="374"/>
      <c r="H232" s="374"/>
      <c r="I232" s="63" t="str">
        <f t="shared" si="180"/>
        <v/>
      </c>
      <c r="J232" s="318">
        <f t="shared" si="181"/>
        <v>0</v>
      </c>
      <c r="K232" s="318">
        <f t="shared" si="182"/>
        <v>0</v>
      </c>
      <c r="L232" s="318">
        <f t="shared" si="193"/>
        <v>0</v>
      </c>
      <c r="M232" s="318">
        <f t="shared" si="194"/>
        <v>0</v>
      </c>
      <c r="N232" s="318">
        <f t="shared" si="174"/>
        <v>0</v>
      </c>
      <c r="O232" s="318">
        <f t="shared" si="175"/>
        <v>0</v>
      </c>
      <c r="P232" s="318">
        <f t="shared" si="195"/>
        <v>0</v>
      </c>
      <c r="Q232" s="318">
        <f t="shared" si="196"/>
        <v>0</v>
      </c>
      <c r="R232" s="318">
        <f t="shared" si="197"/>
        <v>0</v>
      </c>
      <c r="S232" s="318">
        <f t="shared" si="198"/>
        <v>0</v>
      </c>
      <c r="T232" s="318">
        <f t="shared" si="176"/>
        <v>0</v>
      </c>
      <c r="U232" s="318">
        <f t="shared" si="177"/>
        <v>0</v>
      </c>
      <c r="V232" s="318">
        <f t="shared" si="199"/>
        <v>0</v>
      </c>
      <c r="W232" s="318">
        <f t="shared" si="200"/>
        <v>0</v>
      </c>
      <c r="X232" s="318">
        <f t="shared" si="201"/>
        <v>0</v>
      </c>
      <c r="Y232" s="318">
        <f t="shared" si="202"/>
        <v>0</v>
      </c>
      <c r="Z232" s="318">
        <f t="shared" si="183"/>
        <v>0</v>
      </c>
      <c r="AA232" s="318">
        <f t="shared" si="184"/>
        <v>0</v>
      </c>
      <c r="AB232" s="318">
        <f t="shared" si="203"/>
        <v>0</v>
      </c>
      <c r="AC232" s="318">
        <f t="shared" si="204"/>
        <v>0</v>
      </c>
      <c r="AD232" s="318">
        <f t="shared" si="185"/>
        <v>0</v>
      </c>
      <c r="AE232" s="318">
        <f t="shared" si="186"/>
        <v>0</v>
      </c>
      <c r="AF232" s="318">
        <f t="shared" si="178"/>
        <v>0</v>
      </c>
      <c r="AG232" s="318">
        <f t="shared" si="179"/>
        <v>0</v>
      </c>
      <c r="AH232" s="318">
        <f t="shared" si="205"/>
        <v>0</v>
      </c>
      <c r="AI232" s="318">
        <f t="shared" si="206"/>
        <v>0</v>
      </c>
      <c r="AJ232" s="318">
        <f t="shared" si="207"/>
        <v>0</v>
      </c>
      <c r="AK232" s="318">
        <f t="shared" si="208"/>
        <v>0</v>
      </c>
      <c r="AL232" s="318">
        <f t="shared" si="209"/>
        <v>0</v>
      </c>
      <c r="AM232" s="318">
        <f t="shared" si="210"/>
        <v>0</v>
      </c>
      <c r="AN232" s="318">
        <f t="shared" si="211"/>
        <v>0</v>
      </c>
      <c r="AO232" s="318">
        <f t="shared" si="212"/>
        <v>0</v>
      </c>
      <c r="AP232" s="318">
        <f t="shared" si="213"/>
        <v>0</v>
      </c>
      <c r="AQ232" s="318">
        <f t="shared" si="214"/>
        <v>0</v>
      </c>
      <c r="AR232" s="318">
        <f t="shared" si="187"/>
        <v>0</v>
      </c>
      <c r="AS232" s="318">
        <f t="shared" si="188"/>
        <v>0</v>
      </c>
      <c r="AT232" s="318">
        <f t="shared" si="215"/>
        <v>0</v>
      </c>
      <c r="AU232" s="318">
        <f t="shared" si="216"/>
        <v>0</v>
      </c>
      <c r="AV232" s="318">
        <f t="shared" si="217"/>
        <v>0</v>
      </c>
      <c r="AW232" s="318">
        <f t="shared" si="218"/>
        <v>0</v>
      </c>
      <c r="AX232" s="318">
        <f t="shared" si="189"/>
        <v>0</v>
      </c>
      <c r="AY232" s="318">
        <f t="shared" si="190"/>
        <v>0</v>
      </c>
      <c r="AZ232" s="318">
        <f t="shared" si="191"/>
        <v>0</v>
      </c>
      <c r="BA232" s="318">
        <f t="shared" si="192"/>
        <v>0</v>
      </c>
    </row>
    <row r="233" spans="1:53" s="315" customFormat="1" ht="16.5" customHeight="1">
      <c r="A233" s="63" t="str">
        <f t="array" ref="A233">IF(C233&lt;&gt;0,SUM(($C$11:C233&lt;&gt;0)*1),"")</f>
        <v/>
      </c>
      <c r="B233" s="316"/>
      <c r="C233" s="316"/>
      <c r="D233" s="316"/>
      <c r="E233" s="436"/>
      <c r="F233" s="372"/>
      <c r="G233" s="374"/>
      <c r="H233" s="374"/>
      <c r="I233" s="63" t="str">
        <f t="shared" si="180"/>
        <v/>
      </c>
      <c r="J233" s="318">
        <f t="shared" si="181"/>
        <v>0</v>
      </c>
      <c r="K233" s="318">
        <f t="shared" si="182"/>
        <v>0</v>
      </c>
      <c r="L233" s="318">
        <f t="shared" si="193"/>
        <v>0</v>
      </c>
      <c r="M233" s="318">
        <f t="shared" si="194"/>
        <v>0</v>
      </c>
      <c r="N233" s="318">
        <f t="shared" si="174"/>
        <v>0</v>
      </c>
      <c r="O233" s="318">
        <f t="shared" si="175"/>
        <v>0</v>
      </c>
      <c r="P233" s="318">
        <f t="shared" si="195"/>
        <v>0</v>
      </c>
      <c r="Q233" s="318">
        <f t="shared" si="196"/>
        <v>0</v>
      </c>
      <c r="R233" s="318">
        <f t="shared" si="197"/>
        <v>0</v>
      </c>
      <c r="S233" s="318">
        <f t="shared" si="198"/>
        <v>0</v>
      </c>
      <c r="T233" s="318">
        <f t="shared" si="176"/>
        <v>0</v>
      </c>
      <c r="U233" s="318">
        <f t="shared" si="177"/>
        <v>0</v>
      </c>
      <c r="V233" s="318">
        <f t="shared" si="199"/>
        <v>0</v>
      </c>
      <c r="W233" s="318">
        <f t="shared" si="200"/>
        <v>0</v>
      </c>
      <c r="X233" s="318">
        <f t="shared" si="201"/>
        <v>0</v>
      </c>
      <c r="Y233" s="318">
        <f t="shared" si="202"/>
        <v>0</v>
      </c>
      <c r="Z233" s="318">
        <f t="shared" si="183"/>
        <v>0</v>
      </c>
      <c r="AA233" s="318">
        <f t="shared" si="184"/>
        <v>0</v>
      </c>
      <c r="AB233" s="318">
        <f t="shared" si="203"/>
        <v>0</v>
      </c>
      <c r="AC233" s="318">
        <f t="shared" si="204"/>
        <v>0</v>
      </c>
      <c r="AD233" s="318">
        <f t="shared" si="185"/>
        <v>0</v>
      </c>
      <c r="AE233" s="318">
        <f t="shared" si="186"/>
        <v>0</v>
      </c>
      <c r="AF233" s="318">
        <f t="shared" si="178"/>
        <v>0</v>
      </c>
      <c r="AG233" s="318">
        <f t="shared" si="179"/>
        <v>0</v>
      </c>
      <c r="AH233" s="318">
        <f t="shared" si="205"/>
        <v>0</v>
      </c>
      <c r="AI233" s="318">
        <f t="shared" si="206"/>
        <v>0</v>
      </c>
      <c r="AJ233" s="318">
        <f t="shared" si="207"/>
        <v>0</v>
      </c>
      <c r="AK233" s="318">
        <f t="shared" si="208"/>
        <v>0</v>
      </c>
      <c r="AL233" s="318">
        <f t="shared" si="209"/>
        <v>0</v>
      </c>
      <c r="AM233" s="318">
        <f t="shared" si="210"/>
        <v>0</v>
      </c>
      <c r="AN233" s="318">
        <f t="shared" si="211"/>
        <v>0</v>
      </c>
      <c r="AO233" s="318">
        <f t="shared" si="212"/>
        <v>0</v>
      </c>
      <c r="AP233" s="318">
        <f t="shared" si="213"/>
        <v>0</v>
      </c>
      <c r="AQ233" s="318">
        <f t="shared" si="214"/>
        <v>0</v>
      </c>
      <c r="AR233" s="318">
        <f t="shared" si="187"/>
        <v>0</v>
      </c>
      <c r="AS233" s="318">
        <f t="shared" si="188"/>
        <v>0</v>
      </c>
      <c r="AT233" s="318">
        <f t="shared" si="215"/>
        <v>0</v>
      </c>
      <c r="AU233" s="318">
        <f t="shared" si="216"/>
        <v>0</v>
      </c>
      <c r="AV233" s="318">
        <f t="shared" si="217"/>
        <v>0</v>
      </c>
      <c r="AW233" s="318">
        <f t="shared" si="218"/>
        <v>0</v>
      </c>
      <c r="AX233" s="318">
        <f t="shared" si="189"/>
        <v>0</v>
      </c>
      <c r="AY233" s="318">
        <f t="shared" si="190"/>
        <v>0</v>
      </c>
      <c r="AZ233" s="318">
        <f t="shared" si="191"/>
        <v>0</v>
      </c>
      <c r="BA233" s="318">
        <f t="shared" si="192"/>
        <v>0</v>
      </c>
    </row>
    <row r="234" spans="1:53" s="315" customFormat="1" ht="16.5" customHeight="1">
      <c r="A234" s="63" t="str">
        <f t="array" ref="A234">IF(C234&lt;&gt;0,SUM(($C$11:C234&lt;&gt;0)*1),"")</f>
        <v/>
      </c>
      <c r="B234" s="316"/>
      <c r="C234" s="316"/>
      <c r="D234" s="316"/>
      <c r="E234" s="436"/>
      <c r="F234" s="372"/>
      <c r="G234" s="374"/>
      <c r="H234" s="374"/>
      <c r="I234" s="63" t="str">
        <f t="shared" si="180"/>
        <v/>
      </c>
      <c r="J234" s="318">
        <f t="shared" si="181"/>
        <v>0</v>
      </c>
      <c r="K234" s="318">
        <f t="shared" si="182"/>
        <v>0</v>
      </c>
      <c r="L234" s="318">
        <f t="shared" si="193"/>
        <v>0</v>
      </c>
      <c r="M234" s="318">
        <f t="shared" si="194"/>
        <v>0</v>
      </c>
      <c r="N234" s="318">
        <f t="shared" si="174"/>
        <v>0</v>
      </c>
      <c r="O234" s="318">
        <f t="shared" si="175"/>
        <v>0</v>
      </c>
      <c r="P234" s="318">
        <f t="shared" si="195"/>
        <v>0</v>
      </c>
      <c r="Q234" s="318">
        <f t="shared" si="196"/>
        <v>0</v>
      </c>
      <c r="R234" s="318">
        <f t="shared" si="197"/>
        <v>0</v>
      </c>
      <c r="S234" s="318">
        <f t="shared" si="198"/>
        <v>0</v>
      </c>
      <c r="T234" s="318">
        <f t="shared" si="176"/>
        <v>0</v>
      </c>
      <c r="U234" s="318">
        <f t="shared" si="177"/>
        <v>0</v>
      </c>
      <c r="V234" s="318">
        <f t="shared" si="199"/>
        <v>0</v>
      </c>
      <c r="W234" s="318">
        <f t="shared" si="200"/>
        <v>0</v>
      </c>
      <c r="X234" s="318">
        <f t="shared" si="201"/>
        <v>0</v>
      </c>
      <c r="Y234" s="318">
        <f t="shared" si="202"/>
        <v>0</v>
      </c>
      <c r="Z234" s="318">
        <f t="shared" si="183"/>
        <v>0</v>
      </c>
      <c r="AA234" s="318">
        <f t="shared" si="184"/>
        <v>0</v>
      </c>
      <c r="AB234" s="318">
        <f t="shared" si="203"/>
        <v>0</v>
      </c>
      <c r="AC234" s="318">
        <f t="shared" si="204"/>
        <v>0</v>
      </c>
      <c r="AD234" s="318">
        <f t="shared" si="185"/>
        <v>0</v>
      </c>
      <c r="AE234" s="318">
        <f t="shared" si="186"/>
        <v>0</v>
      </c>
      <c r="AF234" s="318">
        <f t="shared" si="178"/>
        <v>0</v>
      </c>
      <c r="AG234" s="318">
        <f t="shared" si="179"/>
        <v>0</v>
      </c>
      <c r="AH234" s="318">
        <f t="shared" si="205"/>
        <v>0</v>
      </c>
      <c r="AI234" s="318">
        <f t="shared" si="206"/>
        <v>0</v>
      </c>
      <c r="AJ234" s="318">
        <f t="shared" si="207"/>
        <v>0</v>
      </c>
      <c r="AK234" s="318">
        <f t="shared" si="208"/>
        <v>0</v>
      </c>
      <c r="AL234" s="318">
        <f t="shared" si="209"/>
        <v>0</v>
      </c>
      <c r="AM234" s="318">
        <f t="shared" si="210"/>
        <v>0</v>
      </c>
      <c r="AN234" s="318">
        <f t="shared" si="211"/>
        <v>0</v>
      </c>
      <c r="AO234" s="318">
        <f t="shared" si="212"/>
        <v>0</v>
      </c>
      <c r="AP234" s="318">
        <f t="shared" si="213"/>
        <v>0</v>
      </c>
      <c r="AQ234" s="318">
        <f t="shared" si="214"/>
        <v>0</v>
      </c>
      <c r="AR234" s="318">
        <f t="shared" si="187"/>
        <v>0</v>
      </c>
      <c r="AS234" s="318">
        <f t="shared" si="188"/>
        <v>0</v>
      </c>
      <c r="AT234" s="318">
        <f t="shared" si="215"/>
        <v>0</v>
      </c>
      <c r="AU234" s="318">
        <f t="shared" si="216"/>
        <v>0</v>
      </c>
      <c r="AV234" s="318">
        <f t="shared" si="217"/>
        <v>0</v>
      </c>
      <c r="AW234" s="318">
        <f t="shared" si="218"/>
        <v>0</v>
      </c>
      <c r="AX234" s="318">
        <f t="shared" si="189"/>
        <v>0</v>
      </c>
      <c r="AY234" s="318">
        <f t="shared" si="190"/>
        <v>0</v>
      </c>
      <c r="AZ234" s="318">
        <f t="shared" si="191"/>
        <v>0</v>
      </c>
      <c r="BA234" s="318">
        <f t="shared" si="192"/>
        <v>0</v>
      </c>
    </row>
    <row r="235" spans="1:53" s="315" customFormat="1" ht="16.5" customHeight="1">
      <c r="A235" s="63" t="str">
        <f t="array" ref="A235">IF(C235&lt;&gt;0,SUM(($C$11:C235&lt;&gt;0)*1),"")</f>
        <v/>
      </c>
      <c r="B235" s="316"/>
      <c r="C235" s="316"/>
      <c r="D235" s="316"/>
      <c r="E235" s="436"/>
      <c r="F235" s="372"/>
      <c r="G235" s="374"/>
      <c r="H235" s="374"/>
      <c r="I235" s="63" t="str">
        <f t="shared" si="180"/>
        <v/>
      </c>
      <c r="J235" s="318">
        <f t="shared" si="181"/>
        <v>0</v>
      </c>
      <c r="K235" s="318">
        <f t="shared" si="182"/>
        <v>0</v>
      </c>
      <c r="L235" s="318">
        <f t="shared" si="193"/>
        <v>0</v>
      </c>
      <c r="M235" s="318">
        <f t="shared" si="194"/>
        <v>0</v>
      </c>
      <c r="N235" s="318">
        <f t="shared" si="174"/>
        <v>0</v>
      </c>
      <c r="O235" s="318">
        <f t="shared" si="175"/>
        <v>0</v>
      </c>
      <c r="P235" s="318">
        <f t="shared" si="195"/>
        <v>0</v>
      </c>
      <c r="Q235" s="318">
        <f t="shared" si="196"/>
        <v>0</v>
      </c>
      <c r="R235" s="318">
        <f t="shared" si="197"/>
        <v>0</v>
      </c>
      <c r="S235" s="318">
        <f t="shared" si="198"/>
        <v>0</v>
      </c>
      <c r="T235" s="318">
        <f t="shared" si="176"/>
        <v>0</v>
      </c>
      <c r="U235" s="318">
        <f t="shared" si="177"/>
        <v>0</v>
      </c>
      <c r="V235" s="318">
        <f t="shared" si="199"/>
        <v>0</v>
      </c>
      <c r="W235" s="318">
        <f t="shared" si="200"/>
        <v>0</v>
      </c>
      <c r="X235" s="318">
        <f t="shared" si="201"/>
        <v>0</v>
      </c>
      <c r="Y235" s="318">
        <f t="shared" si="202"/>
        <v>0</v>
      </c>
      <c r="Z235" s="318">
        <f t="shared" si="183"/>
        <v>0</v>
      </c>
      <c r="AA235" s="318">
        <f t="shared" si="184"/>
        <v>0</v>
      </c>
      <c r="AB235" s="318">
        <f t="shared" si="203"/>
        <v>0</v>
      </c>
      <c r="AC235" s="318">
        <f t="shared" si="204"/>
        <v>0</v>
      </c>
      <c r="AD235" s="318">
        <f t="shared" si="185"/>
        <v>0</v>
      </c>
      <c r="AE235" s="318">
        <f t="shared" si="186"/>
        <v>0</v>
      </c>
      <c r="AF235" s="318">
        <f t="shared" si="178"/>
        <v>0</v>
      </c>
      <c r="AG235" s="318">
        <f t="shared" si="179"/>
        <v>0</v>
      </c>
      <c r="AH235" s="318">
        <f t="shared" si="205"/>
        <v>0</v>
      </c>
      <c r="AI235" s="318">
        <f t="shared" si="206"/>
        <v>0</v>
      </c>
      <c r="AJ235" s="318">
        <f t="shared" si="207"/>
        <v>0</v>
      </c>
      <c r="AK235" s="318">
        <f t="shared" si="208"/>
        <v>0</v>
      </c>
      <c r="AL235" s="318">
        <f t="shared" si="209"/>
        <v>0</v>
      </c>
      <c r="AM235" s="318">
        <f t="shared" si="210"/>
        <v>0</v>
      </c>
      <c r="AN235" s="318">
        <f t="shared" si="211"/>
        <v>0</v>
      </c>
      <c r="AO235" s="318">
        <f t="shared" si="212"/>
        <v>0</v>
      </c>
      <c r="AP235" s="318">
        <f t="shared" si="213"/>
        <v>0</v>
      </c>
      <c r="AQ235" s="318">
        <f t="shared" si="214"/>
        <v>0</v>
      </c>
      <c r="AR235" s="318">
        <f t="shared" si="187"/>
        <v>0</v>
      </c>
      <c r="AS235" s="318">
        <f t="shared" si="188"/>
        <v>0</v>
      </c>
      <c r="AT235" s="318">
        <f t="shared" si="215"/>
        <v>0</v>
      </c>
      <c r="AU235" s="318">
        <f t="shared" si="216"/>
        <v>0</v>
      </c>
      <c r="AV235" s="318">
        <f t="shared" si="217"/>
        <v>0</v>
      </c>
      <c r="AW235" s="318">
        <f t="shared" si="218"/>
        <v>0</v>
      </c>
      <c r="AX235" s="318">
        <f t="shared" si="189"/>
        <v>0</v>
      </c>
      <c r="AY235" s="318">
        <f t="shared" si="190"/>
        <v>0</v>
      </c>
      <c r="AZ235" s="318">
        <f t="shared" si="191"/>
        <v>0</v>
      </c>
      <c r="BA235" s="318">
        <f t="shared" si="192"/>
        <v>0</v>
      </c>
    </row>
    <row r="236" spans="1:53" s="315" customFormat="1" ht="16.5" customHeight="1">
      <c r="A236" s="63" t="str">
        <f t="array" ref="A236">IF(C236&lt;&gt;0,SUM(($C$11:C236&lt;&gt;0)*1),"")</f>
        <v/>
      </c>
      <c r="B236" s="316"/>
      <c r="C236" s="316"/>
      <c r="D236" s="316"/>
      <c r="E236" s="436"/>
      <c r="F236" s="372"/>
      <c r="G236" s="374"/>
      <c r="H236" s="374"/>
      <c r="I236" s="63" t="str">
        <f t="shared" si="180"/>
        <v/>
      </c>
      <c r="J236" s="318">
        <f t="shared" si="181"/>
        <v>0</v>
      </c>
      <c r="K236" s="318">
        <f t="shared" si="182"/>
        <v>0</v>
      </c>
      <c r="L236" s="318">
        <f t="shared" si="193"/>
        <v>0</v>
      </c>
      <c r="M236" s="318">
        <f t="shared" si="194"/>
        <v>0</v>
      </c>
      <c r="N236" s="318">
        <f t="shared" si="174"/>
        <v>0</v>
      </c>
      <c r="O236" s="318">
        <f t="shared" si="175"/>
        <v>0</v>
      </c>
      <c r="P236" s="318">
        <f t="shared" si="195"/>
        <v>0</v>
      </c>
      <c r="Q236" s="318">
        <f t="shared" si="196"/>
        <v>0</v>
      </c>
      <c r="R236" s="318">
        <f t="shared" si="197"/>
        <v>0</v>
      </c>
      <c r="S236" s="318">
        <f t="shared" si="198"/>
        <v>0</v>
      </c>
      <c r="T236" s="318">
        <f t="shared" si="176"/>
        <v>0</v>
      </c>
      <c r="U236" s="318">
        <f t="shared" si="177"/>
        <v>0</v>
      </c>
      <c r="V236" s="318">
        <f t="shared" si="199"/>
        <v>0</v>
      </c>
      <c r="W236" s="318">
        <f t="shared" si="200"/>
        <v>0</v>
      </c>
      <c r="X236" s="318">
        <f t="shared" si="201"/>
        <v>0</v>
      </c>
      <c r="Y236" s="318">
        <f t="shared" si="202"/>
        <v>0</v>
      </c>
      <c r="Z236" s="318">
        <f t="shared" si="183"/>
        <v>0</v>
      </c>
      <c r="AA236" s="318">
        <f t="shared" si="184"/>
        <v>0</v>
      </c>
      <c r="AB236" s="318">
        <f t="shared" si="203"/>
        <v>0</v>
      </c>
      <c r="AC236" s="318">
        <f t="shared" si="204"/>
        <v>0</v>
      </c>
      <c r="AD236" s="318">
        <f t="shared" si="185"/>
        <v>0</v>
      </c>
      <c r="AE236" s="318">
        <f t="shared" si="186"/>
        <v>0</v>
      </c>
      <c r="AF236" s="318">
        <f t="shared" si="178"/>
        <v>0</v>
      </c>
      <c r="AG236" s="318">
        <f t="shared" si="179"/>
        <v>0</v>
      </c>
      <c r="AH236" s="318">
        <f t="shared" si="205"/>
        <v>0</v>
      </c>
      <c r="AI236" s="318">
        <f t="shared" si="206"/>
        <v>0</v>
      </c>
      <c r="AJ236" s="318">
        <f t="shared" si="207"/>
        <v>0</v>
      </c>
      <c r="AK236" s="318">
        <f t="shared" si="208"/>
        <v>0</v>
      </c>
      <c r="AL236" s="318">
        <f t="shared" si="209"/>
        <v>0</v>
      </c>
      <c r="AM236" s="318">
        <f t="shared" si="210"/>
        <v>0</v>
      </c>
      <c r="AN236" s="318">
        <f t="shared" si="211"/>
        <v>0</v>
      </c>
      <c r="AO236" s="318">
        <f t="shared" si="212"/>
        <v>0</v>
      </c>
      <c r="AP236" s="318">
        <f t="shared" si="213"/>
        <v>0</v>
      </c>
      <c r="AQ236" s="318">
        <f t="shared" si="214"/>
        <v>0</v>
      </c>
      <c r="AR236" s="318">
        <f t="shared" si="187"/>
        <v>0</v>
      </c>
      <c r="AS236" s="318">
        <f t="shared" si="188"/>
        <v>0</v>
      </c>
      <c r="AT236" s="318">
        <f t="shared" si="215"/>
        <v>0</v>
      </c>
      <c r="AU236" s="318">
        <f t="shared" si="216"/>
        <v>0</v>
      </c>
      <c r="AV236" s="318">
        <f t="shared" si="217"/>
        <v>0</v>
      </c>
      <c r="AW236" s="318">
        <f t="shared" si="218"/>
        <v>0</v>
      </c>
      <c r="AX236" s="318">
        <f t="shared" si="189"/>
        <v>0</v>
      </c>
      <c r="AY236" s="318">
        <f t="shared" si="190"/>
        <v>0</v>
      </c>
      <c r="AZ236" s="318">
        <f t="shared" si="191"/>
        <v>0</v>
      </c>
      <c r="BA236" s="318">
        <f t="shared" si="192"/>
        <v>0</v>
      </c>
    </row>
    <row r="237" spans="1:53" s="315" customFormat="1" ht="16.5" customHeight="1">
      <c r="A237" s="63" t="str">
        <f t="array" ref="A237">IF(C237&lt;&gt;0,SUM(($C$11:C237&lt;&gt;0)*1),"")</f>
        <v/>
      </c>
      <c r="B237" s="316"/>
      <c r="C237" s="316"/>
      <c r="D237" s="316"/>
      <c r="E237" s="436"/>
      <c r="F237" s="372"/>
      <c r="G237" s="374"/>
      <c r="H237" s="374"/>
      <c r="I237" s="63" t="str">
        <f t="shared" si="180"/>
        <v/>
      </c>
      <c r="J237" s="318">
        <f t="shared" si="181"/>
        <v>0</v>
      </c>
      <c r="K237" s="318">
        <f t="shared" si="182"/>
        <v>0</v>
      </c>
      <c r="L237" s="318">
        <f t="shared" si="193"/>
        <v>0</v>
      </c>
      <c r="M237" s="318">
        <f t="shared" si="194"/>
        <v>0</v>
      </c>
      <c r="N237" s="318">
        <f t="shared" si="174"/>
        <v>0</v>
      </c>
      <c r="O237" s="318">
        <f t="shared" si="175"/>
        <v>0</v>
      </c>
      <c r="P237" s="318">
        <f t="shared" si="195"/>
        <v>0</v>
      </c>
      <c r="Q237" s="318">
        <f t="shared" si="196"/>
        <v>0</v>
      </c>
      <c r="R237" s="318">
        <f t="shared" si="197"/>
        <v>0</v>
      </c>
      <c r="S237" s="318">
        <f t="shared" si="198"/>
        <v>0</v>
      </c>
      <c r="T237" s="318">
        <f t="shared" si="176"/>
        <v>0</v>
      </c>
      <c r="U237" s="318">
        <f t="shared" si="177"/>
        <v>0</v>
      </c>
      <c r="V237" s="318">
        <f t="shared" si="199"/>
        <v>0</v>
      </c>
      <c r="W237" s="318">
        <f t="shared" si="200"/>
        <v>0</v>
      </c>
      <c r="X237" s="318">
        <f t="shared" si="201"/>
        <v>0</v>
      </c>
      <c r="Y237" s="318">
        <f t="shared" si="202"/>
        <v>0</v>
      </c>
      <c r="Z237" s="318">
        <f t="shared" si="183"/>
        <v>0</v>
      </c>
      <c r="AA237" s="318">
        <f t="shared" si="184"/>
        <v>0</v>
      </c>
      <c r="AB237" s="318">
        <f t="shared" si="203"/>
        <v>0</v>
      </c>
      <c r="AC237" s="318">
        <f t="shared" si="204"/>
        <v>0</v>
      </c>
      <c r="AD237" s="318">
        <f t="shared" si="185"/>
        <v>0</v>
      </c>
      <c r="AE237" s="318">
        <f t="shared" si="186"/>
        <v>0</v>
      </c>
      <c r="AF237" s="318">
        <f t="shared" si="178"/>
        <v>0</v>
      </c>
      <c r="AG237" s="318">
        <f t="shared" si="179"/>
        <v>0</v>
      </c>
      <c r="AH237" s="318">
        <f t="shared" si="205"/>
        <v>0</v>
      </c>
      <c r="AI237" s="318">
        <f t="shared" si="206"/>
        <v>0</v>
      </c>
      <c r="AJ237" s="318">
        <f t="shared" si="207"/>
        <v>0</v>
      </c>
      <c r="AK237" s="318">
        <f t="shared" si="208"/>
        <v>0</v>
      </c>
      <c r="AL237" s="318">
        <f t="shared" si="209"/>
        <v>0</v>
      </c>
      <c r="AM237" s="318">
        <f t="shared" si="210"/>
        <v>0</v>
      </c>
      <c r="AN237" s="318">
        <f t="shared" si="211"/>
        <v>0</v>
      </c>
      <c r="AO237" s="318">
        <f t="shared" si="212"/>
        <v>0</v>
      </c>
      <c r="AP237" s="318">
        <f t="shared" si="213"/>
        <v>0</v>
      </c>
      <c r="AQ237" s="318">
        <f t="shared" si="214"/>
        <v>0</v>
      </c>
      <c r="AR237" s="318">
        <f t="shared" si="187"/>
        <v>0</v>
      </c>
      <c r="AS237" s="318">
        <f t="shared" si="188"/>
        <v>0</v>
      </c>
      <c r="AT237" s="318">
        <f t="shared" si="215"/>
        <v>0</v>
      </c>
      <c r="AU237" s="318">
        <f t="shared" si="216"/>
        <v>0</v>
      </c>
      <c r="AV237" s="318">
        <f t="shared" si="217"/>
        <v>0</v>
      </c>
      <c r="AW237" s="318">
        <f t="shared" si="218"/>
        <v>0</v>
      </c>
      <c r="AX237" s="318">
        <f t="shared" si="189"/>
        <v>0</v>
      </c>
      <c r="AY237" s="318">
        <f t="shared" si="190"/>
        <v>0</v>
      </c>
      <c r="AZ237" s="318">
        <f t="shared" si="191"/>
        <v>0</v>
      </c>
      <c r="BA237" s="318">
        <f t="shared" si="192"/>
        <v>0</v>
      </c>
    </row>
    <row r="238" spans="1:53" s="315" customFormat="1" ht="16.5" customHeight="1">
      <c r="A238" s="63" t="str">
        <f t="array" ref="A238">IF(C238&lt;&gt;0,SUM(($C$11:C238&lt;&gt;0)*1),"")</f>
        <v/>
      </c>
      <c r="B238" s="316"/>
      <c r="C238" s="316"/>
      <c r="D238" s="316"/>
      <c r="E238" s="436"/>
      <c r="F238" s="372"/>
      <c r="G238" s="374"/>
      <c r="H238" s="374"/>
      <c r="I238" s="63" t="str">
        <f t="shared" si="180"/>
        <v/>
      </c>
      <c r="J238" s="318">
        <f t="shared" si="181"/>
        <v>0</v>
      </c>
      <c r="K238" s="318">
        <f t="shared" si="182"/>
        <v>0</v>
      </c>
      <c r="L238" s="318">
        <f t="shared" si="193"/>
        <v>0</v>
      </c>
      <c r="M238" s="318">
        <f t="shared" si="194"/>
        <v>0</v>
      </c>
      <c r="N238" s="318">
        <f t="shared" si="174"/>
        <v>0</v>
      </c>
      <c r="O238" s="318">
        <f t="shared" si="175"/>
        <v>0</v>
      </c>
      <c r="P238" s="318">
        <f t="shared" si="195"/>
        <v>0</v>
      </c>
      <c r="Q238" s="318">
        <f t="shared" si="196"/>
        <v>0</v>
      </c>
      <c r="R238" s="318">
        <f t="shared" si="197"/>
        <v>0</v>
      </c>
      <c r="S238" s="318">
        <f t="shared" si="198"/>
        <v>0</v>
      </c>
      <c r="T238" s="318">
        <f t="shared" si="176"/>
        <v>0</v>
      </c>
      <c r="U238" s="318">
        <f t="shared" si="177"/>
        <v>0</v>
      </c>
      <c r="V238" s="318">
        <f t="shared" si="199"/>
        <v>0</v>
      </c>
      <c r="W238" s="318">
        <f t="shared" si="200"/>
        <v>0</v>
      </c>
      <c r="X238" s="318">
        <f t="shared" si="201"/>
        <v>0</v>
      </c>
      <c r="Y238" s="318">
        <f t="shared" si="202"/>
        <v>0</v>
      </c>
      <c r="Z238" s="318">
        <f t="shared" si="183"/>
        <v>0</v>
      </c>
      <c r="AA238" s="318">
        <f t="shared" si="184"/>
        <v>0</v>
      </c>
      <c r="AB238" s="318">
        <f t="shared" si="203"/>
        <v>0</v>
      </c>
      <c r="AC238" s="318">
        <f t="shared" si="204"/>
        <v>0</v>
      </c>
      <c r="AD238" s="318">
        <f t="shared" si="185"/>
        <v>0</v>
      </c>
      <c r="AE238" s="318">
        <f t="shared" si="186"/>
        <v>0</v>
      </c>
      <c r="AF238" s="318">
        <f t="shared" si="178"/>
        <v>0</v>
      </c>
      <c r="AG238" s="318">
        <f t="shared" si="179"/>
        <v>0</v>
      </c>
      <c r="AH238" s="318">
        <f t="shared" si="205"/>
        <v>0</v>
      </c>
      <c r="AI238" s="318">
        <f t="shared" si="206"/>
        <v>0</v>
      </c>
      <c r="AJ238" s="318">
        <f t="shared" si="207"/>
        <v>0</v>
      </c>
      <c r="AK238" s="318">
        <f t="shared" si="208"/>
        <v>0</v>
      </c>
      <c r="AL238" s="318">
        <f t="shared" si="209"/>
        <v>0</v>
      </c>
      <c r="AM238" s="318">
        <f t="shared" si="210"/>
        <v>0</v>
      </c>
      <c r="AN238" s="318">
        <f t="shared" si="211"/>
        <v>0</v>
      </c>
      <c r="AO238" s="318">
        <f t="shared" si="212"/>
        <v>0</v>
      </c>
      <c r="AP238" s="318">
        <f t="shared" si="213"/>
        <v>0</v>
      </c>
      <c r="AQ238" s="318">
        <f t="shared" si="214"/>
        <v>0</v>
      </c>
      <c r="AR238" s="318">
        <f t="shared" si="187"/>
        <v>0</v>
      </c>
      <c r="AS238" s="318">
        <f t="shared" si="188"/>
        <v>0</v>
      </c>
      <c r="AT238" s="318">
        <f t="shared" si="215"/>
        <v>0</v>
      </c>
      <c r="AU238" s="318">
        <f t="shared" si="216"/>
        <v>0</v>
      </c>
      <c r="AV238" s="318">
        <f t="shared" si="217"/>
        <v>0</v>
      </c>
      <c r="AW238" s="318">
        <f t="shared" si="218"/>
        <v>0</v>
      </c>
      <c r="AX238" s="318">
        <f t="shared" si="189"/>
        <v>0</v>
      </c>
      <c r="AY238" s="318">
        <f t="shared" si="190"/>
        <v>0</v>
      </c>
      <c r="AZ238" s="318">
        <f t="shared" si="191"/>
        <v>0</v>
      </c>
      <c r="BA238" s="318">
        <f t="shared" si="192"/>
        <v>0</v>
      </c>
    </row>
    <row r="239" spans="1:53" s="315" customFormat="1" ht="16.5" customHeight="1">
      <c r="A239" s="63" t="str">
        <f t="array" ref="A239">IF(C239&lt;&gt;0,SUM(($C$11:C239&lt;&gt;0)*1),"")</f>
        <v/>
      </c>
      <c r="B239" s="316"/>
      <c r="C239" s="316"/>
      <c r="D239" s="316"/>
      <c r="E239" s="436"/>
      <c r="F239" s="372"/>
      <c r="G239" s="374"/>
      <c r="H239" s="374"/>
      <c r="I239" s="63" t="str">
        <f t="shared" si="180"/>
        <v/>
      </c>
      <c r="J239" s="318">
        <f t="shared" si="181"/>
        <v>0</v>
      </c>
      <c r="K239" s="318">
        <f t="shared" si="182"/>
        <v>0</v>
      </c>
      <c r="L239" s="318">
        <f t="shared" si="193"/>
        <v>0</v>
      </c>
      <c r="M239" s="318">
        <f t="shared" si="194"/>
        <v>0</v>
      </c>
      <c r="N239" s="318">
        <f t="shared" si="174"/>
        <v>0</v>
      </c>
      <c r="O239" s="318">
        <f t="shared" si="175"/>
        <v>0</v>
      </c>
      <c r="P239" s="318">
        <f t="shared" si="195"/>
        <v>0</v>
      </c>
      <c r="Q239" s="318">
        <f t="shared" si="196"/>
        <v>0</v>
      </c>
      <c r="R239" s="318">
        <f t="shared" si="197"/>
        <v>0</v>
      </c>
      <c r="S239" s="318">
        <f t="shared" si="198"/>
        <v>0</v>
      </c>
      <c r="T239" s="318">
        <f t="shared" si="176"/>
        <v>0</v>
      </c>
      <c r="U239" s="318">
        <f t="shared" si="177"/>
        <v>0</v>
      </c>
      <c r="V239" s="318">
        <f t="shared" si="199"/>
        <v>0</v>
      </c>
      <c r="W239" s="318">
        <f t="shared" si="200"/>
        <v>0</v>
      </c>
      <c r="X239" s="318">
        <f t="shared" si="201"/>
        <v>0</v>
      </c>
      <c r="Y239" s="318">
        <f t="shared" si="202"/>
        <v>0</v>
      </c>
      <c r="Z239" s="318">
        <f t="shared" si="183"/>
        <v>0</v>
      </c>
      <c r="AA239" s="318">
        <f t="shared" si="184"/>
        <v>0</v>
      </c>
      <c r="AB239" s="318">
        <f t="shared" si="203"/>
        <v>0</v>
      </c>
      <c r="AC239" s="318">
        <f t="shared" si="204"/>
        <v>0</v>
      </c>
      <c r="AD239" s="318">
        <f t="shared" si="185"/>
        <v>0</v>
      </c>
      <c r="AE239" s="318">
        <f t="shared" si="186"/>
        <v>0</v>
      </c>
      <c r="AF239" s="318">
        <f t="shared" si="178"/>
        <v>0</v>
      </c>
      <c r="AG239" s="318">
        <f t="shared" si="179"/>
        <v>0</v>
      </c>
      <c r="AH239" s="318">
        <f t="shared" si="205"/>
        <v>0</v>
      </c>
      <c r="AI239" s="318">
        <f t="shared" si="206"/>
        <v>0</v>
      </c>
      <c r="AJ239" s="318">
        <f t="shared" si="207"/>
        <v>0</v>
      </c>
      <c r="AK239" s="318">
        <f t="shared" si="208"/>
        <v>0</v>
      </c>
      <c r="AL239" s="318">
        <f t="shared" si="209"/>
        <v>0</v>
      </c>
      <c r="AM239" s="318">
        <f t="shared" si="210"/>
        <v>0</v>
      </c>
      <c r="AN239" s="318">
        <f t="shared" si="211"/>
        <v>0</v>
      </c>
      <c r="AO239" s="318">
        <f t="shared" si="212"/>
        <v>0</v>
      </c>
      <c r="AP239" s="318">
        <f t="shared" si="213"/>
        <v>0</v>
      </c>
      <c r="AQ239" s="318">
        <f t="shared" si="214"/>
        <v>0</v>
      </c>
      <c r="AR239" s="318">
        <f t="shared" si="187"/>
        <v>0</v>
      </c>
      <c r="AS239" s="318">
        <f t="shared" si="188"/>
        <v>0</v>
      </c>
      <c r="AT239" s="318">
        <f t="shared" si="215"/>
        <v>0</v>
      </c>
      <c r="AU239" s="318">
        <f t="shared" si="216"/>
        <v>0</v>
      </c>
      <c r="AV239" s="318">
        <f t="shared" si="217"/>
        <v>0</v>
      </c>
      <c r="AW239" s="318">
        <f t="shared" si="218"/>
        <v>0</v>
      </c>
      <c r="AX239" s="318">
        <f t="shared" si="189"/>
        <v>0</v>
      </c>
      <c r="AY239" s="318">
        <f t="shared" si="190"/>
        <v>0</v>
      </c>
      <c r="AZ239" s="318">
        <f t="shared" si="191"/>
        <v>0</v>
      </c>
      <c r="BA239" s="318">
        <f t="shared" si="192"/>
        <v>0</v>
      </c>
    </row>
    <row r="240" spans="1:53" s="315" customFormat="1" ht="16.5" customHeight="1">
      <c r="A240" s="63" t="str">
        <f t="array" ref="A240">IF(C240&lt;&gt;0,SUM(($C$11:C240&lt;&gt;0)*1),"")</f>
        <v/>
      </c>
      <c r="B240" s="316"/>
      <c r="C240" s="316"/>
      <c r="D240" s="316"/>
      <c r="E240" s="436"/>
      <c r="F240" s="372"/>
      <c r="G240" s="374"/>
      <c r="H240" s="374"/>
      <c r="I240" s="63" t="str">
        <f t="shared" si="180"/>
        <v/>
      </c>
      <c r="J240" s="318">
        <f t="shared" si="181"/>
        <v>0</v>
      </c>
      <c r="K240" s="318">
        <f t="shared" si="182"/>
        <v>0</v>
      </c>
      <c r="L240" s="318">
        <f t="shared" si="193"/>
        <v>0</v>
      </c>
      <c r="M240" s="318">
        <f t="shared" si="194"/>
        <v>0</v>
      </c>
      <c r="N240" s="318">
        <f t="shared" si="174"/>
        <v>0</v>
      </c>
      <c r="O240" s="318">
        <f t="shared" si="175"/>
        <v>0</v>
      </c>
      <c r="P240" s="318">
        <f t="shared" si="195"/>
        <v>0</v>
      </c>
      <c r="Q240" s="318">
        <f t="shared" si="196"/>
        <v>0</v>
      </c>
      <c r="R240" s="318">
        <f t="shared" si="197"/>
        <v>0</v>
      </c>
      <c r="S240" s="318">
        <f t="shared" si="198"/>
        <v>0</v>
      </c>
      <c r="T240" s="318">
        <f t="shared" si="176"/>
        <v>0</v>
      </c>
      <c r="U240" s="318">
        <f t="shared" si="177"/>
        <v>0</v>
      </c>
      <c r="V240" s="318">
        <f t="shared" si="199"/>
        <v>0</v>
      </c>
      <c r="W240" s="318">
        <f t="shared" si="200"/>
        <v>0</v>
      </c>
      <c r="X240" s="318">
        <f t="shared" si="201"/>
        <v>0</v>
      </c>
      <c r="Y240" s="318">
        <f t="shared" si="202"/>
        <v>0</v>
      </c>
      <c r="Z240" s="318">
        <f t="shared" si="183"/>
        <v>0</v>
      </c>
      <c r="AA240" s="318">
        <f t="shared" si="184"/>
        <v>0</v>
      </c>
      <c r="AB240" s="318">
        <f t="shared" si="203"/>
        <v>0</v>
      </c>
      <c r="AC240" s="318">
        <f t="shared" si="204"/>
        <v>0</v>
      </c>
      <c r="AD240" s="318">
        <f t="shared" si="185"/>
        <v>0</v>
      </c>
      <c r="AE240" s="318">
        <f t="shared" si="186"/>
        <v>0</v>
      </c>
      <c r="AF240" s="318">
        <f t="shared" si="178"/>
        <v>0</v>
      </c>
      <c r="AG240" s="318">
        <f t="shared" si="179"/>
        <v>0</v>
      </c>
      <c r="AH240" s="318">
        <f t="shared" si="205"/>
        <v>0</v>
      </c>
      <c r="AI240" s="318">
        <f t="shared" si="206"/>
        <v>0</v>
      </c>
      <c r="AJ240" s="318">
        <f t="shared" si="207"/>
        <v>0</v>
      </c>
      <c r="AK240" s="318">
        <f t="shared" si="208"/>
        <v>0</v>
      </c>
      <c r="AL240" s="318">
        <f t="shared" si="209"/>
        <v>0</v>
      </c>
      <c r="AM240" s="318">
        <f t="shared" si="210"/>
        <v>0</v>
      </c>
      <c r="AN240" s="318">
        <f t="shared" si="211"/>
        <v>0</v>
      </c>
      <c r="AO240" s="318">
        <f t="shared" si="212"/>
        <v>0</v>
      </c>
      <c r="AP240" s="318">
        <f t="shared" si="213"/>
        <v>0</v>
      </c>
      <c r="AQ240" s="318">
        <f t="shared" si="214"/>
        <v>0</v>
      </c>
      <c r="AR240" s="318">
        <f t="shared" si="187"/>
        <v>0</v>
      </c>
      <c r="AS240" s="318">
        <f t="shared" si="188"/>
        <v>0</v>
      </c>
      <c r="AT240" s="318">
        <f t="shared" si="215"/>
        <v>0</v>
      </c>
      <c r="AU240" s="318">
        <f t="shared" si="216"/>
        <v>0</v>
      </c>
      <c r="AV240" s="318">
        <f t="shared" si="217"/>
        <v>0</v>
      </c>
      <c r="AW240" s="318">
        <f t="shared" si="218"/>
        <v>0</v>
      </c>
      <c r="AX240" s="318">
        <f t="shared" si="189"/>
        <v>0</v>
      </c>
      <c r="AY240" s="318">
        <f t="shared" si="190"/>
        <v>0</v>
      </c>
      <c r="AZ240" s="318">
        <f t="shared" si="191"/>
        <v>0</v>
      </c>
      <c r="BA240" s="318">
        <f t="shared" si="192"/>
        <v>0</v>
      </c>
    </row>
    <row r="241" spans="1:53" s="315" customFormat="1" ht="16.5" customHeight="1">
      <c r="A241" s="63" t="str">
        <f t="array" ref="A241">IF(C241&lt;&gt;0,SUM(($C$11:C241&lt;&gt;0)*1),"")</f>
        <v/>
      </c>
      <c r="B241" s="316"/>
      <c r="C241" s="316"/>
      <c r="D241" s="316"/>
      <c r="E241" s="436"/>
      <c r="F241" s="372"/>
      <c r="G241" s="374"/>
      <c r="H241" s="374"/>
      <c r="I241" s="63" t="str">
        <f t="shared" ref="I241:I304" si="219">A241</f>
        <v/>
      </c>
      <c r="J241" s="318">
        <f t="shared" si="181"/>
        <v>0</v>
      </c>
      <c r="K241" s="318">
        <f t="shared" si="182"/>
        <v>0</v>
      </c>
      <c r="L241" s="318">
        <f t="shared" si="193"/>
        <v>0</v>
      </c>
      <c r="M241" s="318">
        <f t="shared" si="194"/>
        <v>0</v>
      </c>
      <c r="N241" s="318">
        <f t="shared" si="174"/>
        <v>0</v>
      </c>
      <c r="O241" s="318">
        <f t="shared" si="175"/>
        <v>0</v>
      </c>
      <c r="P241" s="318">
        <f t="shared" si="195"/>
        <v>0</v>
      </c>
      <c r="Q241" s="318">
        <f t="shared" si="196"/>
        <v>0</v>
      </c>
      <c r="R241" s="318">
        <f t="shared" si="197"/>
        <v>0</v>
      </c>
      <c r="S241" s="318">
        <f t="shared" si="198"/>
        <v>0</v>
      </c>
      <c r="T241" s="318">
        <f t="shared" si="176"/>
        <v>0</v>
      </c>
      <c r="U241" s="318">
        <f t="shared" si="177"/>
        <v>0</v>
      </c>
      <c r="V241" s="318">
        <f t="shared" si="199"/>
        <v>0</v>
      </c>
      <c r="W241" s="318">
        <f t="shared" si="200"/>
        <v>0</v>
      </c>
      <c r="X241" s="318">
        <f t="shared" si="201"/>
        <v>0</v>
      </c>
      <c r="Y241" s="318">
        <f t="shared" si="202"/>
        <v>0</v>
      </c>
      <c r="Z241" s="318">
        <f t="shared" si="183"/>
        <v>0</v>
      </c>
      <c r="AA241" s="318">
        <f t="shared" si="184"/>
        <v>0</v>
      </c>
      <c r="AB241" s="318">
        <f t="shared" si="203"/>
        <v>0</v>
      </c>
      <c r="AC241" s="318">
        <f t="shared" si="204"/>
        <v>0</v>
      </c>
      <c r="AD241" s="318">
        <f t="shared" si="185"/>
        <v>0</v>
      </c>
      <c r="AE241" s="318">
        <f t="shared" si="186"/>
        <v>0</v>
      </c>
      <c r="AF241" s="318">
        <f t="shared" si="178"/>
        <v>0</v>
      </c>
      <c r="AG241" s="318">
        <f t="shared" si="179"/>
        <v>0</v>
      </c>
      <c r="AH241" s="318">
        <f t="shared" si="205"/>
        <v>0</v>
      </c>
      <c r="AI241" s="318">
        <f t="shared" si="206"/>
        <v>0</v>
      </c>
      <c r="AJ241" s="318">
        <f t="shared" si="207"/>
        <v>0</v>
      </c>
      <c r="AK241" s="318">
        <f t="shared" si="208"/>
        <v>0</v>
      </c>
      <c r="AL241" s="318">
        <f t="shared" si="209"/>
        <v>0</v>
      </c>
      <c r="AM241" s="318">
        <f t="shared" si="210"/>
        <v>0</v>
      </c>
      <c r="AN241" s="318">
        <f t="shared" si="211"/>
        <v>0</v>
      </c>
      <c r="AO241" s="318">
        <f t="shared" si="212"/>
        <v>0</v>
      </c>
      <c r="AP241" s="318">
        <f t="shared" si="213"/>
        <v>0</v>
      </c>
      <c r="AQ241" s="318">
        <f t="shared" si="214"/>
        <v>0</v>
      </c>
      <c r="AR241" s="318">
        <f t="shared" si="187"/>
        <v>0</v>
      </c>
      <c r="AS241" s="318">
        <f t="shared" si="188"/>
        <v>0</v>
      </c>
      <c r="AT241" s="318">
        <f t="shared" si="215"/>
        <v>0</v>
      </c>
      <c r="AU241" s="318">
        <f t="shared" si="216"/>
        <v>0</v>
      </c>
      <c r="AV241" s="318">
        <f t="shared" si="217"/>
        <v>0</v>
      </c>
      <c r="AW241" s="318">
        <f t="shared" si="218"/>
        <v>0</v>
      </c>
      <c r="AX241" s="318">
        <f t="shared" si="189"/>
        <v>0</v>
      </c>
      <c r="AY241" s="318">
        <f t="shared" si="190"/>
        <v>0</v>
      </c>
      <c r="AZ241" s="318">
        <f t="shared" si="191"/>
        <v>0</v>
      </c>
      <c r="BA241" s="318">
        <f t="shared" si="192"/>
        <v>0</v>
      </c>
    </row>
    <row r="242" spans="1:53" s="315" customFormat="1" ht="16.5" customHeight="1">
      <c r="A242" s="63" t="str">
        <f t="array" ref="A242">IF(C242&lt;&gt;0,SUM(($C$11:C242&lt;&gt;0)*1),"")</f>
        <v/>
      </c>
      <c r="B242" s="316"/>
      <c r="C242" s="316"/>
      <c r="D242" s="316"/>
      <c r="E242" s="436"/>
      <c r="F242" s="372"/>
      <c r="G242" s="374"/>
      <c r="H242" s="374"/>
      <c r="I242" s="63" t="str">
        <f t="shared" si="219"/>
        <v/>
      </c>
      <c r="J242" s="318">
        <f t="shared" si="181"/>
        <v>0</v>
      </c>
      <c r="K242" s="318">
        <f t="shared" si="182"/>
        <v>0</v>
      </c>
      <c r="L242" s="318">
        <f t="shared" si="193"/>
        <v>0</v>
      </c>
      <c r="M242" s="318">
        <f t="shared" si="194"/>
        <v>0</v>
      </c>
      <c r="N242" s="318">
        <f t="shared" si="174"/>
        <v>0</v>
      </c>
      <c r="O242" s="318">
        <f t="shared" si="175"/>
        <v>0</v>
      </c>
      <c r="P242" s="318">
        <f t="shared" si="195"/>
        <v>0</v>
      </c>
      <c r="Q242" s="318">
        <f t="shared" si="196"/>
        <v>0</v>
      </c>
      <c r="R242" s="318">
        <f t="shared" si="197"/>
        <v>0</v>
      </c>
      <c r="S242" s="318">
        <f t="shared" si="198"/>
        <v>0</v>
      </c>
      <c r="T242" s="318">
        <f t="shared" si="176"/>
        <v>0</v>
      </c>
      <c r="U242" s="318">
        <f t="shared" si="177"/>
        <v>0</v>
      </c>
      <c r="V242" s="318">
        <f t="shared" si="199"/>
        <v>0</v>
      </c>
      <c r="W242" s="318">
        <f t="shared" si="200"/>
        <v>0</v>
      </c>
      <c r="X242" s="318">
        <f t="shared" si="201"/>
        <v>0</v>
      </c>
      <c r="Y242" s="318">
        <f t="shared" si="202"/>
        <v>0</v>
      </c>
      <c r="Z242" s="318">
        <f t="shared" si="183"/>
        <v>0</v>
      </c>
      <c r="AA242" s="318">
        <f t="shared" si="184"/>
        <v>0</v>
      </c>
      <c r="AB242" s="318">
        <f t="shared" si="203"/>
        <v>0</v>
      </c>
      <c r="AC242" s="318">
        <f t="shared" si="204"/>
        <v>0</v>
      </c>
      <c r="AD242" s="318">
        <f t="shared" si="185"/>
        <v>0</v>
      </c>
      <c r="AE242" s="318">
        <f t="shared" si="186"/>
        <v>0</v>
      </c>
      <c r="AF242" s="318">
        <f t="shared" si="178"/>
        <v>0</v>
      </c>
      <c r="AG242" s="318">
        <f t="shared" si="179"/>
        <v>0</v>
      </c>
      <c r="AH242" s="318">
        <f t="shared" si="205"/>
        <v>0</v>
      </c>
      <c r="AI242" s="318">
        <f t="shared" si="206"/>
        <v>0</v>
      </c>
      <c r="AJ242" s="318">
        <f t="shared" si="207"/>
        <v>0</v>
      </c>
      <c r="AK242" s="318">
        <f t="shared" si="208"/>
        <v>0</v>
      </c>
      <c r="AL242" s="318">
        <f t="shared" si="209"/>
        <v>0</v>
      </c>
      <c r="AM242" s="318">
        <f t="shared" si="210"/>
        <v>0</v>
      </c>
      <c r="AN242" s="318">
        <f t="shared" si="211"/>
        <v>0</v>
      </c>
      <c r="AO242" s="318">
        <f t="shared" si="212"/>
        <v>0</v>
      </c>
      <c r="AP242" s="318">
        <f t="shared" si="213"/>
        <v>0</v>
      </c>
      <c r="AQ242" s="318">
        <f t="shared" si="214"/>
        <v>0</v>
      </c>
      <c r="AR242" s="318">
        <f t="shared" si="187"/>
        <v>0</v>
      </c>
      <c r="AS242" s="318">
        <f t="shared" si="188"/>
        <v>0</v>
      </c>
      <c r="AT242" s="318">
        <f t="shared" si="215"/>
        <v>0</v>
      </c>
      <c r="AU242" s="318">
        <f t="shared" si="216"/>
        <v>0</v>
      </c>
      <c r="AV242" s="318">
        <f t="shared" si="217"/>
        <v>0</v>
      </c>
      <c r="AW242" s="318">
        <f t="shared" si="218"/>
        <v>0</v>
      </c>
      <c r="AX242" s="318">
        <f t="shared" si="189"/>
        <v>0</v>
      </c>
      <c r="AY242" s="318">
        <f t="shared" si="190"/>
        <v>0</v>
      </c>
      <c r="AZ242" s="318">
        <f t="shared" si="191"/>
        <v>0</v>
      </c>
      <c r="BA242" s="318">
        <f t="shared" si="192"/>
        <v>0</v>
      </c>
    </row>
    <row r="243" spans="1:53" s="315" customFormat="1" ht="16.5" customHeight="1">
      <c r="A243" s="63" t="str">
        <f t="array" ref="A243">IF(C243&lt;&gt;0,SUM(($C$11:C243&lt;&gt;0)*1),"")</f>
        <v/>
      </c>
      <c r="B243" s="316"/>
      <c r="C243" s="316"/>
      <c r="D243" s="316"/>
      <c r="E243" s="436"/>
      <c r="F243" s="372"/>
      <c r="G243" s="374"/>
      <c r="H243" s="374"/>
      <c r="I243" s="63" t="str">
        <f t="shared" si="219"/>
        <v/>
      </c>
      <c r="J243" s="318">
        <f t="shared" si="181"/>
        <v>0</v>
      </c>
      <c r="K243" s="318">
        <f t="shared" si="182"/>
        <v>0</v>
      </c>
      <c r="L243" s="318">
        <f t="shared" si="193"/>
        <v>0</v>
      </c>
      <c r="M243" s="318">
        <f t="shared" si="194"/>
        <v>0</v>
      </c>
      <c r="N243" s="318">
        <f t="shared" si="174"/>
        <v>0</v>
      </c>
      <c r="O243" s="318">
        <f t="shared" si="175"/>
        <v>0</v>
      </c>
      <c r="P243" s="318">
        <f t="shared" si="195"/>
        <v>0</v>
      </c>
      <c r="Q243" s="318">
        <f t="shared" si="196"/>
        <v>0</v>
      </c>
      <c r="R243" s="318">
        <f t="shared" si="197"/>
        <v>0</v>
      </c>
      <c r="S243" s="318">
        <f t="shared" si="198"/>
        <v>0</v>
      </c>
      <c r="T243" s="318">
        <f t="shared" si="176"/>
        <v>0</v>
      </c>
      <c r="U243" s="318">
        <f t="shared" si="177"/>
        <v>0</v>
      </c>
      <c r="V243" s="318">
        <f t="shared" si="199"/>
        <v>0</v>
      </c>
      <c r="W243" s="318">
        <f t="shared" si="200"/>
        <v>0</v>
      </c>
      <c r="X243" s="318">
        <f t="shared" si="201"/>
        <v>0</v>
      </c>
      <c r="Y243" s="318">
        <f t="shared" si="202"/>
        <v>0</v>
      </c>
      <c r="Z243" s="318">
        <f t="shared" si="183"/>
        <v>0</v>
      </c>
      <c r="AA243" s="318">
        <f t="shared" si="184"/>
        <v>0</v>
      </c>
      <c r="AB243" s="318">
        <f t="shared" si="203"/>
        <v>0</v>
      </c>
      <c r="AC243" s="318">
        <f t="shared" si="204"/>
        <v>0</v>
      </c>
      <c r="AD243" s="318">
        <f t="shared" si="185"/>
        <v>0</v>
      </c>
      <c r="AE243" s="318">
        <f t="shared" si="186"/>
        <v>0</v>
      </c>
      <c r="AF243" s="318">
        <f t="shared" si="178"/>
        <v>0</v>
      </c>
      <c r="AG243" s="318">
        <f t="shared" si="179"/>
        <v>0</v>
      </c>
      <c r="AH243" s="318">
        <f t="shared" si="205"/>
        <v>0</v>
      </c>
      <c r="AI243" s="318">
        <f t="shared" si="206"/>
        <v>0</v>
      </c>
      <c r="AJ243" s="318">
        <f t="shared" si="207"/>
        <v>0</v>
      </c>
      <c r="AK243" s="318">
        <f t="shared" si="208"/>
        <v>0</v>
      </c>
      <c r="AL243" s="318">
        <f t="shared" si="209"/>
        <v>0</v>
      </c>
      <c r="AM243" s="318">
        <f t="shared" si="210"/>
        <v>0</v>
      </c>
      <c r="AN243" s="318">
        <f t="shared" si="211"/>
        <v>0</v>
      </c>
      <c r="AO243" s="318">
        <f t="shared" si="212"/>
        <v>0</v>
      </c>
      <c r="AP243" s="318">
        <f t="shared" si="213"/>
        <v>0</v>
      </c>
      <c r="AQ243" s="318">
        <f t="shared" si="214"/>
        <v>0</v>
      </c>
      <c r="AR243" s="318">
        <f t="shared" si="187"/>
        <v>0</v>
      </c>
      <c r="AS243" s="318">
        <f t="shared" si="188"/>
        <v>0</v>
      </c>
      <c r="AT243" s="318">
        <f t="shared" si="215"/>
        <v>0</v>
      </c>
      <c r="AU243" s="318">
        <f t="shared" si="216"/>
        <v>0</v>
      </c>
      <c r="AV243" s="318">
        <f t="shared" si="217"/>
        <v>0</v>
      </c>
      <c r="AW243" s="318">
        <f t="shared" si="218"/>
        <v>0</v>
      </c>
      <c r="AX243" s="318">
        <f t="shared" si="189"/>
        <v>0</v>
      </c>
      <c r="AY243" s="318">
        <f t="shared" si="190"/>
        <v>0</v>
      </c>
      <c r="AZ243" s="318">
        <f t="shared" si="191"/>
        <v>0</v>
      </c>
      <c r="BA243" s="318">
        <f t="shared" si="192"/>
        <v>0</v>
      </c>
    </row>
    <row r="244" spans="1:53" s="315" customFormat="1" ht="16.5" customHeight="1">
      <c r="A244" s="63" t="str">
        <f t="array" ref="A244">IF(C244&lt;&gt;0,SUM(($C$11:C244&lt;&gt;0)*1),"")</f>
        <v/>
      </c>
      <c r="B244" s="316"/>
      <c r="C244" s="316"/>
      <c r="D244" s="316"/>
      <c r="E244" s="436"/>
      <c r="F244" s="372"/>
      <c r="G244" s="374"/>
      <c r="H244" s="374"/>
      <c r="I244" s="63" t="str">
        <f t="shared" si="219"/>
        <v/>
      </c>
      <c r="J244" s="318">
        <f t="shared" si="181"/>
        <v>0</v>
      </c>
      <c r="K244" s="318">
        <f t="shared" si="182"/>
        <v>0</v>
      </c>
      <c r="L244" s="318">
        <f t="shared" si="193"/>
        <v>0</v>
      </c>
      <c r="M244" s="318">
        <f t="shared" si="194"/>
        <v>0</v>
      </c>
      <c r="N244" s="318">
        <f t="shared" si="174"/>
        <v>0</v>
      </c>
      <c r="O244" s="318">
        <f t="shared" si="175"/>
        <v>0</v>
      </c>
      <c r="P244" s="318">
        <f t="shared" si="195"/>
        <v>0</v>
      </c>
      <c r="Q244" s="318">
        <f t="shared" si="196"/>
        <v>0</v>
      </c>
      <c r="R244" s="318">
        <f t="shared" si="197"/>
        <v>0</v>
      </c>
      <c r="S244" s="318">
        <f t="shared" si="198"/>
        <v>0</v>
      </c>
      <c r="T244" s="318">
        <f t="shared" si="176"/>
        <v>0</v>
      </c>
      <c r="U244" s="318">
        <f t="shared" si="177"/>
        <v>0</v>
      </c>
      <c r="V244" s="318">
        <f t="shared" si="199"/>
        <v>0</v>
      </c>
      <c r="W244" s="318">
        <f t="shared" si="200"/>
        <v>0</v>
      </c>
      <c r="X244" s="318">
        <f t="shared" si="201"/>
        <v>0</v>
      </c>
      <c r="Y244" s="318">
        <f t="shared" si="202"/>
        <v>0</v>
      </c>
      <c r="Z244" s="318">
        <f t="shared" si="183"/>
        <v>0</v>
      </c>
      <c r="AA244" s="318">
        <f t="shared" si="184"/>
        <v>0</v>
      </c>
      <c r="AB244" s="318">
        <f t="shared" si="203"/>
        <v>0</v>
      </c>
      <c r="AC244" s="318">
        <f t="shared" si="204"/>
        <v>0</v>
      </c>
      <c r="AD244" s="318">
        <f t="shared" si="185"/>
        <v>0</v>
      </c>
      <c r="AE244" s="318">
        <f t="shared" si="186"/>
        <v>0</v>
      </c>
      <c r="AF244" s="318">
        <f t="shared" si="178"/>
        <v>0</v>
      </c>
      <c r="AG244" s="318">
        <f t="shared" si="179"/>
        <v>0</v>
      </c>
      <c r="AH244" s="318">
        <f t="shared" si="205"/>
        <v>0</v>
      </c>
      <c r="AI244" s="318">
        <f t="shared" si="206"/>
        <v>0</v>
      </c>
      <c r="AJ244" s="318">
        <f t="shared" si="207"/>
        <v>0</v>
      </c>
      <c r="AK244" s="318">
        <f t="shared" si="208"/>
        <v>0</v>
      </c>
      <c r="AL244" s="318">
        <f t="shared" si="209"/>
        <v>0</v>
      </c>
      <c r="AM244" s="318">
        <f t="shared" si="210"/>
        <v>0</v>
      </c>
      <c r="AN244" s="318">
        <f t="shared" si="211"/>
        <v>0</v>
      </c>
      <c r="AO244" s="318">
        <f t="shared" si="212"/>
        <v>0</v>
      </c>
      <c r="AP244" s="318">
        <f t="shared" si="213"/>
        <v>0</v>
      </c>
      <c r="AQ244" s="318">
        <f t="shared" si="214"/>
        <v>0</v>
      </c>
      <c r="AR244" s="318">
        <f t="shared" si="187"/>
        <v>0</v>
      </c>
      <c r="AS244" s="318">
        <f t="shared" si="188"/>
        <v>0</v>
      </c>
      <c r="AT244" s="318">
        <f t="shared" si="215"/>
        <v>0</v>
      </c>
      <c r="AU244" s="318">
        <f t="shared" si="216"/>
        <v>0</v>
      </c>
      <c r="AV244" s="318">
        <f t="shared" si="217"/>
        <v>0</v>
      </c>
      <c r="AW244" s="318">
        <f t="shared" si="218"/>
        <v>0</v>
      </c>
      <c r="AX244" s="318">
        <f t="shared" si="189"/>
        <v>0</v>
      </c>
      <c r="AY244" s="318">
        <f t="shared" si="190"/>
        <v>0</v>
      </c>
      <c r="AZ244" s="318">
        <f t="shared" si="191"/>
        <v>0</v>
      </c>
      <c r="BA244" s="318">
        <f t="shared" si="192"/>
        <v>0</v>
      </c>
    </row>
    <row r="245" spans="1:53" s="315" customFormat="1" ht="16.5" customHeight="1">
      <c r="A245" s="63" t="str">
        <f t="array" ref="A245">IF(C245&lt;&gt;0,SUM(($C$11:C245&lt;&gt;0)*1),"")</f>
        <v/>
      </c>
      <c r="B245" s="316"/>
      <c r="C245" s="316"/>
      <c r="D245" s="316"/>
      <c r="E245" s="436"/>
      <c r="F245" s="372"/>
      <c r="G245" s="374"/>
      <c r="H245" s="374"/>
      <c r="I245" s="63" t="str">
        <f t="shared" si="219"/>
        <v/>
      </c>
      <c r="J245" s="318">
        <f t="shared" si="181"/>
        <v>0</v>
      </c>
      <c r="K245" s="318">
        <f t="shared" si="182"/>
        <v>0</v>
      </c>
      <c r="L245" s="318">
        <f t="shared" si="193"/>
        <v>0</v>
      </c>
      <c r="M245" s="318">
        <f t="shared" si="194"/>
        <v>0</v>
      </c>
      <c r="N245" s="318">
        <f t="shared" si="174"/>
        <v>0</v>
      </c>
      <c r="O245" s="318">
        <f t="shared" si="175"/>
        <v>0</v>
      </c>
      <c r="P245" s="318">
        <f t="shared" si="195"/>
        <v>0</v>
      </c>
      <c r="Q245" s="318">
        <f t="shared" si="196"/>
        <v>0</v>
      </c>
      <c r="R245" s="318">
        <f t="shared" si="197"/>
        <v>0</v>
      </c>
      <c r="S245" s="318">
        <f t="shared" si="198"/>
        <v>0</v>
      </c>
      <c r="T245" s="318">
        <f t="shared" si="176"/>
        <v>0</v>
      </c>
      <c r="U245" s="318">
        <f t="shared" si="177"/>
        <v>0</v>
      </c>
      <c r="V245" s="318">
        <f t="shared" si="199"/>
        <v>0</v>
      </c>
      <c r="W245" s="318">
        <f t="shared" si="200"/>
        <v>0</v>
      </c>
      <c r="X245" s="318">
        <f t="shared" si="201"/>
        <v>0</v>
      </c>
      <c r="Y245" s="318">
        <f t="shared" si="202"/>
        <v>0</v>
      </c>
      <c r="Z245" s="318">
        <f t="shared" si="183"/>
        <v>0</v>
      </c>
      <c r="AA245" s="318">
        <f t="shared" si="184"/>
        <v>0</v>
      </c>
      <c r="AB245" s="318">
        <f t="shared" si="203"/>
        <v>0</v>
      </c>
      <c r="AC245" s="318">
        <f t="shared" si="204"/>
        <v>0</v>
      </c>
      <c r="AD245" s="318">
        <f t="shared" si="185"/>
        <v>0</v>
      </c>
      <c r="AE245" s="318">
        <f t="shared" si="186"/>
        <v>0</v>
      </c>
      <c r="AF245" s="318">
        <f t="shared" si="178"/>
        <v>0</v>
      </c>
      <c r="AG245" s="318">
        <f t="shared" si="179"/>
        <v>0</v>
      </c>
      <c r="AH245" s="318">
        <f t="shared" si="205"/>
        <v>0</v>
      </c>
      <c r="AI245" s="318">
        <f t="shared" si="206"/>
        <v>0</v>
      </c>
      <c r="AJ245" s="318">
        <f t="shared" si="207"/>
        <v>0</v>
      </c>
      <c r="AK245" s="318">
        <f t="shared" si="208"/>
        <v>0</v>
      </c>
      <c r="AL245" s="318">
        <f t="shared" si="209"/>
        <v>0</v>
      </c>
      <c r="AM245" s="318">
        <f t="shared" si="210"/>
        <v>0</v>
      </c>
      <c r="AN245" s="318">
        <f t="shared" si="211"/>
        <v>0</v>
      </c>
      <c r="AO245" s="318">
        <f t="shared" si="212"/>
        <v>0</v>
      </c>
      <c r="AP245" s="318">
        <f t="shared" si="213"/>
        <v>0</v>
      </c>
      <c r="AQ245" s="318">
        <f t="shared" si="214"/>
        <v>0</v>
      </c>
      <c r="AR245" s="318">
        <f t="shared" si="187"/>
        <v>0</v>
      </c>
      <c r="AS245" s="318">
        <f t="shared" si="188"/>
        <v>0</v>
      </c>
      <c r="AT245" s="318">
        <f t="shared" si="215"/>
        <v>0</v>
      </c>
      <c r="AU245" s="318">
        <f t="shared" si="216"/>
        <v>0</v>
      </c>
      <c r="AV245" s="318">
        <f t="shared" si="217"/>
        <v>0</v>
      </c>
      <c r="AW245" s="318">
        <f t="shared" si="218"/>
        <v>0</v>
      </c>
      <c r="AX245" s="318">
        <f t="shared" si="189"/>
        <v>0</v>
      </c>
      <c r="AY245" s="318">
        <f t="shared" si="190"/>
        <v>0</v>
      </c>
      <c r="AZ245" s="318">
        <f t="shared" si="191"/>
        <v>0</v>
      </c>
      <c r="BA245" s="318">
        <f t="shared" si="192"/>
        <v>0</v>
      </c>
    </row>
    <row r="246" spans="1:53" s="315" customFormat="1" ht="16.5" customHeight="1">
      <c r="A246" s="63" t="str">
        <f t="array" ref="A246">IF(C246&lt;&gt;0,SUM(($C$11:C246&lt;&gt;0)*1),"")</f>
        <v/>
      </c>
      <c r="B246" s="316"/>
      <c r="C246" s="316"/>
      <c r="D246" s="316"/>
      <c r="E246" s="436"/>
      <c r="F246" s="372"/>
      <c r="G246" s="374"/>
      <c r="H246" s="374"/>
      <c r="I246" s="63" t="str">
        <f t="shared" si="219"/>
        <v/>
      </c>
      <c r="J246" s="318">
        <f t="shared" si="181"/>
        <v>0</v>
      </c>
      <c r="K246" s="318">
        <f t="shared" si="182"/>
        <v>0</v>
      </c>
      <c r="L246" s="318">
        <f t="shared" si="193"/>
        <v>0</v>
      </c>
      <c r="M246" s="318">
        <f t="shared" si="194"/>
        <v>0</v>
      </c>
      <c r="N246" s="318">
        <f t="shared" si="174"/>
        <v>0</v>
      </c>
      <c r="O246" s="318">
        <f t="shared" si="175"/>
        <v>0</v>
      </c>
      <c r="P246" s="318">
        <f t="shared" si="195"/>
        <v>0</v>
      </c>
      <c r="Q246" s="318">
        <f t="shared" si="196"/>
        <v>0</v>
      </c>
      <c r="R246" s="318">
        <f t="shared" si="197"/>
        <v>0</v>
      </c>
      <c r="S246" s="318">
        <f t="shared" si="198"/>
        <v>0</v>
      </c>
      <c r="T246" s="318">
        <f t="shared" si="176"/>
        <v>0</v>
      </c>
      <c r="U246" s="318">
        <f t="shared" si="177"/>
        <v>0</v>
      </c>
      <c r="V246" s="318">
        <f t="shared" si="199"/>
        <v>0</v>
      </c>
      <c r="W246" s="318">
        <f t="shared" si="200"/>
        <v>0</v>
      </c>
      <c r="X246" s="318">
        <f t="shared" si="201"/>
        <v>0</v>
      </c>
      <c r="Y246" s="318">
        <f t="shared" si="202"/>
        <v>0</v>
      </c>
      <c r="Z246" s="318">
        <f t="shared" si="183"/>
        <v>0</v>
      </c>
      <c r="AA246" s="318">
        <f t="shared" si="184"/>
        <v>0</v>
      </c>
      <c r="AB246" s="318">
        <f t="shared" si="203"/>
        <v>0</v>
      </c>
      <c r="AC246" s="318">
        <f t="shared" si="204"/>
        <v>0</v>
      </c>
      <c r="AD246" s="318">
        <f t="shared" si="185"/>
        <v>0</v>
      </c>
      <c r="AE246" s="318">
        <f t="shared" si="186"/>
        <v>0</v>
      </c>
      <c r="AF246" s="318">
        <f t="shared" si="178"/>
        <v>0</v>
      </c>
      <c r="AG246" s="318">
        <f t="shared" si="179"/>
        <v>0</v>
      </c>
      <c r="AH246" s="318">
        <f t="shared" si="205"/>
        <v>0</v>
      </c>
      <c r="AI246" s="318">
        <f t="shared" si="206"/>
        <v>0</v>
      </c>
      <c r="AJ246" s="318">
        <f t="shared" si="207"/>
        <v>0</v>
      </c>
      <c r="AK246" s="318">
        <f t="shared" si="208"/>
        <v>0</v>
      </c>
      <c r="AL246" s="318">
        <f t="shared" si="209"/>
        <v>0</v>
      </c>
      <c r="AM246" s="318">
        <f t="shared" si="210"/>
        <v>0</v>
      </c>
      <c r="AN246" s="318">
        <f t="shared" si="211"/>
        <v>0</v>
      </c>
      <c r="AO246" s="318">
        <f t="shared" si="212"/>
        <v>0</v>
      </c>
      <c r="AP246" s="318">
        <f t="shared" si="213"/>
        <v>0</v>
      </c>
      <c r="AQ246" s="318">
        <f t="shared" si="214"/>
        <v>0</v>
      </c>
      <c r="AR246" s="318">
        <f t="shared" si="187"/>
        <v>0</v>
      </c>
      <c r="AS246" s="318">
        <f t="shared" si="188"/>
        <v>0</v>
      </c>
      <c r="AT246" s="318">
        <f t="shared" si="215"/>
        <v>0</v>
      </c>
      <c r="AU246" s="318">
        <f t="shared" si="216"/>
        <v>0</v>
      </c>
      <c r="AV246" s="318">
        <f t="shared" si="217"/>
        <v>0</v>
      </c>
      <c r="AW246" s="318">
        <f t="shared" si="218"/>
        <v>0</v>
      </c>
      <c r="AX246" s="318">
        <f t="shared" si="189"/>
        <v>0</v>
      </c>
      <c r="AY246" s="318">
        <f t="shared" si="190"/>
        <v>0</v>
      </c>
      <c r="AZ246" s="318">
        <f t="shared" si="191"/>
        <v>0</v>
      </c>
      <c r="BA246" s="318">
        <f t="shared" si="192"/>
        <v>0</v>
      </c>
    </row>
    <row r="247" spans="1:53" s="315" customFormat="1" ht="16.5" customHeight="1">
      <c r="A247" s="63" t="str">
        <f t="array" ref="A247">IF(C247&lt;&gt;0,SUM(($C$11:C247&lt;&gt;0)*1),"")</f>
        <v/>
      </c>
      <c r="B247" s="316"/>
      <c r="C247" s="316"/>
      <c r="D247" s="316"/>
      <c r="E247" s="436"/>
      <c r="F247" s="372"/>
      <c r="G247" s="374"/>
      <c r="H247" s="374"/>
      <c r="I247" s="63" t="str">
        <f t="shared" si="219"/>
        <v/>
      </c>
      <c r="J247" s="318">
        <f t="shared" si="181"/>
        <v>0</v>
      </c>
      <c r="K247" s="318">
        <f t="shared" si="182"/>
        <v>0</v>
      </c>
      <c r="L247" s="318">
        <f t="shared" si="193"/>
        <v>0</v>
      </c>
      <c r="M247" s="318">
        <f t="shared" si="194"/>
        <v>0</v>
      </c>
      <c r="N247" s="318">
        <f t="shared" si="174"/>
        <v>0</v>
      </c>
      <c r="O247" s="318">
        <f t="shared" si="175"/>
        <v>0</v>
      </c>
      <c r="P247" s="318">
        <f t="shared" si="195"/>
        <v>0</v>
      </c>
      <c r="Q247" s="318">
        <f t="shared" si="196"/>
        <v>0</v>
      </c>
      <c r="R247" s="318">
        <f t="shared" si="197"/>
        <v>0</v>
      </c>
      <c r="S247" s="318">
        <f t="shared" si="198"/>
        <v>0</v>
      </c>
      <c r="T247" s="318">
        <f t="shared" si="176"/>
        <v>0</v>
      </c>
      <c r="U247" s="318">
        <f t="shared" si="177"/>
        <v>0</v>
      </c>
      <c r="V247" s="318">
        <f t="shared" si="199"/>
        <v>0</v>
      </c>
      <c r="W247" s="318">
        <f t="shared" si="200"/>
        <v>0</v>
      </c>
      <c r="X247" s="318">
        <f t="shared" si="201"/>
        <v>0</v>
      </c>
      <c r="Y247" s="318">
        <f t="shared" si="202"/>
        <v>0</v>
      </c>
      <c r="Z247" s="318">
        <f t="shared" si="183"/>
        <v>0</v>
      </c>
      <c r="AA247" s="318">
        <f t="shared" si="184"/>
        <v>0</v>
      </c>
      <c r="AB247" s="318">
        <f t="shared" si="203"/>
        <v>0</v>
      </c>
      <c r="AC247" s="318">
        <f t="shared" si="204"/>
        <v>0</v>
      </c>
      <c r="AD247" s="318">
        <f t="shared" si="185"/>
        <v>0</v>
      </c>
      <c r="AE247" s="318">
        <f t="shared" si="186"/>
        <v>0</v>
      </c>
      <c r="AF247" s="318">
        <f t="shared" si="178"/>
        <v>0</v>
      </c>
      <c r="AG247" s="318">
        <f t="shared" si="179"/>
        <v>0</v>
      </c>
      <c r="AH247" s="318">
        <f t="shared" si="205"/>
        <v>0</v>
      </c>
      <c r="AI247" s="318">
        <f t="shared" si="206"/>
        <v>0</v>
      </c>
      <c r="AJ247" s="318">
        <f t="shared" si="207"/>
        <v>0</v>
      </c>
      <c r="AK247" s="318">
        <f t="shared" si="208"/>
        <v>0</v>
      </c>
      <c r="AL247" s="318">
        <f t="shared" si="209"/>
        <v>0</v>
      </c>
      <c r="AM247" s="318">
        <f t="shared" si="210"/>
        <v>0</v>
      </c>
      <c r="AN247" s="318">
        <f t="shared" si="211"/>
        <v>0</v>
      </c>
      <c r="AO247" s="318">
        <f t="shared" si="212"/>
        <v>0</v>
      </c>
      <c r="AP247" s="318">
        <f t="shared" si="213"/>
        <v>0</v>
      </c>
      <c r="AQ247" s="318">
        <f t="shared" si="214"/>
        <v>0</v>
      </c>
      <c r="AR247" s="318">
        <f t="shared" si="187"/>
        <v>0</v>
      </c>
      <c r="AS247" s="318">
        <f t="shared" si="188"/>
        <v>0</v>
      </c>
      <c r="AT247" s="318">
        <f t="shared" si="215"/>
        <v>0</v>
      </c>
      <c r="AU247" s="318">
        <f t="shared" si="216"/>
        <v>0</v>
      </c>
      <c r="AV247" s="318">
        <f t="shared" si="217"/>
        <v>0</v>
      </c>
      <c r="AW247" s="318">
        <f t="shared" si="218"/>
        <v>0</v>
      </c>
      <c r="AX247" s="318">
        <f t="shared" si="189"/>
        <v>0</v>
      </c>
      <c r="AY247" s="318">
        <f t="shared" si="190"/>
        <v>0</v>
      </c>
      <c r="AZ247" s="318">
        <f t="shared" si="191"/>
        <v>0</v>
      </c>
      <c r="BA247" s="318">
        <f t="shared" si="192"/>
        <v>0</v>
      </c>
    </row>
    <row r="248" spans="1:53" s="315" customFormat="1" ht="16.5" customHeight="1">
      <c r="A248" s="63" t="str">
        <f t="array" ref="A248">IF(C248&lt;&gt;0,SUM(($C$11:C248&lt;&gt;0)*1),"")</f>
        <v/>
      </c>
      <c r="B248" s="316"/>
      <c r="C248" s="316"/>
      <c r="D248" s="316"/>
      <c r="E248" s="436"/>
      <c r="F248" s="372"/>
      <c r="G248" s="374"/>
      <c r="H248" s="374"/>
      <c r="I248" s="63" t="str">
        <f t="shared" si="219"/>
        <v/>
      </c>
      <c r="J248" s="318">
        <f t="shared" si="181"/>
        <v>0</v>
      </c>
      <c r="K248" s="318">
        <f t="shared" si="182"/>
        <v>0</v>
      </c>
      <c r="L248" s="318">
        <f t="shared" si="193"/>
        <v>0</v>
      </c>
      <c r="M248" s="318">
        <f t="shared" si="194"/>
        <v>0</v>
      </c>
      <c r="N248" s="318">
        <f t="shared" si="174"/>
        <v>0</v>
      </c>
      <c r="O248" s="318">
        <f t="shared" si="175"/>
        <v>0</v>
      </c>
      <c r="P248" s="318">
        <f t="shared" si="195"/>
        <v>0</v>
      </c>
      <c r="Q248" s="318">
        <f t="shared" si="196"/>
        <v>0</v>
      </c>
      <c r="R248" s="318">
        <f t="shared" si="197"/>
        <v>0</v>
      </c>
      <c r="S248" s="318">
        <f t="shared" si="198"/>
        <v>0</v>
      </c>
      <c r="T248" s="318">
        <f t="shared" si="176"/>
        <v>0</v>
      </c>
      <c r="U248" s="318">
        <f t="shared" si="177"/>
        <v>0</v>
      </c>
      <c r="V248" s="318">
        <f t="shared" si="199"/>
        <v>0</v>
      </c>
      <c r="W248" s="318">
        <f t="shared" si="200"/>
        <v>0</v>
      </c>
      <c r="X248" s="318">
        <f t="shared" si="201"/>
        <v>0</v>
      </c>
      <c r="Y248" s="318">
        <f t="shared" si="202"/>
        <v>0</v>
      </c>
      <c r="Z248" s="318">
        <f t="shared" si="183"/>
        <v>0</v>
      </c>
      <c r="AA248" s="318">
        <f t="shared" si="184"/>
        <v>0</v>
      </c>
      <c r="AB248" s="318">
        <f t="shared" si="203"/>
        <v>0</v>
      </c>
      <c r="AC248" s="318">
        <f t="shared" si="204"/>
        <v>0</v>
      </c>
      <c r="AD248" s="318">
        <f t="shared" si="185"/>
        <v>0</v>
      </c>
      <c r="AE248" s="318">
        <f t="shared" si="186"/>
        <v>0</v>
      </c>
      <c r="AF248" s="318">
        <f t="shared" si="178"/>
        <v>0</v>
      </c>
      <c r="AG248" s="318">
        <f t="shared" si="179"/>
        <v>0</v>
      </c>
      <c r="AH248" s="318">
        <f t="shared" si="205"/>
        <v>0</v>
      </c>
      <c r="AI248" s="318">
        <f t="shared" si="206"/>
        <v>0</v>
      </c>
      <c r="AJ248" s="318">
        <f t="shared" si="207"/>
        <v>0</v>
      </c>
      <c r="AK248" s="318">
        <f t="shared" si="208"/>
        <v>0</v>
      </c>
      <c r="AL248" s="318">
        <f t="shared" si="209"/>
        <v>0</v>
      </c>
      <c r="AM248" s="318">
        <f t="shared" si="210"/>
        <v>0</v>
      </c>
      <c r="AN248" s="318">
        <f t="shared" si="211"/>
        <v>0</v>
      </c>
      <c r="AO248" s="318">
        <f t="shared" si="212"/>
        <v>0</v>
      </c>
      <c r="AP248" s="318">
        <f t="shared" si="213"/>
        <v>0</v>
      </c>
      <c r="AQ248" s="318">
        <f t="shared" si="214"/>
        <v>0</v>
      </c>
      <c r="AR248" s="318">
        <f t="shared" si="187"/>
        <v>0</v>
      </c>
      <c r="AS248" s="318">
        <f t="shared" si="188"/>
        <v>0</v>
      </c>
      <c r="AT248" s="318">
        <f t="shared" si="215"/>
        <v>0</v>
      </c>
      <c r="AU248" s="318">
        <f t="shared" si="216"/>
        <v>0</v>
      </c>
      <c r="AV248" s="318">
        <f t="shared" si="217"/>
        <v>0</v>
      </c>
      <c r="AW248" s="318">
        <f t="shared" si="218"/>
        <v>0</v>
      </c>
      <c r="AX248" s="318">
        <f t="shared" si="189"/>
        <v>0</v>
      </c>
      <c r="AY248" s="318">
        <f t="shared" si="190"/>
        <v>0</v>
      </c>
      <c r="AZ248" s="318">
        <f t="shared" si="191"/>
        <v>0</v>
      </c>
      <c r="BA248" s="318">
        <f t="shared" si="192"/>
        <v>0</v>
      </c>
    </row>
    <row r="249" spans="1:53" s="315" customFormat="1" ht="16.5" customHeight="1">
      <c r="A249" s="63" t="str">
        <f t="array" ref="A249">IF(C249&lt;&gt;0,SUM(($C$11:C249&lt;&gt;0)*1),"")</f>
        <v/>
      </c>
      <c r="B249" s="316"/>
      <c r="C249" s="316"/>
      <c r="D249" s="316"/>
      <c r="E249" s="436"/>
      <c r="F249" s="372"/>
      <c r="G249" s="374"/>
      <c r="H249" s="374"/>
      <c r="I249" s="63" t="str">
        <f t="shared" si="219"/>
        <v/>
      </c>
      <c r="J249" s="318">
        <f t="shared" si="181"/>
        <v>0</v>
      </c>
      <c r="K249" s="318">
        <f t="shared" si="182"/>
        <v>0</v>
      </c>
      <c r="L249" s="318">
        <f t="shared" si="193"/>
        <v>0</v>
      </c>
      <c r="M249" s="318">
        <f t="shared" si="194"/>
        <v>0</v>
      </c>
      <c r="N249" s="318">
        <f t="shared" si="174"/>
        <v>0</v>
      </c>
      <c r="O249" s="318">
        <f t="shared" si="175"/>
        <v>0</v>
      </c>
      <c r="P249" s="318">
        <f t="shared" si="195"/>
        <v>0</v>
      </c>
      <c r="Q249" s="318">
        <f t="shared" si="196"/>
        <v>0</v>
      </c>
      <c r="R249" s="318">
        <f t="shared" si="197"/>
        <v>0</v>
      </c>
      <c r="S249" s="318">
        <f t="shared" si="198"/>
        <v>0</v>
      </c>
      <c r="T249" s="318">
        <f t="shared" si="176"/>
        <v>0</v>
      </c>
      <c r="U249" s="318">
        <f t="shared" si="177"/>
        <v>0</v>
      </c>
      <c r="V249" s="318">
        <f t="shared" si="199"/>
        <v>0</v>
      </c>
      <c r="W249" s="318">
        <f t="shared" si="200"/>
        <v>0</v>
      </c>
      <c r="X249" s="318">
        <f t="shared" si="201"/>
        <v>0</v>
      </c>
      <c r="Y249" s="318">
        <f t="shared" si="202"/>
        <v>0</v>
      </c>
      <c r="Z249" s="318">
        <f t="shared" si="183"/>
        <v>0</v>
      </c>
      <c r="AA249" s="318">
        <f t="shared" si="184"/>
        <v>0</v>
      </c>
      <c r="AB249" s="318">
        <f t="shared" si="203"/>
        <v>0</v>
      </c>
      <c r="AC249" s="318">
        <f t="shared" si="204"/>
        <v>0</v>
      </c>
      <c r="AD249" s="318">
        <f t="shared" si="185"/>
        <v>0</v>
      </c>
      <c r="AE249" s="318">
        <f t="shared" si="186"/>
        <v>0</v>
      </c>
      <c r="AF249" s="318">
        <f t="shared" si="178"/>
        <v>0</v>
      </c>
      <c r="AG249" s="318">
        <f t="shared" si="179"/>
        <v>0</v>
      </c>
      <c r="AH249" s="318">
        <f t="shared" si="205"/>
        <v>0</v>
      </c>
      <c r="AI249" s="318">
        <f t="shared" si="206"/>
        <v>0</v>
      </c>
      <c r="AJ249" s="318">
        <f t="shared" si="207"/>
        <v>0</v>
      </c>
      <c r="AK249" s="318">
        <f t="shared" si="208"/>
        <v>0</v>
      </c>
      <c r="AL249" s="318">
        <f t="shared" si="209"/>
        <v>0</v>
      </c>
      <c r="AM249" s="318">
        <f t="shared" si="210"/>
        <v>0</v>
      </c>
      <c r="AN249" s="318">
        <f t="shared" si="211"/>
        <v>0</v>
      </c>
      <c r="AO249" s="318">
        <f t="shared" si="212"/>
        <v>0</v>
      </c>
      <c r="AP249" s="318">
        <f t="shared" si="213"/>
        <v>0</v>
      </c>
      <c r="AQ249" s="318">
        <f t="shared" si="214"/>
        <v>0</v>
      </c>
      <c r="AR249" s="318">
        <f t="shared" si="187"/>
        <v>0</v>
      </c>
      <c r="AS249" s="318">
        <f t="shared" si="188"/>
        <v>0</v>
      </c>
      <c r="AT249" s="318">
        <f t="shared" si="215"/>
        <v>0</v>
      </c>
      <c r="AU249" s="318">
        <f t="shared" si="216"/>
        <v>0</v>
      </c>
      <c r="AV249" s="318">
        <f t="shared" si="217"/>
        <v>0</v>
      </c>
      <c r="AW249" s="318">
        <f t="shared" si="218"/>
        <v>0</v>
      </c>
      <c r="AX249" s="318">
        <f t="shared" si="189"/>
        <v>0</v>
      </c>
      <c r="AY249" s="318">
        <f t="shared" si="190"/>
        <v>0</v>
      </c>
      <c r="AZ249" s="318">
        <f t="shared" si="191"/>
        <v>0</v>
      </c>
      <c r="BA249" s="318">
        <f t="shared" si="192"/>
        <v>0</v>
      </c>
    </row>
    <row r="250" spans="1:53" s="315" customFormat="1" ht="16.5" customHeight="1">
      <c r="A250" s="63" t="str">
        <f t="array" ref="A250">IF(C250&lt;&gt;0,SUM(($C$11:C250&lt;&gt;0)*1),"")</f>
        <v/>
      </c>
      <c r="B250" s="316"/>
      <c r="C250" s="316"/>
      <c r="D250" s="316"/>
      <c r="E250" s="436"/>
      <c r="F250" s="372"/>
      <c r="G250" s="374"/>
      <c r="H250" s="374"/>
      <c r="I250" s="63" t="str">
        <f t="shared" si="219"/>
        <v/>
      </c>
      <c r="J250" s="318">
        <f t="shared" si="181"/>
        <v>0</v>
      </c>
      <c r="K250" s="318">
        <f t="shared" si="182"/>
        <v>0</v>
      </c>
      <c r="L250" s="318">
        <f t="shared" si="193"/>
        <v>0</v>
      </c>
      <c r="M250" s="318">
        <f t="shared" si="194"/>
        <v>0</v>
      </c>
      <c r="N250" s="318">
        <f t="shared" si="174"/>
        <v>0</v>
      </c>
      <c r="O250" s="318">
        <f t="shared" si="175"/>
        <v>0</v>
      </c>
      <c r="P250" s="318">
        <f t="shared" si="195"/>
        <v>0</v>
      </c>
      <c r="Q250" s="318">
        <f t="shared" si="196"/>
        <v>0</v>
      </c>
      <c r="R250" s="318">
        <f t="shared" si="197"/>
        <v>0</v>
      </c>
      <c r="S250" s="318">
        <f t="shared" si="198"/>
        <v>0</v>
      </c>
      <c r="T250" s="318">
        <f t="shared" si="176"/>
        <v>0</v>
      </c>
      <c r="U250" s="318">
        <f t="shared" si="177"/>
        <v>0</v>
      </c>
      <c r="V250" s="318">
        <f t="shared" si="199"/>
        <v>0</v>
      </c>
      <c r="W250" s="318">
        <f t="shared" si="200"/>
        <v>0</v>
      </c>
      <c r="X250" s="318">
        <f t="shared" si="201"/>
        <v>0</v>
      </c>
      <c r="Y250" s="318">
        <f t="shared" si="202"/>
        <v>0</v>
      </c>
      <c r="Z250" s="318">
        <f t="shared" si="183"/>
        <v>0</v>
      </c>
      <c r="AA250" s="318">
        <f t="shared" si="184"/>
        <v>0</v>
      </c>
      <c r="AB250" s="318">
        <f t="shared" si="203"/>
        <v>0</v>
      </c>
      <c r="AC250" s="318">
        <f t="shared" si="204"/>
        <v>0</v>
      </c>
      <c r="AD250" s="318">
        <f t="shared" si="185"/>
        <v>0</v>
      </c>
      <c r="AE250" s="318">
        <f t="shared" si="186"/>
        <v>0</v>
      </c>
      <c r="AF250" s="318">
        <f t="shared" si="178"/>
        <v>0</v>
      </c>
      <c r="AG250" s="318">
        <f t="shared" si="179"/>
        <v>0</v>
      </c>
      <c r="AH250" s="318">
        <f t="shared" si="205"/>
        <v>0</v>
      </c>
      <c r="AI250" s="318">
        <f t="shared" si="206"/>
        <v>0</v>
      </c>
      <c r="AJ250" s="318">
        <f t="shared" si="207"/>
        <v>0</v>
      </c>
      <c r="AK250" s="318">
        <f t="shared" si="208"/>
        <v>0</v>
      </c>
      <c r="AL250" s="318">
        <f t="shared" si="209"/>
        <v>0</v>
      </c>
      <c r="AM250" s="318">
        <f t="shared" si="210"/>
        <v>0</v>
      </c>
      <c r="AN250" s="318">
        <f t="shared" si="211"/>
        <v>0</v>
      </c>
      <c r="AO250" s="318">
        <f t="shared" si="212"/>
        <v>0</v>
      </c>
      <c r="AP250" s="318">
        <f t="shared" si="213"/>
        <v>0</v>
      </c>
      <c r="AQ250" s="318">
        <f t="shared" si="214"/>
        <v>0</v>
      </c>
      <c r="AR250" s="318">
        <f t="shared" si="187"/>
        <v>0</v>
      </c>
      <c r="AS250" s="318">
        <f t="shared" si="188"/>
        <v>0</v>
      </c>
      <c r="AT250" s="318">
        <f t="shared" si="215"/>
        <v>0</v>
      </c>
      <c r="AU250" s="318">
        <f t="shared" si="216"/>
        <v>0</v>
      </c>
      <c r="AV250" s="318">
        <f t="shared" si="217"/>
        <v>0</v>
      </c>
      <c r="AW250" s="318">
        <f t="shared" si="218"/>
        <v>0</v>
      </c>
      <c r="AX250" s="318">
        <f t="shared" si="189"/>
        <v>0</v>
      </c>
      <c r="AY250" s="318">
        <f t="shared" si="190"/>
        <v>0</v>
      </c>
      <c r="AZ250" s="318">
        <f t="shared" si="191"/>
        <v>0</v>
      </c>
      <c r="BA250" s="318">
        <f t="shared" si="192"/>
        <v>0</v>
      </c>
    </row>
    <row r="251" spans="1:53" s="315" customFormat="1" ht="16.5" customHeight="1">
      <c r="A251" s="63" t="str">
        <f t="array" ref="A251">IF(C251&lt;&gt;0,SUM(($C$11:C251&lt;&gt;0)*1),"")</f>
        <v/>
      </c>
      <c r="B251" s="316"/>
      <c r="C251" s="316"/>
      <c r="D251" s="316"/>
      <c r="E251" s="436"/>
      <c r="F251" s="372"/>
      <c r="G251" s="374"/>
      <c r="H251" s="374"/>
      <c r="I251" s="63" t="str">
        <f t="shared" si="219"/>
        <v/>
      </c>
      <c r="J251" s="318">
        <f t="shared" si="181"/>
        <v>0</v>
      </c>
      <c r="K251" s="318">
        <f t="shared" si="182"/>
        <v>0</v>
      </c>
      <c r="L251" s="318">
        <f t="shared" si="193"/>
        <v>0</v>
      </c>
      <c r="M251" s="318">
        <f t="shared" si="194"/>
        <v>0</v>
      </c>
      <c r="N251" s="318">
        <f t="shared" si="174"/>
        <v>0</v>
      </c>
      <c r="O251" s="318">
        <f t="shared" si="175"/>
        <v>0</v>
      </c>
      <c r="P251" s="318">
        <f t="shared" si="195"/>
        <v>0</v>
      </c>
      <c r="Q251" s="318">
        <f t="shared" si="196"/>
        <v>0</v>
      </c>
      <c r="R251" s="318">
        <f t="shared" si="197"/>
        <v>0</v>
      </c>
      <c r="S251" s="318">
        <f t="shared" si="198"/>
        <v>0</v>
      </c>
      <c r="T251" s="318">
        <f t="shared" si="176"/>
        <v>0</v>
      </c>
      <c r="U251" s="318">
        <f t="shared" si="177"/>
        <v>0</v>
      </c>
      <c r="V251" s="318">
        <f t="shared" si="199"/>
        <v>0</v>
      </c>
      <c r="W251" s="318">
        <f t="shared" si="200"/>
        <v>0</v>
      </c>
      <c r="X251" s="318">
        <f t="shared" si="201"/>
        <v>0</v>
      </c>
      <c r="Y251" s="318">
        <f t="shared" si="202"/>
        <v>0</v>
      </c>
      <c r="Z251" s="318">
        <f t="shared" si="183"/>
        <v>0</v>
      </c>
      <c r="AA251" s="318">
        <f t="shared" si="184"/>
        <v>0</v>
      </c>
      <c r="AB251" s="318">
        <f t="shared" si="203"/>
        <v>0</v>
      </c>
      <c r="AC251" s="318">
        <f t="shared" si="204"/>
        <v>0</v>
      </c>
      <c r="AD251" s="318">
        <f t="shared" si="185"/>
        <v>0</v>
      </c>
      <c r="AE251" s="318">
        <f t="shared" si="186"/>
        <v>0</v>
      </c>
      <c r="AF251" s="318">
        <f t="shared" si="178"/>
        <v>0</v>
      </c>
      <c r="AG251" s="318">
        <f t="shared" si="179"/>
        <v>0</v>
      </c>
      <c r="AH251" s="318">
        <f t="shared" si="205"/>
        <v>0</v>
      </c>
      <c r="AI251" s="318">
        <f t="shared" si="206"/>
        <v>0</v>
      </c>
      <c r="AJ251" s="318">
        <f t="shared" si="207"/>
        <v>0</v>
      </c>
      <c r="AK251" s="318">
        <f t="shared" si="208"/>
        <v>0</v>
      </c>
      <c r="AL251" s="318">
        <f t="shared" si="209"/>
        <v>0</v>
      </c>
      <c r="AM251" s="318">
        <f t="shared" si="210"/>
        <v>0</v>
      </c>
      <c r="AN251" s="318">
        <f t="shared" si="211"/>
        <v>0</v>
      </c>
      <c r="AO251" s="318">
        <f t="shared" si="212"/>
        <v>0</v>
      </c>
      <c r="AP251" s="318">
        <f t="shared" si="213"/>
        <v>0</v>
      </c>
      <c r="AQ251" s="318">
        <f t="shared" si="214"/>
        <v>0</v>
      </c>
      <c r="AR251" s="318">
        <f t="shared" si="187"/>
        <v>0</v>
      </c>
      <c r="AS251" s="318">
        <f t="shared" si="188"/>
        <v>0</v>
      </c>
      <c r="AT251" s="318">
        <f t="shared" si="215"/>
        <v>0</v>
      </c>
      <c r="AU251" s="318">
        <f t="shared" si="216"/>
        <v>0</v>
      </c>
      <c r="AV251" s="318">
        <f t="shared" si="217"/>
        <v>0</v>
      </c>
      <c r="AW251" s="318">
        <f t="shared" si="218"/>
        <v>0</v>
      </c>
      <c r="AX251" s="318">
        <f t="shared" si="189"/>
        <v>0</v>
      </c>
      <c r="AY251" s="318">
        <f t="shared" si="190"/>
        <v>0</v>
      </c>
      <c r="AZ251" s="318">
        <f t="shared" si="191"/>
        <v>0</v>
      </c>
      <c r="BA251" s="318">
        <f t="shared" si="192"/>
        <v>0</v>
      </c>
    </row>
    <row r="252" spans="1:53" s="315" customFormat="1" ht="16.5" customHeight="1">
      <c r="A252" s="63" t="str">
        <f t="array" ref="A252">IF(C252&lt;&gt;0,SUM(($C$11:C252&lt;&gt;0)*1),"")</f>
        <v/>
      </c>
      <c r="B252" s="316"/>
      <c r="C252" s="316"/>
      <c r="D252" s="316"/>
      <c r="E252" s="436"/>
      <c r="F252" s="372"/>
      <c r="G252" s="374"/>
      <c r="H252" s="374"/>
      <c r="I252" s="63" t="str">
        <f t="shared" si="219"/>
        <v/>
      </c>
      <c r="J252" s="318">
        <f t="shared" si="181"/>
        <v>0</v>
      </c>
      <c r="K252" s="318">
        <f t="shared" si="182"/>
        <v>0</v>
      </c>
      <c r="L252" s="318">
        <f t="shared" si="193"/>
        <v>0</v>
      </c>
      <c r="M252" s="318">
        <f t="shared" si="194"/>
        <v>0</v>
      </c>
      <c r="N252" s="318">
        <f t="shared" si="174"/>
        <v>0</v>
      </c>
      <c r="O252" s="318">
        <f t="shared" si="175"/>
        <v>0</v>
      </c>
      <c r="P252" s="318">
        <f t="shared" si="195"/>
        <v>0</v>
      </c>
      <c r="Q252" s="318">
        <f t="shared" si="196"/>
        <v>0</v>
      </c>
      <c r="R252" s="318">
        <f t="shared" si="197"/>
        <v>0</v>
      </c>
      <c r="S252" s="318">
        <f t="shared" si="198"/>
        <v>0</v>
      </c>
      <c r="T252" s="318">
        <f t="shared" si="176"/>
        <v>0</v>
      </c>
      <c r="U252" s="318">
        <f t="shared" si="177"/>
        <v>0</v>
      </c>
      <c r="V252" s="318">
        <f t="shared" si="199"/>
        <v>0</v>
      </c>
      <c r="W252" s="318">
        <f t="shared" si="200"/>
        <v>0</v>
      </c>
      <c r="X252" s="318">
        <f t="shared" si="201"/>
        <v>0</v>
      </c>
      <c r="Y252" s="318">
        <f t="shared" si="202"/>
        <v>0</v>
      </c>
      <c r="Z252" s="318">
        <f t="shared" si="183"/>
        <v>0</v>
      </c>
      <c r="AA252" s="318">
        <f t="shared" si="184"/>
        <v>0</v>
      </c>
      <c r="AB252" s="318">
        <f t="shared" si="203"/>
        <v>0</v>
      </c>
      <c r="AC252" s="318">
        <f t="shared" si="204"/>
        <v>0</v>
      </c>
      <c r="AD252" s="318">
        <f t="shared" si="185"/>
        <v>0</v>
      </c>
      <c r="AE252" s="318">
        <f t="shared" si="186"/>
        <v>0</v>
      </c>
      <c r="AF252" s="318">
        <f t="shared" si="178"/>
        <v>0</v>
      </c>
      <c r="AG252" s="318">
        <f t="shared" si="179"/>
        <v>0</v>
      </c>
      <c r="AH252" s="318">
        <f t="shared" si="205"/>
        <v>0</v>
      </c>
      <c r="AI252" s="318">
        <f t="shared" si="206"/>
        <v>0</v>
      </c>
      <c r="AJ252" s="318">
        <f t="shared" si="207"/>
        <v>0</v>
      </c>
      <c r="AK252" s="318">
        <f t="shared" si="208"/>
        <v>0</v>
      </c>
      <c r="AL252" s="318">
        <f t="shared" si="209"/>
        <v>0</v>
      </c>
      <c r="AM252" s="318">
        <f t="shared" si="210"/>
        <v>0</v>
      </c>
      <c r="AN252" s="318">
        <f t="shared" si="211"/>
        <v>0</v>
      </c>
      <c r="AO252" s="318">
        <f t="shared" si="212"/>
        <v>0</v>
      </c>
      <c r="AP252" s="318">
        <f t="shared" si="213"/>
        <v>0</v>
      </c>
      <c r="AQ252" s="318">
        <f t="shared" si="214"/>
        <v>0</v>
      </c>
      <c r="AR252" s="318">
        <f t="shared" si="187"/>
        <v>0</v>
      </c>
      <c r="AS252" s="318">
        <f t="shared" si="188"/>
        <v>0</v>
      </c>
      <c r="AT252" s="318">
        <f t="shared" si="215"/>
        <v>0</v>
      </c>
      <c r="AU252" s="318">
        <f t="shared" si="216"/>
        <v>0</v>
      </c>
      <c r="AV252" s="318">
        <f t="shared" si="217"/>
        <v>0</v>
      </c>
      <c r="AW252" s="318">
        <f t="shared" si="218"/>
        <v>0</v>
      </c>
      <c r="AX252" s="318">
        <f t="shared" si="189"/>
        <v>0</v>
      </c>
      <c r="AY252" s="318">
        <f t="shared" si="190"/>
        <v>0</v>
      </c>
      <c r="AZ252" s="318">
        <f t="shared" si="191"/>
        <v>0</v>
      </c>
      <c r="BA252" s="318">
        <f t="shared" si="192"/>
        <v>0</v>
      </c>
    </row>
    <row r="253" spans="1:53" s="315" customFormat="1" ht="16.5" customHeight="1">
      <c r="A253" s="63" t="str">
        <f t="array" ref="A253">IF(C253&lt;&gt;0,SUM(($C$11:C253&lt;&gt;0)*1),"")</f>
        <v/>
      </c>
      <c r="B253" s="316"/>
      <c r="C253" s="316"/>
      <c r="D253" s="316"/>
      <c r="E253" s="436"/>
      <c r="F253" s="372"/>
      <c r="G253" s="374"/>
      <c r="H253" s="374"/>
      <c r="I253" s="63" t="str">
        <f t="shared" si="219"/>
        <v/>
      </c>
      <c r="J253" s="318">
        <f t="shared" si="181"/>
        <v>0</v>
      </c>
      <c r="K253" s="318">
        <f t="shared" si="182"/>
        <v>0</v>
      </c>
      <c r="L253" s="318">
        <f t="shared" si="193"/>
        <v>0</v>
      </c>
      <c r="M253" s="318">
        <f t="shared" si="194"/>
        <v>0</v>
      </c>
      <c r="N253" s="318">
        <f t="shared" si="174"/>
        <v>0</v>
      </c>
      <c r="O253" s="318">
        <f t="shared" si="175"/>
        <v>0</v>
      </c>
      <c r="P253" s="318">
        <f t="shared" si="195"/>
        <v>0</v>
      </c>
      <c r="Q253" s="318">
        <f t="shared" si="196"/>
        <v>0</v>
      </c>
      <c r="R253" s="318">
        <f t="shared" si="197"/>
        <v>0</v>
      </c>
      <c r="S253" s="318">
        <f t="shared" si="198"/>
        <v>0</v>
      </c>
      <c r="T253" s="318">
        <f t="shared" si="176"/>
        <v>0</v>
      </c>
      <c r="U253" s="318">
        <f t="shared" si="177"/>
        <v>0</v>
      </c>
      <c r="V253" s="318">
        <f t="shared" si="199"/>
        <v>0</v>
      </c>
      <c r="W253" s="318">
        <f t="shared" si="200"/>
        <v>0</v>
      </c>
      <c r="X253" s="318">
        <f t="shared" si="201"/>
        <v>0</v>
      </c>
      <c r="Y253" s="318">
        <f t="shared" si="202"/>
        <v>0</v>
      </c>
      <c r="Z253" s="318">
        <f t="shared" si="183"/>
        <v>0</v>
      </c>
      <c r="AA253" s="318">
        <f t="shared" si="184"/>
        <v>0</v>
      </c>
      <c r="AB253" s="318">
        <f t="shared" si="203"/>
        <v>0</v>
      </c>
      <c r="AC253" s="318">
        <f t="shared" si="204"/>
        <v>0</v>
      </c>
      <c r="AD253" s="318">
        <f t="shared" si="185"/>
        <v>0</v>
      </c>
      <c r="AE253" s="318">
        <f t="shared" si="186"/>
        <v>0</v>
      </c>
      <c r="AF253" s="318">
        <f t="shared" si="178"/>
        <v>0</v>
      </c>
      <c r="AG253" s="318">
        <f t="shared" si="179"/>
        <v>0</v>
      </c>
      <c r="AH253" s="318">
        <f t="shared" si="205"/>
        <v>0</v>
      </c>
      <c r="AI253" s="318">
        <f t="shared" si="206"/>
        <v>0</v>
      </c>
      <c r="AJ253" s="318">
        <f t="shared" si="207"/>
        <v>0</v>
      </c>
      <c r="AK253" s="318">
        <f t="shared" si="208"/>
        <v>0</v>
      </c>
      <c r="AL253" s="318">
        <f t="shared" si="209"/>
        <v>0</v>
      </c>
      <c r="AM253" s="318">
        <f t="shared" si="210"/>
        <v>0</v>
      </c>
      <c r="AN253" s="318">
        <f t="shared" si="211"/>
        <v>0</v>
      </c>
      <c r="AO253" s="318">
        <f t="shared" si="212"/>
        <v>0</v>
      </c>
      <c r="AP253" s="318">
        <f t="shared" si="213"/>
        <v>0</v>
      </c>
      <c r="AQ253" s="318">
        <f t="shared" si="214"/>
        <v>0</v>
      </c>
      <c r="AR253" s="318">
        <f t="shared" si="187"/>
        <v>0</v>
      </c>
      <c r="AS253" s="318">
        <f t="shared" si="188"/>
        <v>0</v>
      </c>
      <c r="AT253" s="318">
        <f t="shared" si="215"/>
        <v>0</v>
      </c>
      <c r="AU253" s="318">
        <f t="shared" si="216"/>
        <v>0</v>
      </c>
      <c r="AV253" s="318">
        <f t="shared" si="217"/>
        <v>0</v>
      </c>
      <c r="AW253" s="318">
        <f t="shared" si="218"/>
        <v>0</v>
      </c>
      <c r="AX253" s="318">
        <f t="shared" si="189"/>
        <v>0</v>
      </c>
      <c r="AY253" s="318">
        <f t="shared" si="190"/>
        <v>0</v>
      </c>
      <c r="AZ253" s="318">
        <f t="shared" si="191"/>
        <v>0</v>
      </c>
      <c r="BA253" s="318">
        <f t="shared" si="192"/>
        <v>0</v>
      </c>
    </row>
    <row r="254" spans="1:53" s="315" customFormat="1" ht="16.5" customHeight="1">
      <c r="A254" s="63" t="str">
        <f t="array" ref="A254">IF(C254&lt;&gt;0,SUM(($C$11:C254&lt;&gt;0)*1),"")</f>
        <v/>
      </c>
      <c r="B254" s="316"/>
      <c r="C254" s="316"/>
      <c r="D254" s="316"/>
      <c r="E254" s="436"/>
      <c r="F254" s="372"/>
      <c r="G254" s="374"/>
      <c r="H254" s="374"/>
      <c r="I254" s="63" t="str">
        <f t="shared" si="219"/>
        <v/>
      </c>
      <c r="J254" s="318">
        <f t="shared" si="181"/>
        <v>0</v>
      </c>
      <c r="K254" s="318">
        <f t="shared" si="182"/>
        <v>0</v>
      </c>
      <c r="L254" s="318">
        <f t="shared" si="193"/>
        <v>0</v>
      </c>
      <c r="M254" s="318">
        <f t="shared" si="194"/>
        <v>0</v>
      </c>
      <c r="N254" s="318">
        <f t="shared" si="174"/>
        <v>0</v>
      </c>
      <c r="O254" s="318">
        <f t="shared" si="175"/>
        <v>0</v>
      </c>
      <c r="P254" s="318">
        <f t="shared" si="195"/>
        <v>0</v>
      </c>
      <c r="Q254" s="318">
        <f t="shared" si="196"/>
        <v>0</v>
      </c>
      <c r="R254" s="318">
        <f t="shared" si="197"/>
        <v>0</v>
      </c>
      <c r="S254" s="318">
        <f t="shared" si="198"/>
        <v>0</v>
      </c>
      <c r="T254" s="318">
        <f t="shared" si="176"/>
        <v>0</v>
      </c>
      <c r="U254" s="318">
        <f t="shared" si="177"/>
        <v>0</v>
      </c>
      <c r="V254" s="318">
        <f t="shared" si="199"/>
        <v>0</v>
      </c>
      <c r="W254" s="318">
        <f t="shared" si="200"/>
        <v>0</v>
      </c>
      <c r="X254" s="318">
        <f t="shared" si="201"/>
        <v>0</v>
      </c>
      <c r="Y254" s="318">
        <f t="shared" si="202"/>
        <v>0</v>
      </c>
      <c r="Z254" s="318">
        <f t="shared" si="183"/>
        <v>0</v>
      </c>
      <c r="AA254" s="318">
        <f t="shared" si="184"/>
        <v>0</v>
      </c>
      <c r="AB254" s="318">
        <f t="shared" si="203"/>
        <v>0</v>
      </c>
      <c r="AC254" s="318">
        <f t="shared" si="204"/>
        <v>0</v>
      </c>
      <c r="AD254" s="318">
        <f t="shared" si="185"/>
        <v>0</v>
      </c>
      <c r="AE254" s="318">
        <f t="shared" si="186"/>
        <v>0</v>
      </c>
      <c r="AF254" s="318">
        <f t="shared" si="178"/>
        <v>0</v>
      </c>
      <c r="AG254" s="318">
        <f t="shared" si="179"/>
        <v>0</v>
      </c>
      <c r="AH254" s="318">
        <f t="shared" si="205"/>
        <v>0</v>
      </c>
      <c r="AI254" s="318">
        <f t="shared" si="206"/>
        <v>0</v>
      </c>
      <c r="AJ254" s="318">
        <f t="shared" si="207"/>
        <v>0</v>
      </c>
      <c r="AK254" s="318">
        <f t="shared" si="208"/>
        <v>0</v>
      </c>
      <c r="AL254" s="318">
        <f t="shared" si="209"/>
        <v>0</v>
      </c>
      <c r="AM254" s="318">
        <f t="shared" si="210"/>
        <v>0</v>
      </c>
      <c r="AN254" s="318">
        <f t="shared" si="211"/>
        <v>0</v>
      </c>
      <c r="AO254" s="318">
        <f t="shared" si="212"/>
        <v>0</v>
      </c>
      <c r="AP254" s="318">
        <f t="shared" si="213"/>
        <v>0</v>
      </c>
      <c r="AQ254" s="318">
        <f t="shared" si="214"/>
        <v>0</v>
      </c>
      <c r="AR254" s="318">
        <f t="shared" si="187"/>
        <v>0</v>
      </c>
      <c r="AS254" s="318">
        <f t="shared" si="188"/>
        <v>0</v>
      </c>
      <c r="AT254" s="318">
        <f t="shared" si="215"/>
        <v>0</v>
      </c>
      <c r="AU254" s="318">
        <f t="shared" si="216"/>
        <v>0</v>
      </c>
      <c r="AV254" s="318">
        <f t="shared" si="217"/>
        <v>0</v>
      </c>
      <c r="AW254" s="318">
        <f t="shared" si="218"/>
        <v>0</v>
      </c>
      <c r="AX254" s="318">
        <f t="shared" si="189"/>
        <v>0</v>
      </c>
      <c r="AY254" s="318">
        <f t="shared" si="190"/>
        <v>0</v>
      </c>
      <c r="AZ254" s="318">
        <f t="shared" si="191"/>
        <v>0</v>
      </c>
      <c r="BA254" s="318">
        <f t="shared" si="192"/>
        <v>0</v>
      </c>
    </row>
    <row r="255" spans="1:53" s="315" customFormat="1" ht="16.5" customHeight="1">
      <c r="A255" s="63" t="str">
        <f t="array" ref="A255">IF(C255&lt;&gt;0,SUM(($C$11:C255&lt;&gt;0)*1),"")</f>
        <v/>
      </c>
      <c r="B255" s="316"/>
      <c r="C255" s="316"/>
      <c r="D255" s="316"/>
      <c r="E255" s="436"/>
      <c r="F255" s="372"/>
      <c r="G255" s="374"/>
      <c r="H255" s="374"/>
      <c r="I255" s="63" t="str">
        <f t="shared" si="219"/>
        <v/>
      </c>
      <c r="J255" s="318">
        <f t="shared" si="181"/>
        <v>0</v>
      </c>
      <c r="K255" s="318">
        <f t="shared" si="182"/>
        <v>0</v>
      </c>
      <c r="L255" s="318">
        <f t="shared" si="193"/>
        <v>0</v>
      </c>
      <c r="M255" s="318">
        <f t="shared" si="194"/>
        <v>0</v>
      </c>
      <c r="N255" s="318">
        <f t="shared" si="174"/>
        <v>0</v>
      </c>
      <c r="O255" s="318">
        <f t="shared" si="175"/>
        <v>0</v>
      </c>
      <c r="P255" s="318">
        <f t="shared" si="195"/>
        <v>0</v>
      </c>
      <c r="Q255" s="318">
        <f t="shared" si="196"/>
        <v>0</v>
      </c>
      <c r="R255" s="318">
        <f t="shared" si="197"/>
        <v>0</v>
      </c>
      <c r="S255" s="318">
        <f t="shared" si="198"/>
        <v>0</v>
      </c>
      <c r="T255" s="318">
        <f t="shared" si="176"/>
        <v>0</v>
      </c>
      <c r="U255" s="318">
        <f t="shared" si="177"/>
        <v>0</v>
      </c>
      <c r="V255" s="318">
        <f t="shared" si="199"/>
        <v>0</v>
      </c>
      <c r="W255" s="318">
        <f t="shared" si="200"/>
        <v>0</v>
      </c>
      <c r="X255" s="318">
        <f t="shared" si="201"/>
        <v>0</v>
      </c>
      <c r="Y255" s="318">
        <f t="shared" si="202"/>
        <v>0</v>
      </c>
      <c r="Z255" s="318">
        <f t="shared" si="183"/>
        <v>0</v>
      </c>
      <c r="AA255" s="318">
        <f t="shared" si="184"/>
        <v>0</v>
      </c>
      <c r="AB255" s="318">
        <f t="shared" si="203"/>
        <v>0</v>
      </c>
      <c r="AC255" s="318">
        <f t="shared" si="204"/>
        <v>0</v>
      </c>
      <c r="AD255" s="318">
        <f t="shared" si="185"/>
        <v>0</v>
      </c>
      <c r="AE255" s="318">
        <f t="shared" si="186"/>
        <v>0</v>
      </c>
      <c r="AF255" s="318">
        <f t="shared" si="178"/>
        <v>0</v>
      </c>
      <c r="AG255" s="318">
        <f t="shared" si="179"/>
        <v>0</v>
      </c>
      <c r="AH255" s="318">
        <f t="shared" si="205"/>
        <v>0</v>
      </c>
      <c r="AI255" s="318">
        <f t="shared" si="206"/>
        <v>0</v>
      </c>
      <c r="AJ255" s="318">
        <f t="shared" si="207"/>
        <v>0</v>
      </c>
      <c r="AK255" s="318">
        <f t="shared" si="208"/>
        <v>0</v>
      </c>
      <c r="AL255" s="318">
        <f t="shared" si="209"/>
        <v>0</v>
      </c>
      <c r="AM255" s="318">
        <f t="shared" si="210"/>
        <v>0</v>
      </c>
      <c r="AN255" s="318">
        <f t="shared" si="211"/>
        <v>0</v>
      </c>
      <c r="AO255" s="318">
        <f t="shared" si="212"/>
        <v>0</v>
      </c>
      <c r="AP255" s="318">
        <f t="shared" si="213"/>
        <v>0</v>
      </c>
      <c r="AQ255" s="318">
        <f t="shared" si="214"/>
        <v>0</v>
      </c>
      <c r="AR255" s="318">
        <f t="shared" si="187"/>
        <v>0</v>
      </c>
      <c r="AS255" s="318">
        <f t="shared" si="188"/>
        <v>0</v>
      </c>
      <c r="AT255" s="318">
        <f t="shared" si="215"/>
        <v>0</v>
      </c>
      <c r="AU255" s="318">
        <f t="shared" si="216"/>
        <v>0</v>
      </c>
      <c r="AV255" s="318">
        <f t="shared" si="217"/>
        <v>0</v>
      </c>
      <c r="AW255" s="318">
        <f t="shared" si="218"/>
        <v>0</v>
      </c>
      <c r="AX255" s="318">
        <f t="shared" si="189"/>
        <v>0</v>
      </c>
      <c r="AY255" s="318">
        <f t="shared" si="190"/>
        <v>0</v>
      </c>
      <c r="AZ255" s="318">
        <f t="shared" si="191"/>
        <v>0</v>
      </c>
      <c r="BA255" s="318">
        <f t="shared" si="192"/>
        <v>0</v>
      </c>
    </row>
    <row r="256" spans="1:53" s="315" customFormat="1" ht="16.5" customHeight="1">
      <c r="A256" s="63" t="str">
        <f t="array" ref="A256">IF(C256&lt;&gt;0,SUM(($C$11:C256&lt;&gt;0)*1),"")</f>
        <v/>
      </c>
      <c r="B256" s="316"/>
      <c r="C256" s="316"/>
      <c r="D256" s="316"/>
      <c r="E256" s="436"/>
      <c r="F256" s="372"/>
      <c r="G256" s="374"/>
      <c r="H256" s="374"/>
      <c r="I256" s="63" t="str">
        <f t="shared" si="219"/>
        <v/>
      </c>
      <c r="J256" s="318">
        <f t="shared" si="181"/>
        <v>0</v>
      </c>
      <c r="K256" s="318">
        <f t="shared" si="182"/>
        <v>0</v>
      </c>
      <c r="L256" s="318">
        <f t="shared" si="193"/>
        <v>0</v>
      </c>
      <c r="M256" s="318">
        <f t="shared" si="194"/>
        <v>0</v>
      </c>
      <c r="N256" s="318">
        <f t="shared" si="174"/>
        <v>0</v>
      </c>
      <c r="O256" s="318">
        <f t="shared" si="175"/>
        <v>0</v>
      </c>
      <c r="P256" s="318">
        <f t="shared" si="195"/>
        <v>0</v>
      </c>
      <c r="Q256" s="318">
        <f t="shared" si="196"/>
        <v>0</v>
      </c>
      <c r="R256" s="318">
        <f t="shared" si="197"/>
        <v>0</v>
      </c>
      <c r="S256" s="318">
        <f t="shared" si="198"/>
        <v>0</v>
      </c>
      <c r="T256" s="318">
        <f t="shared" si="176"/>
        <v>0</v>
      </c>
      <c r="U256" s="318">
        <f t="shared" si="177"/>
        <v>0</v>
      </c>
      <c r="V256" s="318">
        <f t="shared" si="199"/>
        <v>0</v>
      </c>
      <c r="W256" s="318">
        <f t="shared" si="200"/>
        <v>0</v>
      </c>
      <c r="X256" s="318">
        <f t="shared" si="201"/>
        <v>0</v>
      </c>
      <c r="Y256" s="318">
        <f t="shared" si="202"/>
        <v>0</v>
      </c>
      <c r="Z256" s="318">
        <f t="shared" si="183"/>
        <v>0</v>
      </c>
      <c r="AA256" s="318">
        <f t="shared" si="184"/>
        <v>0</v>
      </c>
      <c r="AB256" s="318">
        <f t="shared" si="203"/>
        <v>0</v>
      </c>
      <c r="AC256" s="318">
        <f t="shared" si="204"/>
        <v>0</v>
      </c>
      <c r="AD256" s="318">
        <f t="shared" si="185"/>
        <v>0</v>
      </c>
      <c r="AE256" s="318">
        <f t="shared" si="186"/>
        <v>0</v>
      </c>
      <c r="AF256" s="318">
        <f t="shared" si="178"/>
        <v>0</v>
      </c>
      <c r="AG256" s="318">
        <f t="shared" si="179"/>
        <v>0</v>
      </c>
      <c r="AH256" s="318">
        <f t="shared" si="205"/>
        <v>0</v>
      </c>
      <c r="AI256" s="318">
        <f t="shared" si="206"/>
        <v>0</v>
      </c>
      <c r="AJ256" s="318">
        <f t="shared" si="207"/>
        <v>0</v>
      </c>
      <c r="AK256" s="318">
        <f t="shared" si="208"/>
        <v>0</v>
      </c>
      <c r="AL256" s="318">
        <f t="shared" si="209"/>
        <v>0</v>
      </c>
      <c r="AM256" s="318">
        <f t="shared" si="210"/>
        <v>0</v>
      </c>
      <c r="AN256" s="318">
        <f t="shared" si="211"/>
        <v>0</v>
      </c>
      <c r="AO256" s="318">
        <f t="shared" si="212"/>
        <v>0</v>
      </c>
      <c r="AP256" s="318">
        <f t="shared" si="213"/>
        <v>0</v>
      </c>
      <c r="AQ256" s="318">
        <f t="shared" si="214"/>
        <v>0</v>
      </c>
      <c r="AR256" s="318">
        <f t="shared" si="187"/>
        <v>0</v>
      </c>
      <c r="AS256" s="318">
        <f t="shared" si="188"/>
        <v>0</v>
      </c>
      <c r="AT256" s="318">
        <f t="shared" si="215"/>
        <v>0</v>
      </c>
      <c r="AU256" s="318">
        <f t="shared" si="216"/>
        <v>0</v>
      </c>
      <c r="AV256" s="318">
        <f t="shared" si="217"/>
        <v>0</v>
      </c>
      <c r="AW256" s="318">
        <f t="shared" si="218"/>
        <v>0</v>
      </c>
      <c r="AX256" s="318">
        <f t="shared" si="189"/>
        <v>0</v>
      </c>
      <c r="AY256" s="318">
        <f t="shared" si="190"/>
        <v>0</v>
      </c>
      <c r="AZ256" s="318">
        <f t="shared" si="191"/>
        <v>0</v>
      </c>
      <c r="BA256" s="318">
        <f t="shared" si="192"/>
        <v>0</v>
      </c>
    </row>
    <row r="257" spans="1:53" s="315" customFormat="1" ht="16.5" customHeight="1">
      <c r="A257" s="63" t="str">
        <f t="array" ref="A257">IF(C257&lt;&gt;0,SUM(($C$11:C257&lt;&gt;0)*1),"")</f>
        <v/>
      </c>
      <c r="B257" s="316"/>
      <c r="C257" s="316"/>
      <c r="D257" s="316"/>
      <c r="E257" s="436"/>
      <c r="F257" s="372"/>
      <c r="G257" s="374"/>
      <c r="H257" s="374"/>
      <c r="I257" s="63" t="str">
        <f t="shared" si="219"/>
        <v/>
      </c>
      <c r="J257" s="318">
        <f t="shared" si="181"/>
        <v>0</v>
      </c>
      <c r="K257" s="318">
        <f t="shared" si="182"/>
        <v>0</v>
      </c>
      <c r="L257" s="318">
        <f t="shared" si="193"/>
        <v>0</v>
      </c>
      <c r="M257" s="318">
        <f t="shared" si="194"/>
        <v>0</v>
      </c>
      <c r="N257" s="318">
        <f t="shared" si="174"/>
        <v>0</v>
      </c>
      <c r="O257" s="318">
        <f t="shared" si="175"/>
        <v>0</v>
      </c>
      <c r="P257" s="318">
        <f t="shared" si="195"/>
        <v>0</v>
      </c>
      <c r="Q257" s="318">
        <f t="shared" si="196"/>
        <v>0</v>
      </c>
      <c r="R257" s="318">
        <f t="shared" si="197"/>
        <v>0</v>
      </c>
      <c r="S257" s="318">
        <f t="shared" si="198"/>
        <v>0</v>
      </c>
      <c r="T257" s="318">
        <f t="shared" si="176"/>
        <v>0</v>
      </c>
      <c r="U257" s="318">
        <f t="shared" si="177"/>
        <v>0</v>
      </c>
      <c r="V257" s="318">
        <f t="shared" si="199"/>
        <v>0</v>
      </c>
      <c r="W257" s="318">
        <f t="shared" si="200"/>
        <v>0</v>
      </c>
      <c r="X257" s="318">
        <f t="shared" si="201"/>
        <v>0</v>
      </c>
      <c r="Y257" s="318">
        <f t="shared" si="202"/>
        <v>0</v>
      </c>
      <c r="Z257" s="318">
        <f t="shared" si="183"/>
        <v>0</v>
      </c>
      <c r="AA257" s="318">
        <f t="shared" si="184"/>
        <v>0</v>
      </c>
      <c r="AB257" s="318">
        <f t="shared" si="203"/>
        <v>0</v>
      </c>
      <c r="AC257" s="318">
        <f t="shared" si="204"/>
        <v>0</v>
      </c>
      <c r="AD257" s="318">
        <f t="shared" si="185"/>
        <v>0</v>
      </c>
      <c r="AE257" s="318">
        <f t="shared" si="186"/>
        <v>0</v>
      </c>
      <c r="AF257" s="318">
        <f t="shared" si="178"/>
        <v>0</v>
      </c>
      <c r="AG257" s="318">
        <f t="shared" si="179"/>
        <v>0</v>
      </c>
      <c r="AH257" s="318">
        <f t="shared" si="205"/>
        <v>0</v>
      </c>
      <c r="AI257" s="318">
        <f t="shared" si="206"/>
        <v>0</v>
      </c>
      <c r="AJ257" s="318">
        <f t="shared" si="207"/>
        <v>0</v>
      </c>
      <c r="AK257" s="318">
        <f t="shared" si="208"/>
        <v>0</v>
      </c>
      <c r="AL257" s="318">
        <f t="shared" si="209"/>
        <v>0</v>
      </c>
      <c r="AM257" s="318">
        <f t="shared" si="210"/>
        <v>0</v>
      </c>
      <c r="AN257" s="318">
        <f t="shared" si="211"/>
        <v>0</v>
      </c>
      <c r="AO257" s="318">
        <f t="shared" si="212"/>
        <v>0</v>
      </c>
      <c r="AP257" s="318">
        <f t="shared" si="213"/>
        <v>0</v>
      </c>
      <c r="AQ257" s="318">
        <f t="shared" si="214"/>
        <v>0</v>
      </c>
      <c r="AR257" s="318">
        <f t="shared" si="187"/>
        <v>0</v>
      </c>
      <c r="AS257" s="318">
        <f t="shared" si="188"/>
        <v>0</v>
      </c>
      <c r="AT257" s="318">
        <f t="shared" si="215"/>
        <v>0</v>
      </c>
      <c r="AU257" s="318">
        <f t="shared" si="216"/>
        <v>0</v>
      </c>
      <c r="AV257" s="318">
        <f t="shared" si="217"/>
        <v>0</v>
      </c>
      <c r="AW257" s="318">
        <f t="shared" si="218"/>
        <v>0</v>
      </c>
      <c r="AX257" s="318">
        <f t="shared" si="189"/>
        <v>0</v>
      </c>
      <c r="AY257" s="318">
        <f t="shared" si="190"/>
        <v>0</v>
      </c>
      <c r="AZ257" s="318">
        <f t="shared" si="191"/>
        <v>0</v>
      </c>
      <c r="BA257" s="318">
        <f t="shared" si="192"/>
        <v>0</v>
      </c>
    </row>
    <row r="258" spans="1:53" s="315" customFormat="1" ht="16.5" customHeight="1">
      <c r="A258" s="63" t="str">
        <f t="array" ref="A258">IF(C258&lt;&gt;0,SUM(($C$11:C258&lt;&gt;0)*1),"")</f>
        <v/>
      </c>
      <c r="B258" s="316"/>
      <c r="C258" s="316"/>
      <c r="D258" s="316"/>
      <c r="E258" s="436"/>
      <c r="F258" s="372"/>
      <c r="G258" s="374"/>
      <c r="H258" s="374"/>
      <c r="I258" s="63" t="str">
        <f t="shared" si="219"/>
        <v/>
      </c>
      <c r="J258" s="318">
        <f t="shared" si="181"/>
        <v>0</v>
      </c>
      <c r="K258" s="318">
        <f t="shared" si="182"/>
        <v>0</v>
      </c>
      <c r="L258" s="318">
        <f t="shared" si="193"/>
        <v>0</v>
      </c>
      <c r="M258" s="318">
        <f t="shared" si="194"/>
        <v>0</v>
      </c>
      <c r="N258" s="318">
        <f t="shared" si="174"/>
        <v>0</v>
      </c>
      <c r="O258" s="318">
        <f t="shared" si="175"/>
        <v>0</v>
      </c>
      <c r="P258" s="318">
        <f t="shared" si="195"/>
        <v>0</v>
      </c>
      <c r="Q258" s="318">
        <f t="shared" si="196"/>
        <v>0</v>
      </c>
      <c r="R258" s="318">
        <f t="shared" si="197"/>
        <v>0</v>
      </c>
      <c r="S258" s="318">
        <f t="shared" si="198"/>
        <v>0</v>
      </c>
      <c r="T258" s="318">
        <f t="shared" si="176"/>
        <v>0</v>
      </c>
      <c r="U258" s="318">
        <f t="shared" si="177"/>
        <v>0</v>
      </c>
      <c r="V258" s="318">
        <f t="shared" si="199"/>
        <v>0</v>
      </c>
      <c r="W258" s="318">
        <f t="shared" si="200"/>
        <v>0</v>
      </c>
      <c r="X258" s="318">
        <f t="shared" si="201"/>
        <v>0</v>
      </c>
      <c r="Y258" s="318">
        <f t="shared" si="202"/>
        <v>0</v>
      </c>
      <c r="Z258" s="318">
        <f t="shared" si="183"/>
        <v>0</v>
      </c>
      <c r="AA258" s="318">
        <f t="shared" si="184"/>
        <v>0</v>
      </c>
      <c r="AB258" s="318">
        <f t="shared" si="203"/>
        <v>0</v>
      </c>
      <c r="AC258" s="318">
        <f t="shared" si="204"/>
        <v>0</v>
      </c>
      <c r="AD258" s="318">
        <f t="shared" si="185"/>
        <v>0</v>
      </c>
      <c r="AE258" s="318">
        <f t="shared" si="186"/>
        <v>0</v>
      </c>
      <c r="AF258" s="318">
        <f t="shared" si="178"/>
        <v>0</v>
      </c>
      <c r="AG258" s="318">
        <f t="shared" si="179"/>
        <v>0</v>
      </c>
      <c r="AH258" s="318">
        <f t="shared" si="205"/>
        <v>0</v>
      </c>
      <c r="AI258" s="318">
        <f t="shared" si="206"/>
        <v>0</v>
      </c>
      <c r="AJ258" s="318">
        <f t="shared" si="207"/>
        <v>0</v>
      </c>
      <c r="AK258" s="318">
        <f t="shared" si="208"/>
        <v>0</v>
      </c>
      <c r="AL258" s="318">
        <f t="shared" si="209"/>
        <v>0</v>
      </c>
      <c r="AM258" s="318">
        <f t="shared" si="210"/>
        <v>0</v>
      </c>
      <c r="AN258" s="318">
        <f t="shared" si="211"/>
        <v>0</v>
      </c>
      <c r="AO258" s="318">
        <f t="shared" si="212"/>
        <v>0</v>
      </c>
      <c r="AP258" s="318">
        <f t="shared" si="213"/>
        <v>0</v>
      </c>
      <c r="AQ258" s="318">
        <f t="shared" si="214"/>
        <v>0</v>
      </c>
      <c r="AR258" s="318">
        <f t="shared" si="187"/>
        <v>0</v>
      </c>
      <c r="AS258" s="318">
        <f t="shared" si="188"/>
        <v>0</v>
      </c>
      <c r="AT258" s="318">
        <f t="shared" si="215"/>
        <v>0</v>
      </c>
      <c r="AU258" s="318">
        <f t="shared" si="216"/>
        <v>0</v>
      </c>
      <c r="AV258" s="318">
        <f t="shared" si="217"/>
        <v>0</v>
      </c>
      <c r="AW258" s="318">
        <f t="shared" si="218"/>
        <v>0</v>
      </c>
      <c r="AX258" s="318">
        <f t="shared" si="189"/>
        <v>0</v>
      </c>
      <c r="AY258" s="318">
        <f t="shared" si="190"/>
        <v>0</v>
      </c>
      <c r="AZ258" s="318">
        <f t="shared" si="191"/>
        <v>0</v>
      </c>
      <c r="BA258" s="318">
        <f t="shared" si="192"/>
        <v>0</v>
      </c>
    </row>
    <row r="259" spans="1:53" s="315" customFormat="1" ht="16.5" customHeight="1">
      <c r="A259" s="63" t="str">
        <f t="array" ref="A259">IF(C259&lt;&gt;0,SUM(($C$11:C259&lt;&gt;0)*1),"")</f>
        <v/>
      </c>
      <c r="B259" s="316"/>
      <c r="C259" s="316"/>
      <c r="D259" s="316"/>
      <c r="E259" s="436"/>
      <c r="F259" s="372"/>
      <c r="G259" s="374"/>
      <c r="H259" s="374"/>
      <c r="I259" s="63" t="str">
        <f t="shared" si="219"/>
        <v/>
      </c>
      <c r="J259" s="318">
        <f t="shared" si="181"/>
        <v>0</v>
      </c>
      <c r="K259" s="318">
        <f t="shared" si="182"/>
        <v>0</v>
      </c>
      <c r="L259" s="318">
        <f t="shared" si="193"/>
        <v>0</v>
      </c>
      <c r="M259" s="318">
        <f t="shared" si="194"/>
        <v>0</v>
      </c>
      <c r="N259" s="318">
        <f t="shared" si="174"/>
        <v>0</v>
      </c>
      <c r="O259" s="318">
        <f t="shared" si="175"/>
        <v>0</v>
      </c>
      <c r="P259" s="318">
        <f t="shared" si="195"/>
        <v>0</v>
      </c>
      <c r="Q259" s="318">
        <f t="shared" si="196"/>
        <v>0</v>
      </c>
      <c r="R259" s="318">
        <f t="shared" si="197"/>
        <v>0</v>
      </c>
      <c r="S259" s="318">
        <f t="shared" si="198"/>
        <v>0</v>
      </c>
      <c r="T259" s="318">
        <f t="shared" si="176"/>
        <v>0</v>
      </c>
      <c r="U259" s="318">
        <f t="shared" si="177"/>
        <v>0</v>
      </c>
      <c r="V259" s="318">
        <f t="shared" si="199"/>
        <v>0</v>
      </c>
      <c r="W259" s="318">
        <f t="shared" si="200"/>
        <v>0</v>
      </c>
      <c r="X259" s="318">
        <f t="shared" si="201"/>
        <v>0</v>
      </c>
      <c r="Y259" s="318">
        <f t="shared" si="202"/>
        <v>0</v>
      </c>
      <c r="Z259" s="318">
        <f t="shared" si="183"/>
        <v>0</v>
      </c>
      <c r="AA259" s="318">
        <f t="shared" si="184"/>
        <v>0</v>
      </c>
      <c r="AB259" s="318">
        <f t="shared" si="203"/>
        <v>0</v>
      </c>
      <c r="AC259" s="318">
        <f t="shared" si="204"/>
        <v>0</v>
      </c>
      <c r="AD259" s="318">
        <f t="shared" si="185"/>
        <v>0</v>
      </c>
      <c r="AE259" s="318">
        <f t="shared" si="186"/>
        <v>0</v>
      </c>
      <c r="AF259" s="318">
        <f t="shared" si="178"/>
        <v>0</v>
      </c>
      <c r="AG259" s="318">
        <f t="shared" si="179"/>
        <v>0</v>
      </c>
      <c r="AH259" s="318">
        <f t="shared" si="205"/>
        <v>0</v>
      </c>
      <c r="AI259" s="318">
        <f t="shared" si="206"/>
        <v>0</v>
      </c>
      <c r="AJ259" s="318">
        <f t="shared" si="207"/>
        <v>0</v>
      </c>
      <c r="AK259" s="318">
        <f t="shared" si="208"/>
        <v>0</v>
      </c>
      <c r="AL259" s="318">
        <f t="shared" si="209"/>
        <v>0</v>
      </c>
      <c r="AM259" s="318">
        <f t="shared" si="210"/>
        <v>0</v>
      </c>
      <c r="AN259" s="318">
        <f t="shared" si="211"/>
        <v>0</v>
      </c>
      <c r="AO259" s="318">
        <f t="shared" si="212"/>
        <v>0</v>
      </c>
      <c r="AP259" s="318">
        <f t="shared" si="213"/>
        <v>0</v>
      </c>
      <c r="AQ259" s="318">
        <f t="shared" si="214"/>
        <v>0</v>
      </c>
      <c r="AR259" s="318">
        <f t="shared" si="187"/>
        <v>0</v>
      </c>
      <c r="AS259" s="318">
        <f t="shared" si="188"/>
        <v>0</v>
      </c>
      <c r="AT259" s="318">
        <f t="shared" si="215"/>
        <v>0</v>
      </c>
      <c r="AU259" s="318">
        <f t="shared" si="216"/>
        <v>0</v>
      </c>
      <c r="AV259" s="318">
        <f t="shared" si="217"/>
        <v>0</v>
      </c>
      <c r="AW259" s="318">
        <f t="shared" si="218"/>
        <v>0</v>
      </c>
      <c r="AX259" s="318">
        <f t="shared" si="189"/>
        <v>0</v>
      </c>
      <c r="AY259" s="318">
        <f t="shared" si="190"/>
        <v>0</v>
      </c>
      <c r="AZ259" s="318">
        <f t="shared" si="191"/>
        <v>0</v>
      </c>
      <c r="BA259" s="318">
        <f t="shared" si="192"/>
        <v>0</v>
      </c>
    </row>
    <row r="260" spans="1:53" s="315" customFormat="1" ht="16.5" customHeight="1">
      <c r="A260" s="63" t="str">
        <f t="array" ref="A260">IF(C260&lt;&gt;0,SUM(($C$11:C260&lt;&gt;0)*1),"")</f>
        <v/>
      </c>
      <c r="B260" s="316"/>
      <c r="C260" s="316"/>
      <c r="D260" s="316"/>
      <c r="E260" s="436"/>
      <c r="F260" s="372"/>
      <c r="G260" s="374"/>
      <c r="H260" s="374"/>
      <c r="I260" s="63" t="str">
        <f t="shared" si="219"/>
        <v/>
      </c>
      <c r="J260" s="318">
        <f t="shared" si="181"/>
        <v>0</v>
      </c>
      <c r="K260" s="318">
        <f t="shared" si="182"/>
        <v>0</v>
      </c>
      <c r="L260" s="318">
        <f t="shared" si="193"/>
        <v>0</v>
      </c>
      <c r="M260" s="318">
        <f t="shared" si="194"/>
        <v>0</v>
      </c>
      <c r="N260" s="318">
        <f t="shared" si="174"/>
        <v>0</v>
      </c>
      <c r="O260" s="318">
        <f t="shared" si="175"/>
        <v>0</v>
      </c>
      <c r="P260" s="318">
        <f t="shared" si="195"/>
        <v>0</v>
      </c>
      <c r="Q260" s="318">
        <f t="shared" si="196"/>
        <v>0</v>
      </c>
      <c r="R260" s="318">
        <f t="shared" si="197"/>
        <v>0</v>
      </c>
      <c r="S260" s="318">
        <f t="shared" si="198"/>
        <v>0</v>
      </c>
      <c r="T260" s="318">
        <f t="shared" si="176"/>
        <v>0</v>
      </c>
      <c r="U260" s="318">
        <f t="shared" si="177"/>
        <v>0</v>
      </c>
      <c r="V260" s="318">
        <f t="shared" si="199"/>
        <v>0</v>
      </c>
      <c r="W260" s="318">
        <f t="shared" si="200"/>
        <v>0</v>
      </c>
      <c r="X260" s="318">
        <f t="shared" si="201"/>
        <v>0</v>
      </c>
      <c r="Y260" s="318">
        <f t="shared" si="202"/>
        <v>0</v>
      </c>
      <c r="Z260" s="318">
        <f t="shared" si="183"/>
        <v>0</v>
      </c>
      <c r="AA260" s="318">
        <f t="shared" si="184"/>
        <v>0</v>
      </c>
      <c r="AB260" s="318">
        <f t="shared" si="203"/>
        <v>0</v>
      </c>
      <c r="AC260" s="318">
        <f t="shared" si="204"/>
        <v>0</v>
      </c>
      <c r="AD260" s="318">
        <f t="shared" si="185"/>
        <v>0</v>
      </c>
      <c r="AE260" s="318">
        <f t="shared" si="186"/>
        <v>0</v>
      </c>
      <c r="AF260" s="318">
        <f t="shared" si="178"/>
        <v>0</v>
      </c>
      <c r="AG260" s="318">
        <f t="shared" si="179"/>
        <v>0</v>
      </c>
      <c r="AH260" s="318">
        <f t="shared" si="205"/>
        <v>0</v>
      </c>
      <c r="AI260" s="318">
        <f t="shared" si="206"/>
        <v>0</v>
      </c>
      <c r="AJ260" s="318">
        <f t="shared" si="207"/>
        <v>0</v>
      </c>
      <c r="AK260" s="318">
        <f t="shared" si="208"/>
        <v>0</v>
      </c>
      <c r="AL260" s="318">
        <f t="shared" si="209"/>
        <v>0</v>
      </c>
      <c r="AM260" s="318">
        <f t="shared" si="210"/>
        <v>0</v>
      </c>
      <c r="AN260" s="318">
        <f t="shared" si="211"/>
        <v>0</v>
      </c>
      <c r="AO260" s="318">
        <f t="shared" si="212"/>
        <v>0</v>
      </c>
      <c r="AP260" s="318">
        <f t="shared" si="213"/>
        <v>0</v>
      </c>
      <c r="AQ260" s="318">
        <f t="shared" si="214"/>
        <v>0</v>
      </c>
      <c r="AR260" s="318">
        <f t="shared" si="187"/>
        <v>0</v>
      </c>
      <c r="AS260" s="318">
        <f t="shared" si="188"/>
        <v>0</v>
      </c>
      <c r="AT260" s="318">
        <f t="shared" si="215"/>
        <v>0</v>
      </c>
      <c r="AU260" s="318">
        <f t="shared" si="216"/>
        <v>0</v>
      </c>
      <c r="AV260" s="318">
        <f t="shared" si="217"/>
        <v>0</v>
      </c>
      <c r="AW260" s="318">
        <f t="shared" si="218"/>
        <v>0</v>
      </c>
      <c r="AX260" s="318">
        <f t="shared" si="189"/>
        <v>0</v>
      </c>
      <c r="AY260" s="318">
        <f t="shared" si="190"/>
        <v>0</v>
      </c>
      <c r="AZ260" s="318">
        <f t="shared" si="191"/>
        <v>0</v>
      </c>
      <c r="BA260" s="318">
        <f t="shared" si="192"/>
        <v>0</v>
      </c>
    </row>
    <row r="261" spans="1:53" s="315" customFormat="1" ht="16.5" customHeight="1">
      <c r="A261" s="63" t="str">
        <f t="array" ref="A261">IF(C261&lt;&gt;0,SUM(($C$11:C261&lt;&gt;0)*1),"")</f>
        <v/>
      </c>
      <c r="B261" s="316"/>
      <c r="C261" s="316"/>
      <c r="D261" s="316"/>
      <c r="E261" s="436"/>
      <c r="F261" s="372"/>
      <c r="G261" s="374"/>
      <c r="H261" s="374"/>
      <c r="I261" s="63" t="str">
        <f t="shared" si="219"/>
        <v/>
      </c>
      <c r="J261" s="318">
        <f t="shared" si="181"/>
        <v>0</v>
      </c>
      <c r="K261" s="318">
        <f t="shared" si="182"/>
        <v>0</v>
      </c>
      <c r="L261" s="318">
        <f t="shared" si="193"/>
        <v>0</v>
      </c>
      <c r="M261" s="318">
        <f t="shared" si="194"/>
        <v>0</v>
      </c>
      <c r="N261" s="318">
        <f t="shared" si="174"/>
        <v>0</v>
      </c>
      <c r="O261" s="318">
        <f t="shared" si="175"/>
        <v>0</v>
      </c>
      <c r="P261" s="318">
        <f t="shared" si="195"/>
        <v>0</v>
      </c>
      <c r="Q261" s="318">
        <f t="shared" si="196"/>
        <v>0</v>
      </c>
      <c r="R261" s="318">
        <f t="shared" si="197"/>
        <v>0</v>
      </c>
      <c r="S261" s="318">
        <f t="shared" si="198"/>
        <v>0</v>
      </c>
      <c r="T261" s="318">
        <f t="shared" si="176"/>
        <v>0</v>
      </c>
      <c r="U261" s="318">
        <f t="shared" si="177"/>
        <v>0</v>
      </c>
      <c r="V261" s="318">
        <f t="shared" si="199"/>
        <v>0</v>
      </c>
      <c r="W261" s="318">
        <f t="shared" si="200"/>
        <v>0</v>
      </c>
      <c r="X261" s="318">
        <f t="shared" si="201"/>
        <v>0</v>
      </c>
      <c r="Y261" s="318">
        <f t="shared" si="202"/>
        <v>0</v>
      </c>
      <c r="Z261" s="318">
        <f t="shared" si="183"/>
        <v>0</v>
      </c>
      <c r="AA261" s="318">
        <f t="shared" si="184"/>
        <v>0</v>
      </c>
      <c r="AB261" s="318">
        <f t="shared" si="203"/>
        <v>0</v>
      </c>
      <c r="AC261" s="318">
        <f t="shared" si="204"/>
        <v>0</v>
      </c>
      <c r="AD261" s="318">
        <f t="shared" si="185"/>
        <v>0</v>
      </c>
      <c r="AE261" s="318">
        <f t="shared" si="186"/>
        <v>0</v>
      </c>
      <c r="AF261" s="318">
        <f t="shared" si="178"/>
        <v>0</v>
      </c>
      <c r="AG261" s="318">
        <f t="shared" si="179"/>
        <v>0</v>
      </c>
      <c r="AH261" s="318">
        <f t="shared" si="205"/>
        <v>0</v>
      </c>
      <c r="AI261" s="318">
        <f t="shared" si="206"/>
        <v>0</v>
      </c>
      <c r="AJ261" s="318">
        <f t="shared" si="207"/>
        <v>0</v>
      </c>
      <c r="AK261" s="318">
        <f t="shared" si="208"/>
        <v>0</v>
      </c>
      <c r="AL261" s="318">
        <f t="shared" si="209"/>
        <v>0</v>
      </c>
      <c r="AM261" s="318">
        <f t="shared" si="210"/>
        <v>0</v>
      </c>
      <c r="AN261" s="318">
        <f t="shared" si="211"/>
        <v>0</v>
      </c>
      <c r="AO261" s="318">
        <f t="shared" si="212"/>
        <v>0</v>
      </c>
      <c r="AP261" s="318">
        <f t="shared" si="213"/>
        <v>0</v>
      </c>
      <c r="AQ261" s="318">
        <f t="shared" si="214"/>
        <v>0</v>
      </c>
      <c r="AR261" s="318">
        <f t="shared" si="187"/>
        <v>0</v>
      </c>
      <c r="AS261" s="318">
        <f t="shared" si="188"/>
        <v>0</v>
      </c>
      <c r="AT261" s="318">
        <f t="shared" si="215"/>
        <v>0</v>
      </c>
      <c r="AU261" s="318">
        <f t="shared" si="216"/>
        <v>0</v>
      </c>
      <c r="AV261" s="318">
        <f t="shared" si="217"/>
        <v>0</v>
      </c>
      <c r="AW261" s="318">
        <f t="shared" si="218"/>
        <v>0</v>
      </c>
      <c r="AX261" s="318">
        <f t="shared" si="189"/>
        <v>0</v>
      </c>
      <c r="AY261" s="318">
        <f t="shared" si="190"/>
        <v>0</v>
      </c>
      <c r="AZ261" s="318">
        <f t="shared" si="191"/>
        <v>0</v>
      </c>
      <c r="BA261" s="318">
        <f t="shared" si="192"/>
        <v>0</v>
      </c>
    </row>
    <row r="262" spans="1:53" s="315" customFormat="1" ht="16.5" customHeight="1">
      <c r="A262" s="63" t="str">
        <f t="array" ref="A262">IF(C262&lt;&gt;0,SUM(($C$11:C262&lt;&gt;0)*1),"")</f>
        <v/>
      </c>
      <c r="B262" s="316"/>
      <c r="C262" s="316"/>
      <c r="D262" s="316"/>
      <c r="E262" s="436"/>
      <c r="F262" s="372"/>
      <c r="G262" s="374"/>
      <c r="H262" s="374"/>
      <c r="I262" s="63" t="str">
        <f t="shared" si="219"/>
        <v/>
      </c>
      <c r="J262" s="318">
        <f t="shared" si="181"/>
        <v>0</v>
      </c>
      <c r="K262" s="318">
        <f t="shared" si="182"/>
        <v>0</v>
      </c>
      <c r="L262" s="318">
        <f t="shared" si="193"/>
        <v>0</v>
      </c>
      <c r="M262" s="318">
        <f t="shared" si="194"/>
        <v>0</v>
      </c>
      <c r="N262" s="318">
        <f t="shared" si="174"/>
        <v>0</v>
      </c>
      <c r="O262" s="318">
        <f t="shared" si="175"/>
        <v>0</v>
      </c>
      <c r="P262" s="318">
        <f t="shared" si="195"/>
        <v>0</v>
      </c>
      <c r="Q262" s="318">
        <f t="shared" si="196"/>
        <v>0</v>
      </c>
      <c r="R262" s="318">
        <f t="shared" si="197"/>
        <v>0</v>
      </c>
      <c r="S262" s="318">
        <f t="shared" si="198"/>
        <v>0</v>
      </c>
      <c r="T262" s="318">
        <f t="shared" si="176"/>
        <v>0</v>
      </c>
      <c r="U262" s="318">
        <f t="shared" si="177"/>
        <v>0</v>
      </c>
      <c r="V262" s="318">
        <f t="shared" si="199"/>
        <v>0</v>
      </c>
      <c r="W262" s="318">
        <f t="shared" si="200"/>
        <v>0</v>
      </c>
      <c r="X262" s="318">
        <f t="shared" si="201"/>
        <v>0</v>
      </c>
      <c r="Y262" s="318">
        <f t="shared" si="202"/>
        <v>0</v>
      </c>
      <c r="Z262" s="318">
        <f t="shared" si="183"/>
        <v>0</v>
      </c>
      <c r="AA262" s="318">
        <f t="shared" si="184"/>
        <v>0</v>
      </c>
      <c r="AB262" s="318">
        <f t="shared" si="203"/>
        <v>0</v>
      </c>
      <c r="AC262" s="318">
        <f t="shared" si="204"/>
        <v>0</v>
      </c>
      <c r="AD262" s="318">
        <f t="shared" si="185"/>
        <v>0</v>
      </c>
      <c r="AE262" s="318">
        <f t="shared" si="186"/>
        <v>0</v>
      </c>
      <c r="AF262" s="318">
        <f t="shared" si="178"/>
        <v>0</v>
      </c>
      <c r="AG262" s="318">
        <f t="shared" si="179"/>
        <v>0</v>
      </c>
      <c r="AH262" s="318">
        <f t="shared" si="205"/>
        <v>0</v>
      </c>
      <c r="AI262" s="318">
        <f t="shared" si="206"/>
        <v>0</v>
      </c>
      <c r="AJ262" s="318">
        <f t="shared" si="207"/>
        <v>0</v>
      </c>
      <c r="AK262" s="318">
        <f t="shared" si="208"/>
        <v>0</v>
      </c>
      <c r="AL262" s="318">
        <f t="shared" si="209"/>
        <v>0</v>
      </c>
      <c r="AM262" s="318">
        <f t="shared" si="210"/>
        <v>0</v>
      </c>
      <c r="AN262" s="318">
        <f t="shared" si="211"/>
        <v>0</v>
      </c>
      <c r="AO262" s="318">
        <f t="shared" si="212"/>
        <v>0</v>
      </c>
      <c r="AP262" s="318">
        <f t="shared" si="213"/>
        <v>0</v>
      </c>
      <c r="AQ262" s="318">
        <f t="shared" si="214"/>
        <v>0</v>
      </c>
      <c r="AR262" s="318">
        <f t="shared" si="187"/>
        <v>0</v>
      </c>
      <c r="AS262" s="318">
        <f t="shared" si="188"/>
        <v>0</v>
      </c>
      <c r="AT262" s="318">
        <f t="shared" si="215"/>
        <v>0</v>
      </c>
      <c r="AU262" s="318">
        <f t="shared" si="216"/>
        <v>0</v>
      </c>
      <c r="AV262" s="318">
        <f t="shared" si="217"/>
        <v>0</v>
      </c>
      <c r="AW262" s="318">
        <f t="shared" si="218"/>
        <v>0</v>
      </c>
      <c r="AX262" s="318">
        <f t="shared" si="189"/>
        <v>0</v>
      </c>
      <c r="AY262" s="318">
        <f t="shared" si="190"/>
        <v>0</v>
      </c>
      <c r="AZ262" s="318">
        <f t="shared" si="191"/>
        <v>0</v>
      </c>
      <c r="BA262" s="318">
        <f t="shared" si="192"/>
        <v>0</v>
      </c>
    </row>
    <row r="263" spans="1:53" s="315" customFormat="1" ht="16.5" customHeight="1">
      <c r="A263" s="63" t="str">
        <f t="array" ref="A263">IF(C263&lt;&gt;0,SUM(($C$11:C263&lt;&gt;0)*1),"")</f>
        <v/>
      </c>
      <c r="B263" s="316"/>
      <c r="C263" s="316"/>
      <c r="D263" s="316"/>
      <c r="E263" s="436"/>
      <c r="F263" s="372"/>
      <c r="G263" s="374"/>
      <c r="H263" s="374"/>
      <c r="I263" s="63" t="str">
        <f t="shared" si="219"/>
        <v/>
      </c>
      <c r="J263" s="318">
        <f t="shared" si="181"/>
        <v>0</v>
      </c>
      <c r="K263" s="318">
        <f t="shared" si="182"/>
        <v>0</v>
      </c>
      <c r="L263" s="318">
        <f t="shared" si="193"/>
        <v>0</v>
      </c>
      <c r="M263" s="318">
        <f t="shared" si="194"/>
        <v>0</v>
      </c>
      <c r="N263" s="318">
        <f t="shared" si="174"/>
        <v>0</v>
      </c>
      <c r="O263" s="318">
        <f t="shared" si="175"/>
        <v>0</v>
      </c>
      <c r="P263" s="318">
        <f t="shared" si="195"/>
        <v>0</v>
      </c>
      <c r="Q263" s="318">
        <f t="shared" si="196"/>
        <v>0</v>
      </c>
      <c r="R263" s="318">
        <f t="shared" si="197"/>
        <v>0</v>
      </c>
      <c r="S263" s="318">
        <f t="shared" si="198"/>
        <v>0</v>
      </c>
      <c r="T263" s="318">
        <f t="shared" si="176"/>
        <v>0</v>
      </c>
      <c r="U263" s="318">
        <f t="shared" si="177"/>
        <v>0</v>
      </c>
      <c r="V263" s="318">
        <f t="shared" si="199"/>
        <v>0</v>
      </c>
      <c r="W263" s="318">
        <f t="shared" si="200"/>
        <v>0</v>
      </c>
      <c r="X263" s="318">
        <f t="shared" si="201"/>
        <v>0</v>
      </c>
      <c r="Y263" s="318">
        <f t="shared" si="202"/>
        <v>0</v>
      </c>
      <c r="Z263" s="318">
        <f t="shared" si="183"/>
        <v>0</v>
      </c>
      <c r="AA263" s="318">
        <f t="shared" si="184"/>
        <v>0</v>
      </c>
      <c r="AB263" s="318">
        <f t="shared" si="203"/>
        <v>0</v>
      </c>
      <c r="AC263" s="318">
        <f t="shared" si="204"/>
        <v>0</v>
      </c>
      <c r="AD263" s="318">
        <f t="shared" si="185"/>
        <v>0</v>
      </c>
      <c r="AE263" s="318">
        <f t="shared" si="186"/>
        <v>0</v>
      </c>
      <c r="AF263" s="318">
        <f t="shared" si="178"/>
        <v>0</v>
      </c>
      <c r="AG263" s="318">
        <f t="shared" si="179"/>
        <v>0</v>
      </c>
      <c r="AH263" s="318">
        <f t="shared" si="205"/>
        <v>0</v>
      </c>
      <c r="AI263" s="318">
        <f t="shared" si="206"/>
        <v>0</v>
      </c>
      <c r="AJ263" s="318">
        <f t="shared" si="207"/>
        <v>0</v>
      </c>
      <c r="AK263" s="318">
        <f t="shared" si="208"/>
        <v>0</v>
      </c>
      <c r="AL263" s="318">
        <f t="shared" si="209"/>
        <v>0</v>
      </c>
      <c r="AM263" s="318">
        <f t="shared" si="210"/>
        <v>0</v>
      </c>
      <c r="AN263" s="318">
        <f t="shared" si="211"/>
        <v>0</v>
      </c>
      <c r="AO263" s="318">
        <f t="shared" si="212"/>
        <v>0</v>
      </c>
      <c r="AP263" s="318">
        <f t="shared" si="213"/>
        <v>0</v>
      </c>
      <c r="AQ263" s="318">
        <f t="shared" si="214"/>
        <v>0</v>
      </c>
      <c r="AR263" s="318">
        <f t="shared" si="187"/>
        <v>0</v>
      </c>
      <c r="AS263" s="318">
        <f t="shared" si="188"/>
        <v>0</v>
      </c>
      <c r="AT263" s="318">
        <f t="shared" si="215"/>
        <v>0</v>
      </c>
      <c r="AU263" s="318">
        <f t="shared" si="216"/>
        <v>0</v>
      </c>
      <c r="AV263" s="318">
        <f t="shared" si="217"/>
        <v>0</v>
      </c>
      <c r="AW263" s="318">
        <f t="shared" si="218"/>
        <v>0</v>
      </c>
      <c r="AX263" s="318">
        <f t="shared" si="189"/>
        <v>0</v>
      </c>
      <c r="AY263" s="318">
        <f t="shared" si="190"/>
        <v>0</v>
      </c>
      <c r="AZ263" s="318">
        <f t="shared" si="191"/>
        <v>0</v>
      </c>
      <c r="BA263" s="318">
        <f t="shared" si="192"/>
        <v>0</v>
      </c>
    </row>
    <row r="264" spans="1:53" s="315" customFormat="1" ht="16.5" customHeight="1">
      <c r="A264" s="63" t="str">
        <f t="array" ref="A264">IF(C264&lt;&gt;0,SUM(($C$11:C264&lt;&gt;0)*1),"")</f>
        <v/>
      </c>
      <c r="B264" s="316"/>
      <c r="C264" s="316"/>
      <c r="D264" s="316"/>
      <c r="E264" s="436"/>
      <c r="F264" s="372"/>
      <c r="G264" s="374"/>
      <c r="H264" s="374"/>
      <c r="I264" s="63" t="str">
        <f t="shared" si="219"/>
        <v/>
      </c>
      <c r="J264" s="318">
        <f t="shared" si="181"/>
        <v>0</v>
      </c>
      <c r="K264" s="318">
        <f t="shared" si="182"/>
        <v>0</v>
      </c>
      <c r="L264" s="318">
        <f t="shared" si="193"/>
        <v>0</v>
      </c>
      <c r="M264" s="318">
        <f t="shared" si="194"/>
        <v>0</v>
      </c>
      <c r="N264" s="318">
        <f t="shared" si="174"/>
        <v>0</v>
      </c>
      <c r="O264" s="318">
        <f t="shared" si="175"/>
        <v>0</v>
      </c>
      <c r="P264" s="318">
        <f t="shared" si="195"/>
        <v>0</v>
      </c>
      <c r="Q264" s="318">
        <f t="shared" si="196"/>
        <v>0</v>
      </c>
      <c r="R264" s="318">
        <f t="shared" si="197"/>
        <v>0</v>
      </c>
      <c r="S264" s="318">
        <f t="shared" si="198"/>
        <v>0</v>
      </c>
      <c r="T264" s="318">
        <f t="shared" si="176"/>
        <v>0</v>
      </c>
      <c r="U264" s="318">
        <f t="shared" si="177"/>
        <v>0</v>
      </c>
      <c r="V264" s="318">
        <f t="shared" si="199"/>
        <v>0</v>
      </c>
      <c r="W264" s="318">
        <f t="shared" si="200"/>
        <v>0</v>
      </c>
      <c r="X264" s="318">
        <f t="shared" si="201"/>
        <v>0</v>
      </c>
      <c r="Y264" s="318">
        <f t="shared" si="202"/>
        <v>0</v>
      </c>
      <c r="Z264" s="318">
        <f t="shared" si="183"/>
        <v>0</v>
      </c>
      <c r="AA264" s="318">
        <f t="shared" si="184"/>
        <v>0</v>
      </c>
      <c r="AB264" s="318">
        <f t="shared" si="203"/>
        <v>0</v>
      </c>
      <c r="AC264" s="318">
        <f t="shared" si="204"/>
        <v>0</v>
      </c>
      <c r="AD264" s="318">
        <f t="shared" si="185"/>
        <v>0</v>
      </c>
      <c r="AE264" s="318">
        <f t="shared" si="186"/>
        <v>0</v>
      </c>
      <c r="AF264" s="318">
        <f t="shared" si="178"/>
        <v>0</v>
      </c>
      <c r="AG264" s="318">
        <f t="shared" si="179"/>
        <v>0</v>
      </c>
      <c r="AH264" s="318">
        <f t="shared" si="205"/>
        <v>0</v>
      </c>
      <c r="AI264" s="318">
        <f t="shared" si="206"/>
        <v>0</v>
      </c>
      <c r="AJ264" s="318">
        <f t="shared" si="207"/>
        <v>0</v>
      </c>
      <c r="AK264" s="318">
        <f t="shared" si="208"/>
        <v>0</v>
      </c>
      <c r="AL264" s="318">
        <f t="shared" si="209"/>
        <v>0</v>
      </c>
      <c r="AM264" s="318">
        <f t="shared" si="210"/>
        <v>0</v>
      </c>
      <c r="AN264" s="318">
        <f t="shared" si="211"/>
        <v>0</v>
      </c>
      <c r="AO264" s="318">
        <f t="shared" si="212"/>
        <v>0</v>
      </c>
      <c r="AP264" s="318">
        <f t="shared" si="213"/>
        <v>0</v>
      </c>
      <c r="AQ264" s="318">
        <f t="shared" si="214"/>
        <v>0</v>
      </c>
      <c r="AR264" s="318">
        <f t="shared" si="187"/>
        <v>0</v>
      </c>
      <c r="AS264" s="318">
        <f t="shared" si="188"/>
        <v>0</v>
      </c>
      <c r="AT264" s="318">
        <f t="shared" si="215"/>
        <v>0</v>
      </c>
      <c r="AU264" s="318">
        <f t="shared" si="216"/>
        <v>0</v>
      </c>
      <c r="AV264" s="318">
        <f t="shared" si="217"/>
        <v>0</v>
      </c>
      <c r="AW264" s="318">
        <f t="shared" si="218"/>
        <v>0</v>
      </c>
      <c r="AX264" s="318">
        <f t="shared" si="189"/>
        <v>0</v>
      </c>
      <c r="AY264" s="318">
        <f t="shared" si="190"/>
        <v>0</v>
      </c>
      <c r="AZ264" s="318">
        <f t="shared" si="191"/>
        <v>0</v>
      </c>
      <c r="BA264" s="318">
        <f t="shared" si="192"/>
        <v>0</v>
      </c>
    </row>
    <row r="265" spans="1:53" s="315" customFormat="1" ht="16.5" customHeight="1">
      <c r="A265" s="63" t="str">
        <f t="array" ref="A265">IF(C265&lt;&gt;0,SUM(($C$11:C265&lt;&gt;0)*1),"")</f>
        <v/>
      </c>
      <c r="B265" s="316"/>
      <c r="C265" s="316"/>
      <c r="D265" s="316"/>
      <c r="E265" s="436"/>
      <c r="F265" s="372"/>
      <c r="G265" s="374"/>
      <c r="H265" s="374"/>
      <c r="I265" s="63" t="str">
        <f t="shared" si="219"/>
        <v/>
      </c>
      <c r="J265" s="318">
        <f t="shared" si="181"/>
        <v>0</v>
      </c>
      <c r="K265" s="318">
        <f t="shared" si="182"/>
        <v>0</v>
      </c>
      <c r="L265" s="318">
        <f t="shared" si="193"/>
        <v>0</v>
      </c>
      <c r="M265" s="318">
        <f t="shared" si="194"/>
        <v>0</v>
      </c>
      <c r="N265" s="318">
        <f t="shared" si="174"/>
        <v>0</v>
      </c>
      <c r="O265" s="318">
        <f t="shared" si="175"/>
        <v>0</v>
      </c>
      <c r="P265" s="318">
        <f t="shared" si="195"/>
        <v>0</v>
      </c>
      <c r="Q265" s="318">
        <f t="shared" si="196"/>
        <v>0</v>
      </c>
      <c r="R265" s="318">
        <f t="shared" si="197"/>
        <v>0</v>
      </c>
      <c r="S265" s="318">
        <f t="shared" si="198"/>
        <v>0</v>
      </c>
      <c r="T265" s="318">
        <f t="shared" si="176"/>
        <v>0</v>
      </c>
      <c r="U265" s="318">
        <f t="shared" si="177"/>
        <v>0</v>
      </c>
      <c r="V265" s="318">
        <f t="shared" si="199"/>
        <v>0</v>
      </c>
      <c r="W265" s="318">
        <f t="shared" si="200"/>
        <v>0</v>
      </c>
      <c r="X265" s="318">
        <f t="shared" si="201"/>
        <v>0</v>
      </c>
      <c r="Y265" s="318">
        <f t="shared" si="202"/>
        <v>0</v>
      </c>
      <c r="Z265" s="318">
        <f t="shared" si="183"/>
        <v>0</v>
      </c>
      <c r="AA265" s="318">
        <f t="shared" si="184"/>
        <v>0</v>
      </c>
      <c r="AB265" s="318">
        <f t="shared" si="203"/>
        <v>0</v>
      </c>
      <c r="AC265" s="318">
        <f t="shared" si="204"/>
        <v>0</v>
      </c>
      <c r="AD265" s="318">
        <f t="shared" si="185"/>
        <v>0</v>
      </c>
      <c r="AE265" s="318">
        <f t="shared" si="186"/>
        <v>0</v>
      </c>
      <c r="AF265" s="318">
        <f t="shared" si="178"/>
        <v>0</v>
      </c>
      <c r="AG265" s="318">
        <f t="shared" si="179"/>
        <v>0</v>
      </c>
      <c r="AH265" s="318">
        <f t="shared" si="205"/>
        <v>0</v>
      </c>
      <c r="AI265" s="318">
        <f t="shared" si="206"/>
        <v>0</v>
      </c>
      <c r="AJ265" s="318">
        <f t="shared" si="207"/>
        <v>0</v>
      </c>
      <c r="AK265" s="318">
        <f t="shared" si="208"/>
        <v>0</v>
      </c>
      <c r="AL265" s="318">
        <f t="shared" si="209"/>
        <v>0</v>
      </c>
      <c r="AM265" s="318">
        <f t="shared" si="210"/>
        <v>0</v>
      </c>
      <c r="AN265" s="318">
        <f t="shared" si="211"/>
        <v>0</v>
      </c>
      <c r="AO265" s="318">
        <f t="shared" si="212"/>
        <v>0</v>
      </c>
      <c r="AP265" s="318">
        <f t="shared" si="213"/>
        <v>0</v>
      </c>
      <c r="AQ265" s="318">
        <f t="shared" si="214"/>
        <v>0</v>
      </c>
      <c r="AR265" s="318">
        <f t="shared" si="187"/>
        <v>0</v>
      </c>
      <c r="AS265" s="318">
        <f t="shared" si="188"/>
        <v>0</v>
      </c>
      <c r="AT265" s="318">
        <f t="shared" si="215"/>
        <v>0</v>
      </c>
      <c r="AU265" s="318">
        <f t="shared" si="216"/>
        <v>0</v>
      </c>
      <c r="AV265" s="318">
        <f t="shared" si="217"/>
        <v>0</v>
      </c>
      <c r="AW265" s="318">
        <f t="shared" si="218"/>
        <v>0</v>
      </c>
      <c r="AX265" s="318">
        <f t="shared" si="189"/>
        <v>0</v>
      </c>
      <c r="AY265" s="318">
        <f t="shared" si="190"/>
        <v>0</v>
      </c>
      <c r="AZ265" s="318">
        <f t="shared" si="191"/>
        <v>0</v>
      </c>
      <c r="BA265" s="318">
        <f t="shared" si="192"/>
        <v>0</v>
      </c>
    </row>
    <row r="266" spans="1:53" s="315" customFormat="1" ht="16.5" customHeight="1">
      <c r="A266" s="63" t="str">
        <f t="array" ref="A266">IF(C266&lt;&gt;0,SUM(($C$11:C266&lt;&gt;0)*1),"")</f>
        <v/>
      </c>
      <c r="B266" s="316"/>
      <c r="C266" s="316"/>
      <c r="D266" s="316"/>
      <c r="E266" s="436"/>
      <c r="F266" s="372"/>
      <c r="G266" s="374"/>
      <c r="H266" s="374"/>
      <c r="I266" s="63" t="str">
        <f t="shared" si="219"/>
        <v/>
      </c>
      <c r="J266" s="318">
        <f t="shared" si="181"/>
        <v>0</v>
      </c>
      <c r="K266" s="318">
        <f t="shared" si="182"/>
        <v>0</v>
      </c>
      <c r="L266" s="318">
        <f t="shared" si="193"/>
        <v>0</v>
      </c>
      <c r="M266" s="318">
        <f t="shared" si="194"/>
        <v>0</v>
      </c>
      <c r="N266" s="318">
        <f t="shared" si="174"/>
        <v>0</v>
      </c>
      <c r="O266" s="318">
        <f t="shared" si="175"/>
        <v>0</v>
      </c>
      <c r="P266" s="318">
        <f t="shared" si="195"/>
        <v>0</v>
      </c>
      <c r="Q266" s="318">
        <f t="shared" si="196"/>
        <v>0</v>
      </c>
      <c r="R266" s="318">
        <f t="shared" si="197"/>
        <v>0</v>
      </c>
      <c r="S266" s="318">
        <f t="shared" si="198"/>
        <v>0</v>
      </c>
      <c r="T266" s="318">
        <f t="shared" si="176"/>
        <v>0</v>
      </c>
      <c r="U266" s="318">
        <f t="shared" si="177"/>
        <v>0</v>
      </c>
      <c r="V266" s="318">
        <f t="shared" si="199"/>
        <v>0</v>
      </c>
      <c r="W266" s="318">
        <f t="shared" si="200"/>
        <v>0</v>
      </c>
      <c r="X266" s="318">
        <f t="shared" si="201"/>
        <v>0</v>
      </c>
      <c r="Y266" s="318">
        <f t="shared" si="202"/>
        <v>0</v>
      </c>
      <c r="Z266" s="318">
        <f t="shared" si="183"/>
        <v>0</v>
      </c>
      <c r="AA266" s="318">
        <f t="shared" si="184"/>
        <v>0</v>
      </c>
      <c r="AB266" s="318">
        <f t="shared" si="203"/>
        <v>0</v>
      </c>
      <c r="AC266" s="318">
        <f t="shared" si="204"/>
        <v>0</v>
      </c>
      <c r="AD266" s="318">
        <f t="shared" si="185"/>
        <v>0</v>
      </c>
      <c r="AE266" s="318">
        <f t="shared" si="186"/>
        <v>0</v>
      </c>
      <c r="AF266" s="318">
        <f t="shared" si="178"/>
        <v>0</v>
      </c>
      <c r="AG266" s="318">
        <f t="shared" si="179"/>
        <v>0</v>
      </c>
      <c r="AH266" s="318">
        <f t="shared" si="205"/>
        <v>0</v>
      </c>
      <c r="AI266" s="318">
        <f t="shared" si="206"/>
        <v>0</v>
      </c>
      <c r="AJ266" s="318">
        <f t="shared" si="207"/>
        <v>0</v>
      </c>
      <c r="AK266" s="318">
        <f t="shared" si="208"/>
        <v>0</v>
      </c>
      <c r="AL266" s="318">
        <f t="shared" si="209"/>
        <v>0</v>
      </c>
      <c r="AM266" s="318">
        <f t="shared" si="210"/>
        <v>0</v>
      </c>
      <c r="AN266" s="318">
        <f t="shared" si="211"/>
        <v>0</v>
      </c>
      <c r="AO266" s="318">
        <f t="shared" si="212"/>
        <v>0</v>
      </c>
      <c r="AP266" s="318">
        <f t="shared" si="213"/>
        <v>0</v>
      </c>
      <c r="AQ266" s="318">
        <f t="shared" si="214"/>
        <v>0</v>
      </c>
      <c r="AR266" s="318">
        <f t="shared" si="187"/>
        <v>0</v>
      </c>
      <c r="AS266" s="318">
        <f t="shared" si="188"/>
        <v>0</v>
      </c>
      <c r="AT266" s="318">
        <f t="shared" si="215"/>
        <v>0</v>
      </c>
      <c r="AU266" s="318">
        <f t="shared" si="216"/>
        <v>0</v>
      </c>
      <c r="AV266" s="318">
        <f t="shared" si="217"/>
        <v>0</v>
      </c>
      <c r="AW266" s="318">
        <f t="shared" si="218"/>
        <v>0</v>
      </c>
      <c r="AX266" s="318">
        <f t="shared" si="189"/>
        <v>0</v>
      </c>
      <c r="AY266" s="318">
        <f t="shared" si="190"/>
        <v>0</v>
      </c>
      <c r="AZ266" s="318">
        <f t="shared" si="191"/>
        <v>0</v>
      </c>
      <c r="BA266" s="318">
        <f t="shared" si="192"/>
        <v>0</v>
      </c>
    </row>
    <row r="267" spans="1:53" s="315" customFormat="1" ht="16.5" customHeight="1">
      <c r="A267" s="63" t="str">
        <f t="array" ref="A267">IF(C267&lt;&gt;0,SUM(($C$11:C267&lt;&gt;0)*1),"")</f>
        <v/>
      </c>
      <c r="B267" s="316"/>
      <c r="C267" s="316"/>
      <c r="D267" s="316"/>
      <c r="E267" s="436"/>
      <c r="F267" s="372"/>
      <c r="G267" s="374"/>
      <c r="H267" s="374"/>
      <c r="I267" s="63" t="str">
        <f t="shared" si="219"/>
        <v/>
      </c>
      <c r="J267" s="318">
        <f t="shared" si="181"/>
        <v>0</v>
      </c>
      <c r="K267" s="318">
        <f t="shared" si="182"/>
        <v>0</v>
      </c>
      <c r="L267" s="318">
        <f t="shared" si="193"/>
        <v>0</v>
      </c>
      <c r="M267" s="318">
        <f t="shared" si="194"/>
        <v>0</v>
      </c>
      <c r="N267" s="318">
        <f t="shared" si="174"/>
        <v>0</v>
      </c>
      <c r="O267" s="318">
        <f t="shared" si="175"/>
        <v>0</v>
      </c>
      <c r="P267" s="318">
        <f t="shared" si="195"/>
        <v>0</v>
      </c>
      <c r="Q267" s="318">
        <f t="shared" si="196"/>
        <v>0</v>
      </c>
      <c r="R267" s="318">
        <f t="shared" si="197"/>
        <v>0</v>
      </c>
      <c r="S267" s="318">
        <f t="shared" si="198"/>
        <v>0</v>
      </c>
      <c r="T267" s="318">
        <f t="shared" si="176"/>
        <v>0</v>
      </c>
      <c r="U267" s="318">
        <f t="shared" si="177"/>
        <v>0</v>
      </c>
      <c r="V267" s="318">
        <f t="shared" si="199"/>
        <v>0</v>
      </c>
      <c r="W267" s="318">
        <f t="shared" si="200"/>
        <v>0</v>
      </c>
      <c r="X267" s="318">
        <f t="shared" si="201"/>
        <v>0</v>
      </c>
      <c r="Y267" s="318">
        <f t="shared" si="202"/>
        <v>0</v>
      </c>
      <c r="Z267" s="318">
        <f t="shared" si="183"/>
        <v>0</v>
      </c>
      <c r="AA267" s="318">
        <f t="shared" si="184"/>
        <v>0</v>
      </c>
      <c r="AB267" s="318">
        <f t="shared" si="203"/>
        <v>0</v>
      </c>
      <c r="AC267" s="318">
        <f t="shared" si="204"/>
        <v>0</v>
      </c>
      <c r="AD267" s="318">
        <f t="shared" si="185"/>
        <v>0</v>
      </c>
      <c r="AE267" s="318">
        <f t="shared" si="186"/>
        <v>0</v>
      </c>
      <c r="AF267" s="318">
        <f t="shared" si="178"/>
        <v>0</v>
      </c>
      <c r="AG267" s="318">
        <f t="shared" si="179"/>
        <v>0</v>
      </c>
      <c r="AH267" s="318">
        <f t="shared" si="205"/>
        <v>0</v>
      </c>
      <c r="AI267" s="318">
        <f t="shared" si="206"/>
        <v>0</v>
      </c>
      <c r="AJ267" s="318">
        <f t="shared" si="207"/>
        <v>0</v>
      </c>
      <c r="AK267" s="318">
        <f t="shared" si="208"/>
        <v>0</v>
      </c>
      <c r="AL267" s="318">
        <f t="shared" si="209"/>
        <v>0</v>
      </c>
      <c r="AM267" s="318">
        <f t="shared" si="210"/>
        <v>0</v>
      </c>
      <c r="AN267" s="318">
        <f t="shared" si="211"/>
        <v>0</v>
      </c>
      <c r="AO267" s="318">
        <f t="shared" si="212"/>
        <v>0</v>
      </c>
      <c r="AP267" s="318">
        <f t="shared" si="213"/>
        <v>0</v>
      </c>
      <c r="AQ267" s="318">
        <f t="shared" si="214"/>
        <v>0</v>
      </c>
      <c r="AR267" s="318">
        <f t="shared" si="187"/>
        <v>0</v>
      </c>
      <c r="AS267" s="318">
        <f t="shared" si="188"/>
        <v>0</v>
      </c>
      <c r="AT267" s="318">
        <f t="shared" si="215"/>
        <v>0</v>
      </c>
      <c r="AU267" s="318">
        <f t="shared" si="216"/>
        <v>0</v>
      </c>
      <c r="AV267" s="318">
        <f t="shared" si="217"/>
        <v>0</v>
      </c>
      <c r="AW267" s="318">
        <f t="shared" si="218"/>
        <v>0</v>
      </c>
      <c r="AX267" s="318">
        <f t="shared" si="189"/>
        <v>0</v>
      </c>
      <c r="AY267" s="318">
        <f t="shared" si="190"/>
        <v>0</v>
      </c>
      <c r="AZ267" s="318">
        <f t="shared" si="191"/>
        <v>0</v>
      </c>
      <c r="BA267" s="318">
        <f t="shared" si="192"/>
        <v>0</v>
      </c>
    </row>
    <row r="268" spans="1:53" s="315" customFormat="1" ht="16.5" customHeight="1">
      <c r="A268" s="63" t="str">
        <f t="array" ref="A268">IF(C268&lt;&gt;0,SUM(($C$11:C268&lt;&gt;0)*1),"")</f>
        <v/>
      </c>
      <c r="B268" s="316"/>
      <c r="C268" s="316"/>
      <c r="D268" s="316"/>
      <c r="E268" s="436"/>
      <c r="F268" s="372"/>
      <c r="G268" s="374"/>
      <c r="H268" s="374"/>
      <c r="I268" s="63" t="str">
        <f t="shared" si="219"/>
        <v/>
      </c>
      <c r="J268" s="318">
        <f t="shared" si="181"/>
        <v>0</v>
      </c>
      <c r="K268" s="318">
        <f t="shared" si="182"/>
        <v>0</v>
      </c>
      <c r="L268" s="318">
        <f t="shared" si="193"/>
        <v>0</v>
      </c>
      <c r="M268" s="318">
        <f t="shared" si="194"/>
        <v>0</v>
      </c>
      <c r="N268" s="318">
        <f t="shared" ref="N268:N331" si="220">IF($G268="1122",$F268,0)</f>
        <v>0</v>
      </c>
      <c r="O268" s="318">
        <f t="shared" ref="O268:O331" si="221">IF($H268="1122",$F268,0)</f>
        <v>0</v>
      </c>
      <c r="P268" s="318">
        <f t="shared" si="195"/>
        <v>0</v>
      </c>
      <c r="Q268" s="318">
        <f t="shared" si="196"/>
        <v>0</v>
      </c>
      <c r="R268" s="318">
        <f t="shared" si="197"/>
        <v>0</v>
      </c>
      <c r="S268" s="318">
        <f t="shared" si="198"/>
        <v>0</v>
      </c>
      <c r="T268" s="318">
        <f t="shared" ref="T268:T348" si="222">IF($G268="2412",$F268,0)</f>
        <v>0</v>
      </c>
      <c r="U268" s="318">
        <f t="shared" ref="U268:U348" si="223">IF($H268="2412",$F268,0)</f>
        <v>0</v>
      </c>
      <c r="V268" s="318">
        <f t="shared" si="199"/>
        <v>0</v>
      </c>
      <c r="W268" s="318">
        <f t="shared" si="200"/>
        <v>0</v>
      </c>
      <c r="X268" s="318">
        <f t="shared" si="201"/>
        <v>0</v>
      </c>
      <c r="Y268" s="318">
        <f t="shared" si="202"/>
        <v>0</v>
      </c>
      <c r="Z268" s="318">
        <f t="shared" si="183"/>
        <v>0</v>
      </c>
      <c r="AA268" s="318">
        <f t="shared" si="184"/>
        <v>0</v>
      </c>
      <c r="AB268" s="318">
        <f t="shared" si="203"/>
        <v>0</v>
      </c>
      <c r="AC268" s="318">
        <f t="shared" si="204"/>
        <v>0</v>
      </c>
      <c r="AD268" s="318">
        <f t="shared" si="185"/>
        <v>0</v>
      </c>
      <c r="AE268" s="318">
        <f t="shared" si="186"/>
        <v>0</v>
      </c>
      <c r="AF268" s="318">
        <f t="shared" ref="AF268:AF331" si="224">IF($G268="3412",$F268,0)</f>
        <v>0</v>
      </c>
      <c r="AG268" s="318">
        <f t="shared" ref="AG268:AG331" si="225">IF($H268="3412",$F268,0)</f>
        <v>0</v>
      </c>
      <c r="AH268" s="318">
        <f t="shared" si="205"/>
        <v>0</v>
      </c>
      <c r="AI268" s="318">
        <f t="shared" si="206"/>
        <v>0</v>
      </c>
      <c r="AJ268" s="318">
        <f t="shared" si="207"/>
        <v>0</v>
      </c>
      <c r="AK268" s="318">
        <f t="shared" si="208"/>
        <v>0</v>
      </c>
      <c r="AL268" s="318">
        <f t="shared" si="209"/>
        <v>0</v>
      </c>
      <c r="AM268" s="318">
        <f t="shared" si="210"/>
        <v>0</v>
      </c>
      <c r="AN268" s="318">
        <f t="shared" si="211"/>
        <v>0</v>
      </c>
      <c r="AO268" s="318">
        <f t="shared" si="212"/>
        <v>0</v>
      </c>
      <c r="AP268" s="318">
        <f t="shared" si="213"/>
        <v>0</v>
      </c>
      <c r="AQ268" s="318">
        <f t="shared" si="214"/>
        <v>0</v>
      </c>
      <c r="AR268" s="318">
        <f t="shared" si="187"/>
        <v>0</v>
      </c>
      <c r="AS268" s="318">
        <f t="shared" si="188"/>
        <v>0</v>
      </c>
      <c r="AT268" s="318">
        <f t="shared" si="215"/>
        <v>0</v>
      </c>
      <c r="AU268" s="318">
        <f t="shared" si="216"/>
        <v>0</v>
      </c>
      <c r="AV268" s="318">
        <f t="shared" si="217"/>
        <v>0</v>
      </c>
      <c r="AW268" s="318">
        <f t="shared" si="218"/>
        <v>0</v>
      </c>
      <c r="AX268" s="318">
        <f t="shared" si="189"/>
        <v>0</v>
      </c>
      <c r="AY268" s="318">
        <f t="shared" si="190"/>
        <v>0</v>
      </c>
      <c r="AZ268" s="318">
        <f t="shared" si="191"/>
        <v>0</v>
      </c>
      <c r="BA268" s="318">
        <f t="shared" si="192"/>
        <v>0</v>
      </c>
    </row>
    <row r="269" spans="1:53" s="315" customFormat="1" ht="16.5" customHeight="1">
      <c r="A269" s="63" t="str">
        <f t="array" ref="A269">IF(C269&lt;&gt;0,SUM(($C$11:C269&lt;&gt;0)*1),"")</f>
        <v/>
      </c>
      <c r="B269" s="316"/>
      <c r="C269" s="316"/>
      <c r="D269" s="316"/>
      <c r="E269" s="436"/>
      <c r="F269" s="372"/>
      <c r="G269" s="374"/>
      <c r="H269" s="374"/>
      <c r="I269" s="63" t="str">
        <f t="shared" si="219"/>
        <v/>
      </c>
      <c r="J269" s="318">
        <f t="shared" si="181"/>
        <v>0</v>
      </c>
      <c r="K269" s="318">
        <f t="shared" si="182"/>
        <v>0</v>
      </c>
      <c r="L269" s="318">
        <f t="shared" si="193"/>
        <v>0</v>
      </c>
      <c r="M269" s="318">
        <f t="shared" si="194"/>
        <v>0</v>
      </c>
      <c r="N269" s="318">
        <f t="shared" si="220"/>
        <v>0</v>
      </c>
      <c r="O269" s="318">
        <f t="shared" si="221"/>
        <v>0</v>
      </c>
      <c r="P269" s="318">
        <f t="shared" si="195"/>
        <v>0</v>
      </c>
      <c r="Q269" s="318">
        <f t="shared" si="196"/>
        <v>0</v>
      </c>
      <c r="R269" s="318">
        <f t="shared" si="197"/>
        <v>0</v>
      </c>
      <c r="S269" s="318">
        <f t="shared" si="198"/>
        <v>0</v>
      </c>
      <c r="T269" s="318">
        <f t="shared" si="222"/>
        <v>0</v>
      </c>
      <c r="U269" s="318">
        <f t="shared" si="223"/>
        <v>0</v>
      </c>
      <c r="V269" s="318">
        <f t="shared" si="199"/>
        <v>0</v>
      </c>
      <c r="W269" s="318">
        <f t="shared" si="200"/>
        <v>0</v>
      </c>
      <c r="X269" s="318">
        <f t="shared" si="201"/>
        <v>0</v>
      </c>
      <c r="Y269" s="318">
        <f t="shared" si="202"/>
        <v>0</v>
      </c>
      <c r="Z269" s="318">
        <f t="shared" si="183"/>
        <v>0</v>
      </c>
      <c r="AA269" s="318">
        <f t="shared" si="184"/>
        <v>0</v>
      </c>
      <c r="AB269" s="318">
        <f t="shared" si="203"/>
        <v>0</v>
      </c>
      <c r="AC269" s="318">
        <f t="shared" si="204"/>
        <v>0</v>
      </c>
      <c r="AD269" s="318">
        <f t="shared" si="185"/>
        <v>0</v>
      </c>
      <c r="AE269" s="318">
        <f t="shared" si="186"/>
        <v>0</v>
      </c>
      <c r="AF269" s="318">
        <f t="shared" si="224"/>
        <v>0</v>
      </c>
      <c r="AG269" s="318">
        <f t="shared" si="225"/>
        <v>0</v>
      </c>
      <c r="AH269" s="318">
        <f t="shared" si="205"/>
        <v>0</v>
      </c>
      <c r="AI269" s="318">
        <f t="shared" si="206"/>
        <v>0</v>
      </c>
      <c r="AJ269" s="318">
        <f t="shared" si="207"/>
        <v>0</v>
      </c>
      <c r="AK269" s="318">
        <f t="shared" si="208"/>
        <v>0</v>
      </c>
      <c r="AL269" s="318">
        <f t="shared" si="209"/>
        <v>0</v>
      </c>
      <c r="AM269" s="318">
        <f t="shared" si="210"/>
        <v>0</v>
      </c>
      <c r="AN269" s="318">
        <f t="shared" si="211"/>
        <v>0</v>
      </c>
      <c r="AO269" s="318">
        <f t="shared" si="212"/>
        <v>0</v>
      </c>
      <c r="AP269" s="318">
        <f t="shared" si="213"/>
        <v>0</v>
      </c>
      <c r="AQ269" s="318">
        <f t="shared" si="214"/>
        <v>0</v>
      </c>
      <c r="AR269" s="318">
        <f t="shared" si="187"/>
        <v>0</v>
      </c>
      <c r="AS269" s="318">
        <f t="shared" si="188"/>
        <v>0</v>
      </c>
      <c r="AT269" s="318">
        <f t="shared" si="215"/>
        <v>0</v>
      </c>
      <c r="AU269" s="318">
        <f t="shared" si="216"/>
        <v>0</v>
      </c>
      <c r="AV269" s="318">
        <f t="shared" si="217"/>
        <v>0</v>
      </c>
      <c r="AW269" s="318">
        <f t="shared" si="218"/>
        <v>0</v>
      </c>
      <c r="AX269" s="318">
        <f t="shared" si="189"/>
        <v>0</v>
      </c>
      <c r="AY269" s="318">
        <f t="shared" si="190"/>
        <v>0</v>
      </c>
      <c r="AZ269" s="318">
        <f t="shared" si="191"/>
        <v>0</v>
      </c>
      <c r="BA269" s="318">
        <f t="shared" si="192"/>
        <v>0</v>
      </c>
    </row>
    <row r="270" spans="1:53" s="315" customFormat="1" ht="16.5" customHeight="1">
      <c r="A270" s="63" t="str">
        <f t="array" ref="A270">IF(C270&lt;&gt;0,SUM(($C$11:C270&lt;&gt;0)*1),"")</f>
        <v/>
      </c>
      <c r="B270" s="316"/>
      <c r="C270" s="316"/>
      <c r="D270" s="316"/>
      <c r="E270" s="436"/>
      <c r="F270" s="372"/>
      <c r="G270" s="374"/>
      <c r="H270" s="374"/>
      <c r="I270" s="63" t="str">
        <f t="shared" si="219"/>
        <v/>
      </c>
      <c r="J270" s="318">
        <f t="shared" si="181"/>
        <v>0</v>
      </c>
      <c r="K270" s="318">
        <f t="shared" si="182"/>
        <v>0</v>
      </c>
      <c r="L270" s="318">
        <f t="shared" si="193"/>
        <v>0</v>
      </c>
      <c r="M270" s="318">
        <f t="shared" si="194"/>
        <v>0</v>
      </c>
      <c r="N270" s="318">
        <f t="shared" si="220"/>
        <v>0</v>
      </c>
      <c r="O270" s="318">
        <f t="shared" si="221"/>
        <v>0</v>
      </c>
      <c r="P270" s="318">
        <f t="shared" si="195"/>
        <v>0</v>
      </c>
      <c r="Q270" s="318">
        <f t="shared" si="196"/>
        <v>0</v>
      </c>
      <c r="R270" s="318">
        <f t="shared" si="197"/>
        <v>0</v>
      </c>
      <c r="S270" s="318">
        <f t="shared" si="198"/>
        <v>0</v>
      </c>
      <c r="T270" s="318">
        <f t="shared" si="222"/>
        <v>0</v>
      </c>
      <c r="U270" s="318">
        <f t="shared" si="223"/>
        <v>0</v>
      </c>
      <c r="V270" s="318">
        <f t="shared" si="199"/>
        <v>0</v>
      </c>
      <c r="W270" s="318">
        <f t="shared" si="200"/>
        <v>0</v>
      </c>
      <c r="X270" s="318">
        <f t="shared" si="201"/>
        <v>0</v>
      </c>
      <c r="Y270" s="318">
        <f t="shared" si="202"/>
        <v>0</v>
      </c>
      <c r="Z270" s="318">
        <f t="shared" si="183"/>
        <v>0</v>
      </c>
      <c r="AA270" s="318">
        <f t="shared" si="184"/>
        <v>0</v>
      </c>
      <c r="AB270" s="318">
        <f t="shared" si="203"/>
        <v>0</v>
      </c>
      <c r="AC270" s="318">
        <f t="shared" si="204"/>
        <v>0</v>
      </c>
      <c r="AD270" s="318">
        <f t="shared" si="185"/>
        <v>0</v>
      </c>
      <c r="AE270" s="318">
        <f t="shared" si="186"/>
        <v>0</v>
      </c>
      <c r="AF270" s="318">
        <f t="shared" si="224"/>
        <v>0</v>
      </c>
      <c r="AG270" s="318">
        <f t="shared" si="225"/>
        <v>0</v>
      </c>
      <c r="AH270" s="318">
        <f t="shared" si="205"/>
        <v>0</v>
      </c>
      <c r="AI270" s="318">
        <f t="shared" si="206"/>
        <v>0</v>
      </c>
      <c r="AJ270" s="318">
        <f t="shared" si="207"/>
        <v>0</v>
      </c>
      <c r="AK270" s="318">
        <f t="shared" si="208"/>
        <v>0</v>
      </c>
      <c r="AL270" s="318">
        <f t="shared" si="209"/>
        <v>0</v>
      </c>
      <c r="AM270" s="318">
        <f t="shared" si="210"/>
        <v>0</v>
      </c>
      <c r="AN270" s="318">
        <f t="shared" si="211"/>
        <v>0</v>
      </c>
      <c r="AO270" s="318">
        <f t="shared" si="212"/>
        <v>0</v>
      </c>
      <c r="AP270" s="318">
        <f t="shared" si="213"/>
        <v>0</v>
      </c>
      <c r="AQ270" s="318">
        <f t="shared" si="214"/>
        <v>0</v>
      </c>
      <c r="AR270" s="318">
        <f t="shared" si="187"/>
        <v>0</v>
      </c>
      <c r="AS270" s="318">
        <f t="shared" si="188"/>
        <v>0</v>
      </c>
      <c r="AT270" s="318">
        <f t="shared" si="215"/>
        <v>0</v>
      </c>
      <c r="AU270" s="318">
        <f t="shared" si="216"/>
        <v>0</v>
      </c>
      <c r="AV270" s="318">
        <f t="shared" si="217"/>
        <v>0</v>
      </c>
      <c r="AW270" s="318">
        <f t="shared" si="218"/>
        <v>0</v>
      </c>
      <c r="AX270" s="318">
        <f t="shared" si="189"/>
        <v>0</v>
      </c>
      <c r="AY270" s="318">
        <f t="shared" si="190"/>
        <v>0</v>
      </c>
      <c r="AZ270" s="318">
        <f t="shared" si="191"/>
        <v>0</v>
      </c>
      <c r="BA270" s="318">
        <f t="shared" si="192"/>
        <v>0</v>
      </c>
    </row>
    <row r="271" spans="1:53" s="315" customFormat="1" ht="16.5" customHeight="1">
      <c r="A271" s="63" t="str">
        <f t="array" ref="A271">IF(C271&lt;&gt;0,SUM(($C$11:C271&lt;&gt;0)*1),"")</f>
        <v/>
      </c>
      <c r="B271" s="316"/>
      <c r="C271" s="316"/>
      <c r="D271" s="316"/>
      <c r="E271" s="436"/>
      <c r="F271" s="372"/>
      <c r="G271" s="374"/>
      <c r="H271" s="374"/>
      <c r="I271" s="63" t="str">
        <f t="shared" si="219"/>
        <v/>
      </c>
      <c r="J271" s="318">
        <f t="shared" ref="J271:J348" si="226">IF($G271="1111",$F271,0)</f>
        <v>0</v>
      </c>
      <c r="K271" s="318">
        <f t="shared" ref="K271:K348" si="227">IF($H271="1111",$F271,0)</f>
        <v>0</v>
      </c>
      <c r="L271" s="318">
        <f t="shared" si="193"/>
        <v>0</v>
      </c>
      <c r="M271" s="318">
        <f t="shared" si="194"/>
        <v>0</v>
      </c>
      <c r="N271" s="318">
        <f t="shared" si="220"/>
        <v>0</v>
      </c>
      <c r="O271" s="318">
        <f t="shared" si="221"/>
        <v>0</v>
      </c>
      <c r="P271" s="318">
        <f t="shared" si="195"/>
        <v>0</v>
      </c>
      <c r="Q271" s="318">
        <f t="shared" si="196"/>
        <v>0</v>
      </c>
      <c r="R271" s="318">
        <f t="shared" si="197"/>
        <v>0</v>
      </c>
      <c r="S271" s="318">
        <f t="shared" si="198"/>
        <v>0</v>
      </c>
      <c r="T271" s="318">
        <f t="shared" si="222"/>
        <v>0</v>
      </c>
      <c r="U271" s="318">
        <f t="shared" si="223"/>
        <v>0</v>
      </c>
      <c r="V271" s="318">
        <f t="shared" si="199"/>
        <v>0</v>
      </c>
      <c r="W271" s="318">
        <f t="shared" si="200"/>
        <v>0</v>
      </c>
      <c r="X271" s="318">
        <f t="shared" si="201"/>
        <v>0</v>
      </c>
      <c r="Y271" s="318">
        <f t="shared" si="202"/>
        <v>0</v>
      </c>
      <c r="Z271" s="318">
        <f t="shared" ref="Z271:Z348" si="228">IF($G271="33382",$F271,0)</f>
        <v>0</v>
      </c>
      <c r="AA271" s="318">
        <f t="shared" ref="AA271:AA348" si="229">IF($H271="33382",$F271,0)</f>
        <v>0</v>
      </c>
      <c r="AB271" s="318">
        <f t="shared" si="203"/>
        <v>0</v>
      </c>
      <c r="AC271" s="318">
        <f t="shared" si="204"/>
        <v>0</v>
      </c>
      <c r="AD271" s="318">
        <f t="shared" ref="AD271:AD348" si="230">IF($G271="3411",$F271,0)</f>
        <v>0</v>
      </c>
      <c r="AE271" s="318">
        <f t="shared" ref="AE271:AE348" si="231">IF($H271="3411",$F271,0)</f>
        <v>0</v>
      </c>
      <c r="AF271" s="318">
        <f t="shared" si="224"/>
        <v>0</v>
      </c>
      <c r="AG271" s="318">
        <f t="shared" si="225"/>
        <v>0</v>
      </c>
      <c r="AH271" s="318">
        <f t="shared" si="205"/>
        <v>0</v>
      </c>
      <c r="AI271" s="318">
        <f t="shared" si="206"/>
        <v>0</v>
      </c>
      <c r="AJ271" s="318">
        <f t="shared" si="207"/>
        <v>0</v>
      </c>
      <c r="AK271" s="318">
        <f t="shared" si="208"/>
        <v>0</v>
      </c>
      <c r="AL271" s="318">
        <f t="shared" si="209"/>
        <v>0</v>
      </c>
      <c r="AM271" s="318">
        <f t="shared" si="210"/>
        <v>0</v>
      </c>
      <c r="AN271" s="318">
        <f t="shared" si="211"/>
        <v>0</v>
      </c>
      <c r="AO271" s="318">
        <f t="shared" si="212"/>
        <v>0</v>
      </c>
      <c r="AP271" s="318">
        <f t="shared" si="213"/>
        <v>0</v>
      </c>
      <c r="AQ271" s="318">
        <f t="shared" si="214"/>
        <v>0</v>
      </c>
      <c r="AR271" s="318">
        <f t="shared" ref="AR271:AR348" si="232">IF($G271="642",$F271,0)</f>
        <v>0</v>
      </c>
      <c r="AS271" s="318">
        <f t="shared" ref="AS271:AS348" si="233">IF($H271="642",$F271,0)</f>
        <v>0</v>
      </c>
      <c r="AT271" s="318">
        <f t="shared" si="215"/>
        <v>0</v>
      </c>
      <c r="AU271" s="318">
        <f t="shared" si="216"/>
        <v>0</v>
      </c>
      <c r="AV271" s="318">
        <f t="shared" si="217"/>
        <v>0</v>
      </c>
      <c r="AW271" s="318">
        <f t="shared" si="218"/>
        <v>0</v>
      </c>
      <c r="AX271" s="318">
        <f t="shared" ref="AX271:AX348" si="234">IF($G271="821",$F271,0)</f>
        <v>0</v>
      </c>
      <c r="AY271" s="318">
        <f t="shared" ref="AY271:AY348" si="235">IF($H271="821",$F271,0)</f>
        <v>0</v>
      </c>
      <c r="AZ271" s="318">
        <f t="shared" ref="AZ271:AZ348" si="236">IF($G271="911",$F271,0)</f>
        <v>0</v>
      </c>
      <c r="BA271" s="318">
        <f t="shared" ref="BA271:BA348" si="237">IF($H271="911",$F271,0)</f>
        <v>0</v>
      </c>
    </row>
    <row r="272" spans="1:53" s="315" customFormat="1" ht="16.5" customHeight="1">
      <c r="A272" s="63" t="str">
        <f t="array" ref="A272">IF(C272&lt;&gt;0,SUM(($C$11:C272&lt;&gt;0)*1),"")</f>
        <v/>
      </c>
      <c r="B272" s="316"/>
      <c r="C272" s="316"/>
      <c r="D272" s="316"/>
      <c r="E272" s="436"/>
      <c r="F272" s="372"/>
      <c r="G272" s="374"/>
      <c r="H272" s="374"/>
      <c r="I272" s="63" t="str">
        <f t="shared" si="219"/>
        <v/>
      </c>
      <c r="J272" s="318">
        <f t="shared" si="226"/>
        <v>0</v>
      </c>
      <c r="K272" s="318">
        <f t="shared" si="227"/>
        <v>0</v>
      </c>
      <c r="L272" s="318">
        <f t="shared" ref="L272:L348" si="238">IF($G272="1121",$F272,0)</f>
        <v>0</v>
      </c>
      <c r="M272" s="318">
        <f t="shared" ref="M272:M348" si="239">IF($H272="1121",$F272,0)</f>
        <v>0</v>
      </c>
      <c r="N272" s="318">
        <f t="shared" si="220"/>
        <v>0</v>
      </c>
      <c r="O272" s="318">
        <f t="shared" si="221"/>
        <v>0</v>
      </c>
      <c r="P272" s="318">
        <f t="shared" ref="P272:P348" si="240">IF($G272="1331",$F272,0)</f>
        <v>0</v>
      </c>
      <c r="Q272" s="318">
        <f t="shared" ref="Q272:Q348" si="241">IF($H272="1331",$F272,0)</f>
        <v>0</v>
      </c>
      <c r="R272" s="318">
        <f t="shared" ref="R272:R348" si="242">IF($G272="1388",$F272,0)</f>
        <v>0</v>
      </c>
      <c r="S272" s="318">
        <f t="shared" ref="S272:S348" si="243">IF($H272="1388",$F272,0)</f>
        <v>0</v>
      </c>
      <c r="T272" s="318">
        <f t="shared" si="222"/>
        <v>0</v>
      </c>
      <c r="U272" s="318">
        <f t="shared" si="223"/>
        <v>0</v>
      </c>
      <c r="V272" s="318">
        <f t="shared" ref="V272:V348" si="244">IF($G272="331",$F272,0)</f>
        <v>0</v>
      </c>
      <c r="W272" s="318">
        <f t="shared" ref="W272:W348" si="245">IF($H272="331",$F272,0)</f>
        <v>0</v>
      </c>
      <c r="X272" s="318">
        <f t="shared" ref="X272:X348" si="246">IF($G272="3334",$F272,0)</f>
        <v>0</v>
      </c>
      <c r="Y272" s="318">
        <f t="shared" ref="Y272:Y348" si="247">IF($H272="3334",$F272,0)</f>
        <v>0</v>
      </c>
      <c r="Z272" s="318">
        <f t="shared" si="228"/>
        <v>0</v>
      </c>
      <c r="AA272" s="318">
        <f t="shared" si="229"/>
        <v>0</v>
      </c>
      <c r="AB272" s="318">
        <f t="shared" ref="AB272:AB348" si="248">IF($G272="3388",$F272,0)</f>
        <v>0</v>
      </c>
      <c r="AC272" s="318">
        <f t="shared" ref="AC272:AC348" si="249">IF($H272="3388",$F272,0)</f>
        <v>0</v>
      </c>
      <c r="AD272" s="318">
        <f t="shared" si="230"/>
        <v>0</v>
      </c>
      <c r="AE272" s="318">
        <f t="shared" si="231"/>
        <v>0</v>
      </c>
      <c r="AF272" s="318">
        <f t="shared" si="224"/>
        <v>0</v>
      </c>
      <c r="AG272" s="318">
        <f t="shared" si="225"/>
        <v>0</v>
      </c>
      <c r="AH272" s="318">
        <f t="shared" ref="AH272:AH348" si="250">IF($G272="4111",$F272,0)</f>
        <v>0</v>
      </c>
      <c r="AI272" s="318">
        <f t="shared" ref="AI272:AI348" si="251">IF($H272="4111",$F272,0)</f>
        <v>0</v>
      </c>
      <c r="AJ272" s="318">
        <f t="shared" ref="AJ272:AJ348" si="252">IF($G272="4211",$F272,0)</f>
        <v>0</v>
      </c>
      <c r="AK272" s="318">
        <f t="shared" ref="AK272:AK348" si="253">IF($H272="4211",$F272,0)</f>
        <v>0</v>
      </c>
      <c r="AL272" s="318">
        <f t="shared" ref="AL272:AL348" si="254">IF($G272="4212",$F272,0)</f>
        <v>0</v>
      </c>
      <c r="AM272" s="318">
        <f t="shared" ref="AM272:AM348" si="255">IF($H272="4212",$F272,0)</f>
        <v>0</v>
      </c>
      <c r="AN272" s="318">
        <f t="shared" ref="AN272:AN348" si="256">IF($G272="515",$F272,0)</f>
        <v>0</v>
      </c>
      <c r="AO272" s="318">
        <f t="shared" ref="AO272:AO348" si="257">IF($H272="515",$F272,0)</f>
        <v>0</v>
      </c>
      <c r="AP272" s="318">
        <f t="shared" ref="AP272:AP348" si="258">IF($G272="635",$F272,0)</f>
        <v>0</v>
      </c>
      <c r="AQ272" s="318">
        <f t="shared" ref="AQ272:AQ348" si="259">IF($H272="635",$F272,0)</f>
        <v>0</v>
      </c>
      <c r="AR272" s="318">
        <f t="shared" si="232"/>
        <v>0</v>
      </c>
      <c r="AS272" s="318">
        <f t="shared" si="233"/>
        <v>0</v>
      </c>
      <c r="AT272" s="318">
        <f t="shared" ref="AT272:AT348" si="260">IF($G272="711",$F272,0)</f>
        <v>0</v>
      </c>
      <c r="AU272" s="318">
        <f t="shared" ref="AU272:AU348" si="261">IF($H272="711",$F272,0)</f>
        <v>0</v>
      </c>
      <c r="AV272" s="318">
        <f t="shared" ref="AV272:AV348" si="262">IF($G272="811",$F272,0)</f>
        <v>0</v>
      </c>
      <c r="AW272" s="318">
        <f t="shared" ref="AW272:AW348" si="263">IF($H272="811",$F272,0)</f>
        <v>0</v>
      </c>
      <c r="AX272" s="318">
        <f t="shared" si="234"/>
        <v>0</v>
      </c>
      <c r="AY272" s="318">
        <f t="shared" si="235"/>
        <v>0</v>
      </c>
      <c r="AZ272" s="318">
        <f t="shared" si="236"/>
        <v>0</v>
      </c>
      <c r="BA272" s="318">
        <f t="shared" si="237"/>
        <v>0</v>
      </c>
    </row>
    <row r="273" spans="1:53" s="315" customFormat="1" ht="16.5" customHeight="1">
      <c r="A273" s="63" t="str">
        <f t="array" ref="A273">IF(C273&lt;&gt;0,SUM(($C$11:C273&lt;&gt;0)*1),"")</f>
        <v/>
      </c>
      <c r="B273" s="316"/>
      <c r="C273" s="316"/>
      <c r="D273" s="316"/>
      <c r="E273" s="436"/>
      <c r="F273" s="372"/>
      <c r="G273" s="374"/>
      <c r="H273" s="374"/>
      <c r="I273" s="63" t="str">
        <f t="shared" si="219"/>
        <v/>
      </c>
      <c r="J273" s="318">
        <f t="shared" si="226"/>
        <v>0</v>
      </c>
      <c r="K273" s="318">
        <f t="shared" si="227"/>
        <v>0</v>
      </c>
      <c r="L273" s="318">
        <f t="shared" si="238"/>
        <v>0</v>
      </c>
      <c r="M273" s="318">
        <f t="shared" si="239"/>
        <v>0</v>
      </c>
      <c r="N273" s="318">
        <f t="shared" si="220"/>
        <v>0</v>
      </c>
      <c r="O273" s="318">
        <f t="shared" si="221"/>
        <v>0</v>
      </c>
      <c r="P273" s="318">
        <f t="shared" si="240"/>
        <v>0</v>
      </c>
      <c r="Q273" s="318">
        <f t="shared" si="241"/>
        <v>0</v>
      </c>
      <c r="R273" s="318">
        <f t="shared" si="242"/>
        <v>0</v>
      </c>
      <c r="S273" s="318">
        <f t="shared" si="243"/>
        <v>0</v>
      </c>
      <c r="T273" s="318">
        <f t="shared" si="222"/>
        <v>0</v>
      </c>
      <c r="U273" s="318">
        <f t="shared" si="223"/>
        <v>0</v>
      </c>
      <c r="V273" s="318">
        <f t="shared" si="244"/>
        <v>0</v>
      </c>
      <c r="W273" s="318">
        <f t="shared" si="245"/>
        <v>0</v>
      </c>
      <c r="X273" s="318">
        <f t="shared" si="246"/>
        <v>0</v>
      </c>
      <c r="Y273" s="318">
        <f t="shared" si="247"/>
        <v>0</v>
      </c>
      <c r="Z273" s="318">
        <f t="shared" si="228"/>
        <v>0</v>
      </c>
      <c r="AA273" s="318">
        <f t="shared" si="229"/>
        <v>0</v>
      </c>
      <c r="AB273" s="318">
        <f t="shared" si="248"/>
        <v>0</v>
      </c>
      <c r="AC273" s="318">
        <f t="shared" si="249"/>
        <v>0</v>
      </c>
      <c r="AD273" s="318">
        <f t="shared" si="230"/>
        <v>0</v>
      </c>
      <c r="AE273" s="318">
        <f t="shared" si="231"/>
        <v>0</v>
      </c>
      <c r="AF273" s="318">
        <f t="shared" si="224"/>
        <v>0</v>
      </c>
      <c r="AG273" s="318">
        <f t="shared" si="225"/>
        <v>0</v>
      </c>
      <c r="AH273" s="318">
        <f t="shared" si="250"/>
        <v>0</v>
      </c>
      <c r="AI273" s="318">
        <f t="shared" si="251"/>
        <v>0</v>
      </c>
      <c r="AJ273" s="318">
        <f t="shared" si="252"/>
        <v>0</v>
      </c>
      <c r="AK273" s="318">
        <f t="shared" si="253"/>
        <v>0</v>
      </c>
      <c r="AL273" s="318">
        <f t="shared" si="254"/>
        <v>0</v>
      </c>
      <c r="AM273" s="318">
        <f t="shared" si="255"/>
        <v>0</v>
      </c>
      <c r="AN273" s="318">
        <f t="shared" si="256"/>
        <v>0</v>
      </c>
      <c r="AO273" s="318">
        <f t="shared" si="257"/>
        <v>0</v>
      </c>
      <c r="AP273" s="318">
        <f t="shared" si="258"/>
        <v>0</v>
      </c>
      <c r="AQ273" s="318">
        <f t="shared" si="259"/>
        <v>0</v>
      </c>
      <c r="AR273" s="318">
        <f t="shared" si="232"/>
        <v>0</v>
      </c>
      <c r="AS273" s="318">
        <f t="shared" si="233"/>
        <v>0</v>
      </c>
      <c r="AT273" s="318">
        <f t="shared" si="260"/>
        <v>0</v>
      </c>
      <c r="AU273" s="318">
        <f t="shared" si="261"/>
        <v>0</v>
      </c>
      <c r="AV273" s="318">
        <f t="shared" si="262"/>
        <v>0</v>
      </c>
      <c r="AW273" s="318">
        <f t="shared" si="263"/>
        <v>0</v>
      </c>
      <c r="AX273" s="318">
        <f t="shared" si="234"/>
        <v>0</v>
      </c>
      <c r="AY273" s="318">
        <f t="shared" si="235"/>
        <v>0</v>
      </c>
      <c r="AZ273" s="318">
        <f t="shared" si="236"/>
        <v>0</v>
      </c>
      <c r="BA273" s="318">
        <f t="shared" si="237"/>
        <v>0</v>
      </c>
    </row>
    <row r="274" spans="1:53" s="315" customFormat="1" ht="16.5" customHeight="1">
      <c r="A274" s="63" t="str">
        <f t="array" ref="A274">IF(C274&lt;&gt;0,SUM(($C$11:C274&lt;&gt;0)*1),"")</f>
        <v/>
      </c>
      <c r="B274" s="316"/>
      <c r="C274" s="316"/>
      <c r="D274" s="316"/>
      <c r="E274" s="436"/>
      <c r="F274" s="372"/>
      <c r="G274" s="374"/>
      <c r="H274" s="374"/>
      <c r="I274" s="63" t="str">
        <f t="shared" si="219"/>
        <v/>
      </c>
      <c r="J274" s="318">
        <f t="shared" si="226"/>
        <v>0</v>
      </c>
      <c r="K274" s="318">
        <f t="shared" si="227"/>
        <v>0</v>
      </c>
      <c r="L274" s="318">
        <f t="shared" si="238"/>
        <v>0</v>
      </c>
      <c r="M274" s="318">
        <f t="shared" si="239"/>
        <v>0</v>
      </c>
      <c r="N274" s="318">
        <f t="shared" si="220"/>
        <v>0</v>
      </c>
      <c r="O274" s="318">
        <f t="shared" si="221"/>
        <v>0</v>
      </c>
      <c r="P274" s="318">
        <f t="shared" si="240"/>
        <v>0</v>
      </c>
      <c r="Q274" s="318">
        <f t="shared" si="241"/>
        <v>0</v>
      </c>
      <c r="R274" s="318">
        <f t="shared" si="242"/>
        <v>0</v>
      </c>
      <c r="S274" s="318">
        <f t="shared" si="243"/>
        <v>0</v>
      </c>
      <c r="T274" s="318">
        <f t="shared" si="222"/>
        <v>0</v>
      </c>
      <c r="U274" s="318">
        <f t="shared" si="223"/>
        <v>0</v>
      </c>
      <c r="V274" s="318">
        <f t="shared" si="244"/>
        <v>0</v>
      </c>
      <c r="W274" s="318">
        <f t="shared" si="245"/>
        <v>0</v>
      </c>
      <c r="X274" s="318">
        <f t="shared" si="246"/>
        <v>0</v>
      </c>
      <c r="Y274" s="318">
        <f t="shared" si="247"/>
        <v>0</v>
      </c>
      <c r="Z274" s="318">
        <f t="shared" si="228"/>
        <v>0</v>
      </c>
      <c r="AA274" s="318">
        <f t="shared" si="229"/>
        <v>0</v>
      </c>
      <c r="AB274" s="318">
        <f t="shared" si="248"/>
        <v>0</v>
      </c>
      <c r="AC274" s="318">
        <f t="shared" si="249"/>
        <v>0</v>
      </c>
      <c r="AD274" s="318">
        <f t="shared" si="230"/>
        <v>0</v>
      </c>
      <c r="AE274" s="318">
        <f t="shared" si="231"/>
        <v>0</v>
      </c>
      <c r="AF274" s="318">
        <f t="shared" si="224"/>
        <v>0</v>
      </c>
      <c r="AG274" s="318">
        <f t="shared" si="225"/>
        <v>0</v>
      </c>
      <c r="AH274" s="318">
        <f t="shared" si="250"/>
        <v>0</v>
      </c>
      <c r="AI274" s="318">
        <f t="shared" si="251"/>
        <v>0</v>
      </c>
      <c r="AJ274" s="318">
        <f t="shared" si="252"/>
        <v>0</v>
      </c>
      <c r="AK274" s="318">
        <f t="shared" si="253"/>
        <v>0</v>
      </c>
      <c r="AL274" s="318">
        <f t="shared" si="254"/>
        <v>0</v>
      </c>
      <c r="AM274" s="318">
        <f t="shared" si="255"/>
        <v>0</v>
      </c>
      <c r="AN274" s="318">
        <f t="shared" si="256"/>
        <v>0</v>
      </c>
      <c r="AO274" s="318">
        <f t="shared" si="257"/>
        <v>0</v>
      </c>
      <c r="AP274" s="318">
        <f t="shared" si="258"/>
        <v>0</v>
      </c>
      <c r="AQ274" s="318">
        <f t="shared" si="259"/>
        <v>0</v>
      </c>
      <c r="AR274" s="318">
        <f t="shared" si="232"/>
        <v>0</v>
      </c>
      <c r="AS274" s="318">
        <f t="shared" si="233"/>
        <v>0</v>
      </c>
      <c r="AT274" s="318">
        <f t="shared" si="260"/>
        <v>0</v>
      </c>
      <c r="AU274" s="318">
        <f t="shared" si="261"/>
        <v>0</v>
      </c>
      <c r="AV274" s="318">
        <f t="shared" si="262"/>
        <v>0</v>
      </c>
      <c r="AW274" s="318">
        <f t="shared" si="263"/>
        <v>0</v>
      </c>
      <c r="AX274" s="318">
        <f t="shared" si="234"/>
        <v>0</v>
      </c>
      <c r="AY274" s="318">
        <f t="shared" si="235"/>
        <v>0</v>
      </c>
      <c r="AZ274" s="318">
        <f t="shared" si="236"/>
        <v>0</v>
      </c>
      <c r="BA274" s="318">
        <f t="shared" si="237"/>
        <v>0</v>
      </c>
    </row>
    <row r="275" spans="1:53" s="315" customFormat="1" ht="16.5" customHeight="1">
      <c r="A275" s="63" t="str">
        <f t="array" ref="A275">IF(C275&lt;&gt;0,SUM(($C$11:C275&lt;&gt;0)*1),"")</f>
        <v/>
      </c>
      <c r="B275" s="316"/>
      <c r="C275" s="316"/>
      <c r="D275" s="316"/>
      <c r="E275" s="436"/>
      <c r="F275" s="372"/>
      <c r="G275" s="374"/>
      <c r="H275" s="374"/>
      <c r="I275" s="63" t="str">
        <f t="shared" si="219"/>
        <v/>
      </c>
      <c r="J275" s="318">
        <f t="shared" si="226"/>
        <v>0</v>
      </c>
      <c r="K275" s="318">
        <f t="shared" si="227"/>
        <v>0</v>
      </c>
      <c r="L275" s="318">
        <f t="shared" si="238"/>
        <v>0</v>
      </c>
      <c r="M275" s="318">
        <f t="shared" si="239"/>
        <v>0</v>
      </c>
      <c r="N275" s="318">
        <f t="shared" si="220"/>
        <v>0</v>
      </c>
      <c r="O275" s="318">
        <f t="shared" si="221"/>
        <v>0</v>
      </c>
      <c r="P275" s="318">
        <f t="shared" si="240"/>
        <v>0</v>
      </c>
      <c r="Q275" s="318">
        <f t="shared" si="241"/>
        <v>0</v>
      </c>
      <c r="R275" s="318">
        <f t="shared" si="242"/>
        <v>0</v>
      </c>
      <c r="S275" s="318">
        <f t="shared" si="243"/>
        <v>0</v>
      </c>
      <c r="T275" s="318">
        <f t="shared" si="222"/>
        <v>0</v>
      </c>
      <c r="U275" s="318">
        <f t="shared" si="223"/>
        <v>0</v>
      </c>
      <c r="V275" s="318">
        <f t="shared" si="244"/>
        <v>0</v>
      </c>
      <c r="W275" s="318">
        <f t="shared" si="245"/>
        <v>0</v>
      </c>
      <c r="X275" s="318">
        <f t="shared" si="246"/>
        <v>0</v>
      </c>
      <c r="Y275" s="318">
        <f t="shared" si="247"/>
        <v>0</v>
      </c>
      <c r="Z275" s="318">
        <f t="shared" si="228"/>
        <v>0</v>
      </c>
      <c r="AA275" s="318">
        <f t="shared" si="229"/>
        <v>0</v>
      </c>
      <c r="AB275" s="318">
        <f t="shared" si="248"/>
        <v>0</v>
      </c>
      <c r="AC275" s="318">
        <f t="shared" si="249"/>
        <v>0</v>
      </c>
      <c r="AD275" s="318">
        <f t="shared" si="230"/>
        <v>0</v>
      </c>
      <c r="AE275" s="318">
        <f t="shared" si="231"/>
        <v>0</v>
      </c>
      <c r="AF275" s="318">
        <f t="shared" si="224"/>
        <v>0</v>
      </c>
      <c r="AG275" s="318">
        <f t="shared" si="225"/>
        <v>0</v>
      </c>
      <c r="AH275" s="318">
        <f t="shared" si="250"/>
        <v>0</v>
      </c>
      <c r="AI275" s="318">
        <f t="shared" si="251"/>
        <v>0</v>
      </c>
      <c r="AJ275" s="318">
        <f t="shared" si="252"/>
        <v>0</v>
      </c>
      <c r="AK275" s="318">
        <f t="shared" si="253"/>
        <v>0</v>
      </c>
      <c r="AL275" s="318">
        <f t="shared" si="254"/>
        <v>0</v>
      </c>
      <c r="AM275" s="318">
        <f t="shared" si="255"/>
        <v>0</v>
      </c>
      <c r="AN275" s="318">
        <f t="shared" si="256"/>
        <v>0</v>
      </c>
      <c r="AO275" s="318">
        <f t="shared" si="257"/>
        <v>0</v>
      </c>
      <c r="AP275" s="318">
        <f t="shared" si="258"/>
        <v>0</v>
      </c>
      <c r="AQ275" s="318">
        <f t="shared" si="259"/>
        <v>0</v>
      </c>
      <c r="AR275" s="318">
        <f t="shared" si="232"/>
        <v>0</v>
      </c>
      <c r="AS275" s="318">
        <f t="shared" si="233"/>
        <v>0</v>
      </c>
      <c r="AT275" s="318">
        <f t="shared" si="260"/>
        <v>0</v>
      </c>
      <c r="AU275" s="318">
        <f t="shared" si="261"/>
        <v>0</v>
      </c>
      <c r="AV275" s="318">
        <f t="shared" si="262"/>
        <v>0</v>
      </c>
      <c r="AW275" s="318">
        <f t="shared" si="263"/>
        <v>0</v>
      </c>
      <c r="AX275" s="318">
        <f t="shared" si="234"/>
        <v>0</v>
      </c>
      <c r="AY275" s="318">
        <f t="shared" si="235"/>
        <v>0</v>
      </c>
      <c r="AZ275" s="318">
        <f t="shared" si="236"/>
        <v>0</v>
      </c>
      <c r="BA275" s="318">
        <f t="shared" si="237"/>
        <v>0</v>
      </c>
    </row>
    <row r="276" spans="1:53" s="315" customFormat="1" ht="16.5" customHeight="1">
      <c r="A276" s="63" t="str">
        <f t="array" ref="A276">IF(C276&lt;&gt;0,SUM(($C$11:C276&lt;&gt;0)*1),"")</f>
        <v/>
      </c>
      <c r="B276" s="316"/>
      <c r="C276" s="316"/>
      <c r="D276" s="316"/>
      <c r="E276" s="436"/>
      <c r="F276" s="372"/>
      <c r="G276" s="374"/>
      <c r="H276" s="374"/>
      <c r="I276" s="63" t="str">
        <f t="shared" si="219"/>
        <v/>
      </c>
      <c r="J276" s="318">
        <f t="shared" si="226"/>
        <v>0</v>
      </c>
      <c r="K276" s="318">
        <f t="shared" si="227"/>
        <v>0</v>
      </c>
      <c r="L276" s="318">
        <f t="shared" si="238"/>
        <v>0</v>
      </c>
      <c r="M276" s="318">
        <f t="shared" si="239"/>
        <v>0</v>
      </c>
      <c r="N276" s="318">
        <f t="shared" si="220"/>
        <v>0</v>
      </c>
      <c r="O276" s="318">
        <f t="shared" si="221"/>
        <v>0</v>
      </c>
      <c r="P276" s="318">
        <f t="shared" si="240"/>
        <v>0</v>
      </c>
      <c r="Q276" s="318">
        <f t="shared" si="241"/>
        <v>0</v>
      </c>
      <c r="R276" s="318">
        <f t="shared" si="242"/>
        <v>0</v>
      </c>
      <c r="S276" s="318">
        <f t="shared" si="243"/>
        <v>0</v>
      </c>
      <c r="T276" s="318">
        <f t="shared" si="222"/>
        <v>0</v>
      </c>
      <c r="U276" s="318">
        <f t="shared" si="223"/>
        <v>0</v>
      </c>
      <c r="V276" s="318">
        <f t="shared" si="244"/>
        <v>0</v>
      </c>
      <c r="W276" s="318">
        <f t="shared" si="245"/>
        <v>0</v>
      </c>
      <c r="X276" s="318">
        <f t="shared" si="246"/>
        <v>0</v>
      </c>
      <c r="Y276" s="318">
        <f t="shared" si="247"/>
        <v>0</v>
      </c>
      <c r="Z276" s="318">
        <f t="shared" si="228"/>
        <v>0</v>
      </c>
      <c r="AA276" s="318">
        <f t="shared" si="229"/>
        <v>0</v>
      </c>
      <c r="AB276" s="318">
        <f t="shared" si="248"/>
        <v>0</v>
      </c>
      <c r="AC276" s="318">
        <f t="shared" si="249"/>
        <v>0</v>
      </c>
      <c r="AD276" s="318">
        <f t="shared" si="230"/>
        <v>0</v>
      </c>
      <c r="AE276" s="318">
        <f t="shared" si="231"/>
        <v>0</v>
      </c>
      <c r="AF276" s="318">
        <f t="shared" si="224"/>
        <v>0</v>
      </c>
      <c r="AG276" s="318">
        <f t="shared" si="225"/>
        <v>0</v>
      </c>
      <c r="AH276" s="318">
        <f t="shared" si="250"/>
        <v>0</v>
      </c>
      <c r="AI276" s="318">
        <f t="shared" si="251"/>
        <v>0</v>
      </c>
      <c r="AJ276" s="318">
        <f t="shared" si="252"/>
        <v>0</v>
      </c>
      <c r="AK276" s="318">
        <f t="shared" si="253"/>
        <v>0</v>
      </c>
      <c r="AL276" s="318">
        <f t="shared" si="254"/>
        <v>0</v>
      </c>
      <c r="AM276" s="318">
        <f t="shared" si="255"/>
        <v>0</v>
      </c>
      <c r="AN276" s="318">
        <f t="shared" si="256"/>
        <v>0</v>
      </c>
      <c r="AO276" s="318">
        <f t="shared" si="257"/>
        <v>0</v>
      </c>
      <c r="AP276" s="318">
        <f t="shared" si="258"/>
        <v>0</v>
      </c>
      <c r="AQ276" s="318">
        <f t="shared" si="259"/>
        <v>0</v>
      </c>
      <c r="AR276" s="318">
        <f t="shared" si="232"/>
        <v>0</v>
      </c>
      <c r="AS276" s="318">
        <f t="shared" si="233"/>
        <v>0</v>
      </c>
      <c r="AT276" s="318">
        <f t="shared" si="260"/>
        <v>0</v>
      </c>
      <c r="AU276" s="318">
        <f t="shared" si="261"/>
        <v>0</v>
      </c>
      <c r="AV276" s="318">
        <f t="shared" si="262"/>
        <v>0</v>
      </c>
      <c r="AW276" s="318">
        <f t="shared" si="263"/>
        <v>0</v>
      </c>
      <c r="AX276" s="318">
        <f t="shared" si="234"/>
        <v>0</v>
      </c>
      <c r="AY276" s="318">
        <f t="shared" si="235"/>
        <v>0</v>
      </c>
      <c r="AZ276" s="318">
        <f t="shared" si="236"/>
        <v>0</v>
      </c>
      <c r="BA276" s="318">
        <f t="shared" si="237"/>
        <v>0</v>
      </c>
    </row>
    <row r="277" spans="1:53" s="315" customFormat="1" ht="16.5" customHeight="1">
      <c r="A277" s="63" t="str">
        <f t="array" ref="A277">IF(C277&lt;&gt;0,SUM(($C$11:C277&lt;&gt;0)*1),"")</f>
        <v/>
      </c>
      <c r="B277" s="316"/>
      <c r="C277" s="316"/>
      <c r="D277" s="316"/>
      <c r="E277" s="436"/>
      <c r="F277" s="372"/>
      <c r="G277" s="374"/>
      <c r="H277" s="374"/>
      <c r="I277" s="63" t="str">
        <f t="shared" si="219"/>
        <v/>
      </c>
      <c r="J277" s="318">
        <f t="shared" si="226"/>
        <v>0</v>
      </c>
      <c r="K277" s="318">
        <f t="shared" si="227"/>
        <v>0</v>
      </c>
      <c r="L277" s="318">
        <f t="shared" si="238"/>
        <v>0</v>
      </c>
      <c r="M277" s="318">
        <f t="shared" si="239"/>
        <v>0</v>
      </c>
      <c r="N277" s="318">
        <f t="shared" si="220"/>
        <v>0</v>
      </c>
      <c r="O277" s="318">
        <f t="shared" si="221"/>
        <v>0</v>
      </c>
      <c r="P277" s="318">
        <f t="shared" si="240"/>
        <v>0</v>
      </c>
      <c r="Q277" s="318">
        <f t="shared" si="241"/>
        <v>0</v>
      </c>
      <c r="R277" s="318">
        <f t="shared" si="242"/>
        <v>0</v>
      </c>
      <c r="S277" s="318">
        <f t="shared" si="243"/>
        <v>0</v>
      </c>
      <c r="T277" s="318">
        <f t="shared" si="222"/>
        <v>0</v>
      </c>
      <c r="U277" s="318">
        <f t="shared" si="223"/>
        <v>0</v>
      </c>
      <c r="V277" s="318">
        <f t="shared" si="244"/>
        <v>0</v>
      </c>
      <c r="W277" s="318">
        <f t="shared" si="245"/>
        <v>0</v>
      </c>
      <c r="X277" s="318">
        <f t="shared" si="246"/>
        <v>0</v>
      </c>
      <c r="Y277" s="318">
        <f t="shared" si="247"/>
        <v>0</v>
      </c>
      <c r="Z277" s="318">
        <f t="shared" si="228"/>
        <v>0</v>
      </c>
      <c r="AA277" s="318">
        <f t="shared" si="229"/>
        <v>0</v>
      </c>
      <c r="AB277" s="318">
        <f t="shared" si="248"/>
        <v>0</v>
      </c>
      <c r="AC277" s="318">
        <f t="shared" si="249"/>
        <v>0</v>
      </c>
      <c r="AD277" s="318">
        <f t="shared" si="230"/>
        <v>0</v>
      </c>
      <c r="AE277" s="318">
        <f t="shared" si="231"/>
        <v>0</v>
      </c>
      <c r="AF277" s="318">
        <f t="shared" si="224"/>
        <v>0</v>
      </c>
      <c r="AG277" s="318">
        <f t="shared" si="225"/>
        <v>0</v>
      </c>
      <c r="AH277" s="318">
        <f t="shared" si="250"/>
        <v>0</v>
      </c>
      <c r="AI277" s="318">
        <f t="shared" si="251"/>
        <v>0</v>
      </c>
      <c r="AJ277" s="318">
        <f t="shared" si="252"/>
        <v>0</v>
      </c>
      <c r="AK277" s="318">
        <f t="shared" si="253"/>
        <v>0</v>
      </c>
      <c r="AL277" s="318">
        <f t="shared" si="254"/>
        <v>0</v>
      </c>
      <c r="AM277" s="318">
        <f t="shared" si="255"/>
        <v>0</v>
      </c>
      <c r="AN277" s="318">
        <f t="shared" si="256"/>
        <v>0</v>
      </c>
      <c r="AO277" s="318">
        <f t="shared" si="257"/>
        <v>0</v>
      </c>
      <c r="AP277" s="318">
        <f t="shared" si="258"/>
        <v>0</v>
      </c>
      <c r="AQ277" s="318">
        <f t="shared" si="259"/>
        <v>0</v>
      </c>
      <c r="AR277" s="318">
        <f t="shared" si="232"/>
        <v>0</v>
      </c>
      <c r="AS277" s="318">
        <f t="shared" si="233"/>
        <v>0</v>
      </c>
      <c r="AT277" s="318">
        <f t="shared" si="260"/>
        <v>0</v>
      </c>
      <c r="AU277" s="318">
        <f t="shared" si="261"/>
        <v>0</v>
      </c>
      <c r="AV277" s="318">
        <f t="shared" si="262"/>
        <v>0</v>
      </c>
      <c r="AW277" s="318">
        <f t="shared" si="263"/>
        <v>0</v>
      </c>
      <c r="AX277" s="318">
        <f t="shared" si="234"/>
        <v>0</v>
      </c>
      <c r="AY277" s="318">
        <f t="shared" si="235"/>
        <v>0</v>
      </c>
      <c r="AZ277" s="318">
        <f t="shared" si="236"/>
        <v>0</v>
      </c>
      <c r="BA277" s="318">
        <f t="shared" si="237"/>
        <v>0</v>
      </c>
    </row>
    <row r="278" spans="1:53" s="315" customFormat="1" ht="16.5" customHeight="1">
      <c r="A278" s="63" t="str">
        <f t="array" ref="A278">IF(C278&lt;&gt;0,SUM(($C$11:C278&lt;&gt;0)*1),"")</f>
        <v/>
      </c>
      <c r="B278" s="316"/>
      <c r="C278" s="316"/>
      <c r="D278" s="316"/>
      <c r="E278" s="436"/>
      <c r="F278" s="372"/>
      <c r="G278" s="374"/>
      <c r="H278" s="374"/>
      <c r="I278" s="63" t="str">
        <f t="shared" si="219"/>
        <v/>
      </c>
      <c r="J278" s="318">
        <f t="shared" si="226"/>
        <v>0</v>
      </c>
      <c r="K278" s="318">
        <f t="shared" si="227"/>
        <v>0</v>
      </c>
      <c r="L278" s="318">
        <f t="shared" si="238"/>
        <v>0</v>
      </c>
      <c r="M278" s="318">
        <f t="shared" si="239"/>
        <v>0</v>
      </c>
      <c r="N278" s="318">
        <f t="shared" si="220"/>
        <v>0</v>
      </c>
      <c r="O278" s="318">
        <f t="shared" si="221"/>
        <v>0</v>
      </c>
      <c r="P278" s="318">
        <f t="shared" si="240"/>
        <v>0</v>
      </c>
      <c r="Q278" s="318">
        <f t="shared" si="241"/>
        <v>0</v>
      </c>
      <c r="R278" s="318">
        <f t="shared" si="242"/>
        <v>0</v>
      </c>
      <c r="S278" s="318">
        <f t="shared" si="243"/>
        <v>0</v>
      </c>
      <c r="T278" s="318">
        <f t="shared" si="222"/>
        <v>0</v>
      </c>
      <c r="U278" s="318">
        <f t="shared" si="223"/>
        <v>0</v>
      </c>
      <c r="V278" s="318">
        <f t="shared" si="244"/>
        <v>0</v>
      </c>
      <c r="W278" s="318">
        <f t="shared" si="245"/>
        <v>0</v>
      </c>
      <c r="X278" s="318">
        <f t="shared" si="246"/>
        <v>0</v>
      </c>
      <c r="Y278" s="318">
        <f t="shared" si="247"/>
        <v>0</v>
      </c>
      <c r="Z278" s="318">
        <f t="shared" si="228"/>
        <v>0</v>
      </c>
      <c r="AA278" s="318">
        <f t="shared" si="229"/>
        <v>0</v>
      </c>
      <c r="AB278" s="318">
        <f t="shared" si="248"/>
        <v>0</v>
      </c>
      <c r="AC278" s="318">
        <f t="shared" si="249"/>
        <v>0</v>
      </c>
      <c r="AD278" s="318">
        <f t="shared" si="230"/>
        <v>0</v>
      </c>
      <c r="AE278" s="318">
        <f t="shared" si="231"/>
        <v>0</v>
      </c>
      <c r="AF278" s="318">
        <f t="shared" si="224"/>
        <v>0</v>
      </c>
      <c r="AG278" s="318">
        <f t="shared" si="225"/>
        <v>0</v>
      </c>
      <c r="AH278" s="318">
        <f t="shared" si="250"/>
        <v>0</v>
      </c>
      <c r="AI278" s="318">
        <f t="shared" si="251"/>
        <v>0</v>
      </c>
      <c r="AJ278" s="318">
        <f t="shared" si="252"/>
        <v>0</v>
      </c>
      <c r="AK278" s="318">
        <f t="shared" si="253"/>
        <v>0</v>
      </c>
      <c r="AL278" s="318">
        <f t="shared" si="254"/>
        <v>0</v>
      </c>
      <c r="AM278" s="318">
        <f t="shared" si="255"/>
        <v>0</v>
      </c>
      <c r="AN278" s="318">
        <f t="shared" si="256"/>
        <v>0</v>
      </c>
      <c r="AO278" s="318">
        <f t="shared" si="257"/>
        <v>0</v>
      </c>
      <c r="AP278" s="318">
        <f t="shared" si="258"/>
        <v>0</v>
      </c>
      <c r="AQ278" s="318">
        <f t="shared" si="259"/>
        <v>0</v>
      </c>
      <c r="AR278" s="318">
        <f t="shared" si="232"/>
        <v>0</v>
      </c>
      <c r="AS278" s="318">
        <f t="shared" si="233"/>
        <v>0</v>
      </c>
      <c r="AT278" s="318">
        <f t="shared" si="260"/>
        <v>0</v>
      </c>
      <c r="AU278" s="318">
        <f t="shared" si="261"/>
        <v>0</v>
      </c>
      <c r="AV278" s="318">
        <f t="shared" si="262"/>
        <v>0</v>
      </c>
      <c r="AW278" s="318">
        <f t="shared" si="263"/>
        <v>0</v>
      </c>
      <c r="AX278" s="318">
        <f t="shared" si="234"/>
        <v>0</v>
      </c>
      <c r="AY278" s="318">
        <f t="shared" si="235"/>
        <v>0</v>
      </c>
      <c r="AZ278" s="318">
        <f t="shared" si="236"/>
        <v>0</v>
      </c>
      <c r="BA278" s="318">
        <f t="shared" si="237"/>
        <v>0</v>
      </c>
    </row>
    <row r="279" spans="1:53" s="315" customFormat="1" ht="16.5" customHeight="1">
      <c r="A279" s="63" t="str">
        <f t="array" ref="A279">IF(C279&lt;&gt;0,SUM(($C$11:C279&lt;&gt;0)*1),"")</f>
        <v/>
      </c>
      <c r="B279" s="316"/>
      <c r="C279" s="316"/>
      <c r="D279" s="316"/>
      <c r="E279" s="436"/>
      <c r="F279" s="372"/>
      <c r="G279" s="374"/>
      <c r="H279" s="374"/>
      <c r="I279" s="63" t="str">
        <f t="shared" si="219"/>
        <v/>
      </c>
      <c r="J279" s="318">
        <f t="shared" si="226"/>
        <v>0</v>
      </c>
      <c r="K279" s="318">
        <f t="shared" si="227"/>
        <v>0</v>
      </c>
      <c r="L279" s="318">
        <f t="shared" si="238"/>
        <v>0</v>
      </c>
      <c r="M279" s="318">
        <f t="shared" si="239"/>
        <v>0</v>
      </c>
      <c r="N279" s="318">
        <f t="shared" si="220"/>
        <v>0</v>
      </c>
      <c r="O279" s="318">
        <f t="shared" si="221"/>
        <v>0</v>
      </c>
      <c r="P279" s="318">
        <f t="shared" si="240"/>
        <v>0</v>
      </c>
      <c r="Q279" s="318">
        <f t="shared" si="241"/>
        <v>0</v>
      </c>
      <c r="R279" s="318">
        <f t="shared" si="242"/>
        <v>0</v>
      </c>
      <c r="S279" s="318">
        <f t="shared" si="243"/>
        <v>0</v>
      </c>
      <c r="T279" s="318">
        <f t="shared" si="222"/>
        <v>0</v>
      </c>
      <c r="U279" s="318">
        <f t="shared" si="223"/>
        <v>0</v>
      </c>
      <c r="V279" s="318">
        <f t="shared" si="244"/>
        <v>0</v>
      </c>
      <c r="W279" s="318">
        <f t="shared" si="245"/>
        <v>0</v>
      </c>
      <c r="X279" s="318">
        <f t="shared" si="246"/>
        <v>0</v>
      </c>
      <c r="Y279" s="318">
        <f t="shared" si="247"/>
        <v>0</v>
      </c>
      <c r="Z279" s="318">
        <f t="shared" si="228"/>
        <v>0</v>
      </c>
      <c r="AA279" s="318">
        <f t="shared" si="229"/>
        <v>0</v>
      </c>
      <c r="AB279" s="318">
        <f t="shared" si="248"/>
        <v>0</v>
      </c>
      <c r="AC279" s="318">
        <f t="shared" si="249"/>
        <v>0</v>
      </c>
      <c r="AD279" s="318">
        <f t="shared" si="230"/>
        <v>0</v>
      </c>
      <c r="AE279" s="318">
        <f t="shared" si="231"/>
        <v>0</v>
      </c>
      <c r="AF279" s="318">
        <f t="shared" si="224"/>
        <v>0</v>
      </c>
      <c r="AG279" s="318">
        <f t="shared" si="225"/>
        <v>0</v>
      </c>
      <c r="AH279" s="318">
        <f t="shared" si="250"/>
        <v>0</v>
      </c>
      <c r="AI279" s="318">
        <f t="shared" si="251"/>
        <v>0</v>
      </c>
      <c r="AJ279" s="318">
        <f t="shared" si="252"/>
        <v>0</v>
      </c>
      <c r="AK279" s="318">
        <f t="shared" si="253"/>
        <v>0</v>
      </c>
      <c r="AL279" s="318">
        <f t="shared" si="254"/>
        <v>0</v>
      </c>
      <c r="AM279" s="318">
        <f t="shared" si="255"/>
        <v>0</v>
      </c>
      <c r="AN279" s="318">
        <f t="shared" si="256"/>
        <v>0</v>
      </c>
      <c r="AO279" s="318">
        <f t="shared" si="257"/>
        <v>0</v>
      </c>
      <c r="AP279" s="318">
        <f t="shared" si="258"/>
        <v>0</v>
      </c>
      <c r="AQ279" s="318">
        <f t="shared" si="259"/>
        <v>0</v>
      </c>
      <c r="AR279" s="318">
        <f t="shared" si="232"/>
        <v>0</v>
      </c>
      <c r="AS279" s="318">
        <f t="shared" si="233"/>
        <v>0</v>
      </c>
      <c r="AT279" s="318">
        <f t="shared" si="260"/>
        <v>0</v>
      </c>
      <c r="AU279" s="318">
        <f t="shared" si="261"/>
        <v>0</v>
      </c>
      <c r="AV279" s="318">
        <f t="shared" si="262"/>
        <v>0</v>
      </c>
      <c r="AW279" s="318">
        <f t="shared" si="263"/>
        <v>0</v>
      </c>
      <c r="AX279" s="318">
        <f t="shared" si="234"/>
        <v>0</v>
      </c>
      <c r="AY279" s="318">
        <f t="shared" si="235"/>
        <v>0</v>
      </c>
      <c r="AZ279" s="318">
        <f t="shared" si="236"/>
        <v>0</v>
      </c>
      <c r="BA279" s="318">
        <f t="shared" si="237"/>
        <v>0</v>
      </c>
    </row>
    <row r="280" spans="1:53" s="315" customFormat="1" ht="16.5" customHeight="1">
      <c r="A280" s="63" t="str">
        <f t="array" ref="A280">IF(C280&lt;&gt;0,SUM(($C$11:C280&lt;&gt;0)*1),"")</f>
        <v/>
      </c>
      <c r="B280" s="316"/>
      <c r="C280" s="316"/>
      <c r="D280" s="316"/>
      <c r="E280" s="436"/>
      <c r="F280" s="372"/>
      <c r="G280" s="374"/>
      <c r="H280" s="374"/>
      <c r="I280" s="63" t="str">
        <f t="shared" si="219"/>
        <v/>
      </c>
      <c r="J280" s="318">
        <f t="shared" si="226"/>
        <v>0</v>
      </c>
      <c r="K280" s="318">
        <f t="shared" si="227"/>
        <v>0</v>
      </c>
      <c r="L280" s="318">
        <f t="shared" si="238"/>
        <v>0</v>
      </c>
      <c r="M280" s="318">
        <f t="shared" si="239"/>
        <v>0</v>
      </c>
      <c r="N280" s="318">
        <f t="shared" si="220"/>
        <v>0</v>
      </c>
      <c r="O280" s="318">
        <f t="shared" si="221"/>
        <v>0</v>
      </c>
      <c r="P280" s="318">
        <f t="shared" si="240"/>
        <v>0</v>
      </c>
      <c r="Q280" s="318">
        <f t="shared" si="241"/>
        <v>0</v>
      </c>
      <c r="R280" s="318">
        <f t="shared" si="242"/>
        <v>0</v>
      </c>
      <c r="S280" s="318">
        <f t="shared" si="243"/>
        <v>0</v>
      </c>
      <c r="T280" s="318">
        <f t="shared" si="222"/>
        <v>0</v>
      </c>
      <c r="U280" s="318">
        <f t="shared" si="223"/>
        <v>0</v>
      </c>
      <c r="V280" s="318">
        <f t="shared" si="244"/>
        <v>0</v>
      </c>
      <c r="W280" s="318">
        <f t="shared" si="245"/>
        <v>0</v>
      </c>
      <c r="X280" s="318">
        <f t="shared" si="246"/>
        <v>0</v>
      </c>
      <c r="Y280" s="318">
        <f t="shared" si="247"/>
        <v>0</v>
      </c>
      <c r="Z280" s="318">
        <f t="shared" si="228"/>
        <v>0</v>
      </c>
      <c r="AA280" s="318">
        <f t="shared" si="229"/>
        <v>0</v>
      </c>
      <c r="AB280" s="318">
        <f t="shared" si="248"/>
        <v>0</v>
      </c>
      <c r="AC280" s="318">
        <f t="shared" si="249"/>
        <v>0</v>
      </c>
      <c r="AD280" s="318">
        <f t="shared" si="230"/>
        <v>0</v>
      </c>
      <c r="AE280" s="318">
        <f t="shared" si="231"/>
        <v>0</v>
      </c>
      <c r="AF280" s="318">
        <f t="shared" si="224"/>
        <v>0</v>
      </c>
      <c r="AG280" s="318">
        <f t="shared" si="225"/>
        <v>0</v>
      </c>
      <c r="AH280" s="318">
        <f t="shared" si="250"/>
        <v>0</v>
      </c>
      <c r="AI280" s="318">
        <f t="shared" si="251"/>
        <v>0</v>
      </c>
      <c r="AJ280" s="318">
        <f t="shared" si="252"/>
        <v>0</v>
      </c>
      <c r="AK280" s="318">
        <f t="shared" si="253"/>
        <v>0</v>
      </c>
      <c r="AL280" s="318">
        <f t="shared" si="254"/>
        <v>0</v>
      </c>
      <c r="AM280" s="318">
        <f t="shared" si="255"/>
        <v>0</v>
      </c>
      <c r="AN280" s="318">
        <f t="shared" si="256"/>
        <v>0</v>
      </c>
      <c r="AO280" s="318">
        <f t="shared" si="257"/>
        <v>0</v>
      </c>
      <c r="AP280" s="318">
        <f t="shared" si="258"/>
        <v>0</v>
      </c>
      <c r="AQ280" s="318">
        <f t="shared" si="259"/>
        <v>0</v>
      </c>
      <c r="AR280" s="318">
        <f t="shared" si="232"/>
        <v>0</v>
      </c>
      <c r="AS280" s="318">
        <f t="shared" si="233"/>
        <v>0</v>
      </c>
      <c r="AT280" s="318">
        <f t="shared" si="260"/>
        <v>0</v>
      </c>
      <c r="AU280" s="318">
        <f t="shared" si="261"/>
        <v>0</v>
      </c>
      <c r="AV280" s="318">
        <f t="shared" si="262"/>
        <v>0</v>
      </c>
      <c r="AW280" s="318">
        <f t="shared" si="263"/>
        <v>0</v>
      </c>
      <c r="AX280" s="318">
        <f t="shared" si="234"/>
        <v>0</v>
      </c>
      <c r="AY280" s="318">
        <f t="shared" si="235"/>
        <v>0</v>
      </c>
      <c r="AZ280" s="318">
        <f t="shared" si="236"/>
        <v>0</v>
      </c>
      <c r="BA280" s="318">
        <f t="shared" si="237"/>
        <v>0</v>
      </c>
    </row>
    <row r="281" spans="1:53" s="315" customFormat="1" ht="16.5" customHeight="1">
      <c r="A281" s="63" t="str">
        <f t="array" ref="A281">IF(C281&lt;&gt;0,SUM(($C$11:C281&lt;&gt;0)*1),"")</f>
        <v/>
      </c>
      <c r="B281" s="316"/>
      <c r="C281" s="316"/>
      <c r="D281" s="316"/>
      <c r="E281" s="436"/>
      <c r="F281" s="372"/>
      <c r="G281" s="374"/>
      <c r="H281" s="374"/>
      <c r="I281" s="63" t="str">
        <f t="shared" si="219"/>
        <v/>
      </c>
      <c r="J281" s="318">
        <f t="shared" si="226"/>
        <v>0</v>
      </c>
      <c r="K281" s="318">
        <f t="shared" si="227"/>
        <v>0</v>
      </c>
      <c r="L281" s="318">
        <f t="shared" si="238"/>
        <v>0</v>
      </c>
      <c r="M281" s="318">
        <f t="shared" si="239"/>
        <v>0</v>
      </c>
      <c r="N281" s="318">
        <f t="shared" si="220"/>
        <v>0</v>
      </c>
      <c r="O281" s="318">
        <f t="shared" si="221"/>
        <v>0</v>
      </c>
      <c r="P281" s="318">
        <f t="shared" si="240"/>
        <v>0</v>
      </c>
      <c r="Q281" s="318">
        <f t="shared" si="241"/>
        <v>0</v>
      </c>
      <c r="R281" s="318">
        <f t="shared" si="242"/>
        <v>0</v>
      </c>
      <c r="S281" s="318">
        <f t="shared" si="243"/>
        <v>0</v>
      </c>
      <c r="T281" s="318">
        <f t="shared" si="222"/>
        <v>0</v>
      </c>
      <c r="U281" s="318">
        <f t="shared" si="223"/>
        <v>0</v>
      </c>
      <c r="V281" s="318">
        <f t="shared" si="244"/>
        <v>0</v>
      </c>
      <c r="W281" s="318">
        <f t="shared" si="245"/>
        <v>0</v>
      </c>
      <c r="X281" s="318">
        <f t="shared" si="246"/>
        <v>0</v>
      </c>
      <c r="Y281" s="318">
        <f t="shared" si="247"/>
        <v>0</v>
      </c>
      <c r="Z281" s="318">
        <f t="shared" si="228"/>
        <v>0</v>
      </c>
      <c r="AA281" s="318">
        <f t="shared" si="229"/>
        <v>0</v>
      </c>
      <c r="AB281" s="318">
        <f t="shared" si="248"/>
        <v>0</v>
      </c>
      <c r="AC281" s="318">
        <f t="shared" si="249"/>
        <v>0</v>
      </c>
      <c r="AD281" s="318">
        <f t="shared" si="230"/>
        <v>0</v>
      </c>
      <c r="AE281" s="318">
        <f t="shared" si="231"/>
        <v>0</v>
      </c>
      <c r="AF281" s="318">
        <f t="shared" si="224"/>
        <v>0</v>
      </c>
      <c r="AG281" s="318">
        <f t="shared" si="225"/>
        <v>0</v>
      </c>
      <c r="AH281" s="318">
        <f t="shared" si="250"/>
        <v>0</v>
      </c>
      <c r="AI281" s="318">
        <f t="shared" si="251"/>
        <v>0</v>
      </c>
      <c r="AJ281" s="318">
        <f t="shared" si="252"/>
        <v>0</v>
      </c>
      <c r="AK281" s="318">
        <f t="shared" si="253"/>
        <v>0</v>
      </c>
      <c r="AL281" s="318">
        <f t="shared" si="254"/>
        <v>0</v>
      </c>
      <c r="AM281" s="318">
        <f t="shared" si="255"/>
        <v>0</v>
      </c>
      <c r="AN281" s="318">
        <f t="shared" si="256"/>
        <v>0</v>
      </c>
      <c r="AO281" s="318">
        <f t="shared" si="257"/>
        <v>0</v>
      </c>
      <c r="AP281" s="318">
        <f t="shared" si="258"/>
        <v>0</v>
      </c>
      <c r="AQ281" s="318">
        <f t="shared" si="259"/>
        <v>0</v>
      </c>
      <c r="AR281" s="318">
        <f t="shared" si="232"/>
        <v>0</v>
      </c>
      <c r="AS281" s="318">
        <f t="shared" si="233"/>
        <v>0</v>
      </c>
      <c r="AT281" s="318">
        <f t="shared" si="260"/>
        <v>0</v>
      </c>
      <c r="AU281" s="318">
        <f t="shared" si="261"/>
        <v>0</v>
      </c>
      <c r="AV281" s="318">
        <f t="shared" si="262"/>
        <v>0</v>
      </c>
      <c r="AW281" s="318">
        <f t="shared" si="263"/>
        <v>0</v>
      </c>
      <c r="AX281" s="318">
        <f t="shared" si="234"/>
        <v>0</v>
      </c>
      <c r="AY281" s="318">
        <f t="shared" si="235"/>
        <v>0</v>
      </c>
      <c r="AZ281" s="318">
        <f t="shared" si="236"/>
        <v>0</v>
      </c>
      <c r="BA281" s="318">
        <f t="shared" si="237"/>
        <v>0</v>
      </c>
    </row>
    <row r="282" spans="1:53" s="315" customFormat="1" ht="16.5" customHeight="1">
      <c r="A282" s="63" t="str">
        <f t="array" ref="A282">IF(C282&lt;&gt;0,SUM(($C$11:C282&lt;&gt;0)*1),"")</f>
        <v/>
      </c>
      <c r="B282" s="316"/>
      <c r="C282" s="316"/>
      <c r="D282" s="316"/>
      <c r="E282" s="436"/>
      <c r="F282" s="372"/>
      <c r="G282" s="374"/>
      <c r="H282" s="374"/>
      <c r="I282" s="63" t="str">
        <f t="shared" si="219"/>
        <v/>
      </c>
      <c r="J282" s="318">
        <f t="shared" si="226"/>
        <v>0</v>
      </c>
      <c r="K282" s="318">
        <f t="shared" si="227"/>
        <v>0</v>
      </c>
      <c r="L282" s="318">
        <f t="shared" si="238"/>
        <v>0</v>
      </c>
      <c r="M282" s="318">
        <f t="shared" si="239"/>
        <v>0</v>
      </c>
      <c r="N282" s="318">
        <f t="shared" si="220"/>
        <v>0</v>
      </c>
      <c r="O282" s="318">
        <f t="shared" si="221"/>
        <v>0</v>
      </c>
      <c r="P282" s="318">
        <f t="shared" si="240"/>
        <v>0</v>
      </c>
      <c r="Q282" s="318">
        <f t="shared" si="241"/>
        <v>0</v>
      </c>
      <c r="R282" s="318">
        <f t="shared" si="242"/>
        <v>0</v>
      </c>
      <c r="S282" s="318">
        <f t="shared" si="243"/>
        <v>0</v>
      </c>
      <c r="T282" s="318">
        <f t="shared" si="222"/>
        <v>0</v>
      </c>
      <c r="U282" s="318">
        <f t="shared" si="223"/>
        <v>0</v>
      </c>
      <c r="V282" s="318">
        <f t="shared" si="244"/>
        <v>0</v>
      </c>
      <c r="W282" s="318">
        <f t="shared" si="245"/>
        <v>0</v>
      </c>
      <c r="X282" s="318">
        <f t="shared" si="246"/>
        <v>0</v>
      </c>
      <c r="Y282" s="318">
        <f t="shared" si="247"/>
        <v>0</v>
      </c>
      <c r="Z282" s="318">
        <f t="shared" si="228"/>
        <v>0</v>
      </c>
      <c r="AA282" s="318">
        <f t="shared" si="229"/>
        <v>0</v>
      </c>
      <c r="AB282" s="318">
        <f t="shared" si="248"/>
        <v>0</v>
      </c>
      <c r="AC282" s="318">
        <f t="shared" si="249"/>
        <v>0</v>
      </c>
      <c r="AD282" s="318">
        <f t="shared" si="230"/>
        <v>0</v>
      </c>
      <c r="AE282" s="318">
        <f t="shared" si="231"/>
        <v>0</v>
      </c>
      <c r="AF282" s="318">
        <f t="shared" si="224"/>
        <v>0</v>
      </c>
      <c r="AG282" s="318">
        <f t="shared" si="225"/>
        <v>0</v>
      </c>
      <c r="AH282" s="318">
        <f t="shared" si="250"/>
        <v>0</v>
      </c>
      <c r="AI282" s="318">
        <f t="shared" si="251"/>
        <v>0</v>
      </c>
      <c r="AJ282" s="318">
        <f t="shared" si="252"/>
        <v>0</v>
      </c>
      <c r="AK282" s="318">
        <f t="shared" si="253"/>
        <v>0</v>
      </c>
      <c r="AL282" s="318">
        <f t="shared" si="254"/>
        <v>0</v>
      </c>
      <c r="AM282" s="318">
        <f t="shared" si="255"/>
        <v>0</v>
      </c>
      <c r="AN282" s="318">
        <f t="shared" si="256"/>
        <v>0</v>
      </c>
      <c r="AO282" s="318">
        <f t="shared" si="257"/>
        <v>0</v>
      </c>
      <c r="AP282" s="318">
        <f t="shared" si="258"/>
        <v>0</v>
      </c>
      <c r="AQ282" s="318">
        <f t="shared" si="259"/>
        <v>0</v>
      </c>
      <c r="AR282" s="318">
        <f t="shared" si="232"/>
        <v>0</v>
      </c>
      <c r="AS282" s="318">
        <f t="shared" si="233"/>
        <v>0</v>
      </c>
      <c r="AT282" s="318">
        <f t="shared" si="260"/>
        <v>0</v>
      </c>
      <c r="AU282" s="318">
        <f t="shared" si="261"/>
        <v>0</v>
      </c>
      <c r="AV282" s="318">
        <f t="shared" si="262"/>
        <v>0</v>
      </c>
      <c r="AW282" s="318">
        <f t="shared" si="263"/>
        <v>0</v>
      </c>
      <c r="AX282" s="318">
        <f t="shared" si="234"/>
        <v>0</v>
      </c>
      <c r="AY282" s="318">
        <f t="shared" si="235"/>
        <v>0</v>
      </c>
      <c r="AZ282" s="318">
        <f t="shared" si="236"/>
        <v>0</v>
      </c>
      <c r="BA282" s="318">
        <f t="shared" si="237"/>
        <v>0</v>
      </c>
    </row>
    <row r="283" spans="1:53" s="315" customFormat="1" ht="16.5" customHeight="1">
      <c r="A283" s="63" t="str">
        <f t="array" ref="A283">IF(C283&lt;&gt;0,SUM(($C$11:C283&lt;&gt;0)*1),"")</f>
        <v/>
      </c>
      <c r="B283" s="316"/>
      <c r="C283" s="316"/>
      <c r="D283" s="316"/>
      <c r="E283" s="436"/>
      <c r="F283" s="372"/>
      <c r="G283" s="374"/>
      <c r="H283" s="374"/>
      <c r="I283" s="63" t="str">
        <f t="shared" si="219"/>
        <v/>
      </c>
      <c r="J283" s="318">
        <f t="shared" si="226"/>
        <v>0</v>
      </c>
      <c r="K283" s="318">
        <f t="shared" si="227"/>
        <v>0</v>
      </c>
      <c r="L283" s="318">
        <f t="shared" si="238"/>
        <v>0</v>
      </c>
      <c r="M283" s="318">
        <f t="shared" si="239"/>
        <v>0</v>
      </c>
      <c r="N283" s="318">
        <f t="shared" si="220"/>
        <v>0</v>
      </c>
      <c r="O283" s="318">
        <f t="shared" si="221"/>
        <v>0</v>
      </c>
      <c r="P283" s="318">
        <f t="shared" si="240"/>
        <v>0</v>
      </c>
      <c r="Q283" s="318">
        <f t="shared" si="241"/>
        <v>0</v>
      </c>
      <c r="R283" s="318">
        <f t="shared" si="242"/>
        <v>0</v>
      </c>
      <c r="S283" s="318">
        <f t="shared" si="243"/>
        <v>0</v>
      </c>
      <c r="T283" s="318">
        <f t="shared" si="222"/>
        <v>0</v>
      </c>
      <c r="U283" s="318">
        <f t="shared" si="223"/>
        <v>0</v>
      </c>
      <c r="V283" s="318">
        <f t="shared" si="244"/>
        <v>0</v>
      </c>
      <c r="W283" s="318">
        <f t="shared" si="245"/>
        <v>0</v>
      </c>
      <c r="X283" s="318">
        <f t="shared" si="246"/>
        <v>0</v>
      </c>
      <c r="Y283" s="318">
        <f t="shared" si="247"/>
        <v>0</v>
      </c>
      <c r="Z283" s="318">
        <f t="shared" si="228"/>
        <v>0</v>
      </c>
      <c r="AA283" s="318">
        <f t="shared" si="229"/>
        <v>0</v>
      </c>
      <c r="AB283" s="318">
        <f t="shared" si="248"/>
        <v>0</v>
      </c>
      <c r="AC283" s="318">
        <f t="shared" si="249"/>
        <v>0</v>
      </c>
      <c r="AD283" s="318">
        <f t="shared" si="230"/>
        <v>0</v>
      </c>
      <c r="AE283" s="318">
        <f t="shared" si="231"/>
        <v>0</v>
      </c>
      <c r="AF283" s="318">
        <f t="shared" si="224"/>
        <v>0</v>
      </c>
      <c r="AG283" s="318">
        <f t="shared" si="225"/>
        <v>0</v>
      </c>
      <c r="AH283" s="318">
        <f t="shared" si="250"/>
        <v>0</v>
      </c>
      <c r="AI283" s="318">
        <f t="shared" si="251"/>
        <v>0</v>
      </c>
      <c r="AJ283" s="318">
        <f t="shared" si="252"/>
        <v>0</v>
      </c>
      <c r="AK283" s="318">
        <f t="shared" si="253"/>
        <v>0</v>
      </c>
      <c r="AL283" s="318">
        <f t="shared" si="254"/>
        <v>0</v>
      </c>
      <c r="AM283" s="318">
        <f t="shared" si="255"/>
        <v>0</v>
      </c>
      <c r="AN283" s="318">
        <f t="shared" si="256"/>
        <v>0</v>
      </c>
      <c r="AO283" s="318">
        <f t="shared" si="257"/>
        <v>0</v>
      </c>
      <c r="AP283" s="318">
        <f t="shared" si="258"/>
        <v>0</v>
      </c>
      <c r="AQ283" s="318">
        <f t="shared" si="259"/>
        <v>0</v>
      </c>
      <c r="AR283" s="318">
        <f t="shared" si="232"/>
        <v>0</v>
      </c>
      <c r="AS283" s="318">
        <f t="shared" si="233"/>
        <v>0</v>
      </c>
      <c r="AT283" s="318">
        <f t="shared" si="260"/>
        <v>0</v>
      </c>
      <c r="AU283" s="318">
        <f t="shared" si="261"/>
        <v>0</v>
      </c>
      <c r="AV283" s="318">
        <f t="shared" si="262"/>
        <v>0</v>
      </c>
      <c r="AW283" s="318">
        <f t="shared" si="263"/>
        <v>0</v>
      </c>
      <c r="AX283" s="318">
        <f t="shared" si="234"/>
        <v>0</v>
      </c>
      <c r="AY283" s="318">
        <f t="shared" si="235"/>
        <v>0</v>
      </c>
      <c r="AZ283" s="318">
        <f t="shared" si="236"/>
        <v>0</v>
      </c>
      <c r="BA283" s="318">
        <f t="shared" si="237"/>
        <v>0</v>
      </c>
    </row>
    <row r="284" spans="1:53" s="315" customFormat="1" ht="16.5" customHeight="1">
      <c r="A284" s="63" t="str">
        <f t="array" ref="A284">IF(C284&lt;&gt;0,SUM(($C$11:C284&lt;&gt;0)*1),"")</f>
        <v/>
      </c>
      <c r="B284" s="316"/>
      <c r="C284" s="316"/>
      <c r="D284" s="316"/>
      <c r="E284" s="436"/>
      <c r="F284" s="372"/>
      <c r="G284" s="374"/>
      <c r="H284" s="374"/>
      <c r="I284" s="63" t="str">
        <f t="shared" si="219"/>
        <v/>
      </c>
      <c r="J284" s="318">
        <f t="shared" si="226"/>
        <v>0</v>
      </c>
      <c r="K284" s="318">
        <f t="shared" si="227"/>
        <v>0</v>
      </c>
      <c r="L284" s="318">
        <f t="shared" si="238"/>
        <v>0</v>
      </c>
      <c r="M284" s="318">
        <f t="shared" si="239"/>
        <v>0</v>
      </c>
      <c r="N284" s="318">
        <f t="shared" si="220"/>
        <v>0</v>
      </c>
      <c r="O284" s="318">
        <f t="shared" si="221"/>
        <v>0</v>
      </c>
      <c r="P284" s="318">
        <f t="shared" si="240"/>
        <v>0</v>
      </c>
      <c r="Q284" s="318">
        <f t="shared" si="241"/>
        <v>0</v>
      </c>
      <c r="R284" s="318">
        <f t="shared" si="242"/>
        <v>0</v>
      </c>
      <c r="S284" s="318">
        <f t="shared" si="243"/>
        <v>0</v>
      </c>
      <c r="T284" s="318">
        <f t="shared" si="222"/>
        <v>0</v>
      </c>
      <c r="U284" s="318">
        <f t="shared" si="223"/>
        <v>0</v>
      </c>
      <c r="V284" s="318">
        <f t="shared" si="244"/>
        <v>0</v>
      </c>
      <c r="W284" s="318">
        <f t="shared" si="245"/>
        <v>0</v>
      </c>
      <c r="X284" s="318">
        <f t="shared" si="246"/>
        <v>0</v>
      </c>
      <c r="Y284" s="318">
        <f t="shared" si="247"/>
        <v>0</v>
      </c>
      <c r="Z284" s="318">
        <f t="shared" si="228"/>
        <v>0</v>
      </c>
      <c r="AA284" s="318">
        <f t="shared" si="229"/>
        <v>0</v>
      </c>
      <c r="AB284" s="318">
        <f t="shared" si="248"/>
        <v>0</v>
      </c>
      <c r="AC284" s="318">
        <f t="shared" si="249"/>
        <v>0</v>
      </c>
      <c r="AD284" s="318">
        <f t="shared" si="230"/>
        <v>0</v>
      </c>
      <c r="AE284" s="318">
        <f t="shared" si="231"/>
        <v>0</v>
      </c>
      <c r="AF284" s="318">
        <f t="shared" si="224"/>
        <v>0</v>
      </c>
      <c r="AG284" s="318">
        <f t="shared" si="225"/>
        <v>0</v>
      </c>
      <c r="AH284" s="318">
        <f t="shared" si="250"/>
        <v>0</v>
      </c>
      <c r="AI284" s="318">
        <f t="shared" si="251"/>
        <v>0</v>
      </c>
      <c r="AJ284" s="318">
        <f t="shared" si="252"/>
        <v>0</v>
      </c>
      <c r="AK284" s="318">
        <f t="shared" si="253"/>
        <v>0</v>
      </c>
      <c r="AL284" s="318">
        <f t="shared" si="254"/>
        <v>0</v>
      </c>
      <c r="AM284" s="318">
        <f t="shared" si="255"/>
        <v>0</v>
      </c>
      <c r="AN284" s="318">
        <f t="shared" si="256"/>
        <v>0</v>
      </c>
      <c r="AO284" s="318">
        <f t="shared" si="257"/>
        <v>0</v>
      </c>
      <c r="AP284" s="318">
        <f t="shared" si="258"/>
        <v>0</v>
      </c>
      <c r="AQ284" s="318">
        <f t="shared" si="259"/>
        <v>0</v>
      </c>
      <c r="AR284" s="318">
        <f t="shared" si="232"/>
        <v>0</v>
      </c>
      <c r="AS284" s="318">
        <f t="shared" si="233"/>
        <v>0</v>
      </c>
      <c r="AT284" s="318">
        <f t="shared" si="260"/>
        <v>0</v>
      </c>
      <c r="AU284" s="318">
        <f t="shared" si="261"/>
        <v>0</v>
      </c>
      <c r="AV284" s="318">
        <f t="shared" si="262"/>
        <v>0</v>
      </c>
      <c r="AW284" s="318">
        <f t="shared" si="263"/>
        <v>0</v>
      </c>
      <c r="AX284" s="318">
        <f t="shared" si="234"/>
        <v>0</v>
      </c>
      <c r="AY284" s="318">
        <f t="shared" si="235"/>
        <v>0</v>
      </c>
      <c r="AZ284" s="318">
        <f t="shared" si="236"/>
        <v>0</v>
      </c>
      <c r="BA284" s="318">
        <f t="shared" si="237"/>
        <v>0</v>
      </c>
    </row>
    <row r="285" spans="1:53" s="315" customFormat="1" ht="16.5" customHeight="1">
      <c r="A285" s="63" t="str">
        <f t="array" ref="A285">IF(C285&lt;&gt;0,SUM(($C$11:C285&lt;&gt;0)*1),"")</f>
        <v/>
      </c>
      <c r="B285" s="316"/>
      <c r="C285" s="316"/>
      <c r="D285" s="316"/>
      <c r="E285" s="436"/>
      <c r="F285" s="372"/>
      <c r="G285" s="374"/>
      <c r="H285" s="374"/>
      <c r="I285" s="63" t="str">
        <f t="shared" si="219"/>
        <v/>
      </c>
      <c r="J285" s="318">
        <f t="shared" si="226"/>
        <v>0</v>
      </c>
      <c r="K285" s="318">
        <f t="shared" si="227"/>
        <v>0</v>
      </c>
      <c r="L285" s="318">
        <f t="shared" si="238"/>
        <v>0</v>
      </c>
      <c r="M285" s="318">
        <f t="shared" si="239"/>
        <v>0</v>
      </c>
      <c r="N285" s="318">
        <f t="shared" si="220"/>
        <v>0</v>
      </c>
      <c r="O285" s="318">
        <f t="shared" si="221"/>
        <v>0</v>
      </c>
      <c r="P285" s="318">
        <f t="shared" si="240"/>
        <v>0</v>
      </c>
      <c r="Q285" s="318">
        <f t="shared" si="241"/>
        <v>0</v>
      </c>
      <c r="R285" s="318">
        <f t="shared" si="242"/>
        <v>0</v>
      </c>
      <c r="S285" s="318">
        <f t="shared" si="243"/>
        <v>0</v>
      </c>
      <c r="T285" s="318">
        <f t="shared" si="222"/>
        <v>0</v>
      </c>
      <c r="U285" s="318">
        <f t="shared" si="223"/>
        <v>0</v>
      </c>
      <c r="V285" s="318">
        <f t="shared" si="244"/>
        <v>0</v>
      </c>
      <c r="W285" s="318">
        <f t="shared" si="245"/>
        <v>0</v>
      </c>
      <c r="X285" s="318">
        <f t="shared" si="246"/>
        <v>0</v>
      </c>
      <c r="Y285" s="318">
        <f t="shared" si="247"/>
        <v>0</v>
      </c>
      <c r="Z285" s="318">
        <f t="shared" si="228"/>
        <v>0</v>
      </c>
      <c r="AA285" s="318">
        <f t="shared" si="229"/>
        <v>0</v>
      </c>
      <c r="AB285" s="318">
        <f t="shared" si="248"/>
        <v>0</v>
      </c>
      <c r="AC285" s="318">
        <f t="shared" si="249"/>
        <v>0</v>
      </c>
      <c r="AD285" s="318">
        <f t="shared" si="230"/>
        <v>0</v>
      </c>
      <c r="AE285" s="318">
        <f t="shared" si="231"/>
        <v>0</v>
      </c>
      <c r="AF285" s="318">
        <f t="shared" si="224"/>
        <v>0</v>
      </c>
      <c r="AG285" s="318">
        <f t="shared" si="225"/>
        <v>0</v>
      </c>
      <c r="AH285" s="318">
        <f t="shared" si="250"/>
        <v>0</v>
      </c>
      <c r="AI285" s="318">
        <f t="shared" si="251"/>
        <v>0</v>
      </c>
      <c r="AJ285" s="318">
        <f t="shared" si="252"/>
        <v>0</v>
      </c>
      <c r="AK285" s="318">
        <f t="shared" si="253"/>
        <v>0</v>
      </c>
      <c r="AL285" s="318">
        <f t="shared" si="254"/>
        <v>0</v>
      </c>
      <c r="AM285" s="318">
        <f t="shared" si="255"/>
        <v>0</v>
      </c>
      <c r="AN285" s="318">
        <f t="shared" si="256"/>
        <v>0</v>
      </c>
      <c r="AO285" s="318">
        <f t="shared" si="257"/>
        <v>0</v>
      </c>
      <c r="AP285" s="318">
        <f t="shared" si="258"/>
        <v>0</v>
      </c>
      <c r="AQ285" s="318">
        <f t="shared" si="259"/>
        <v>0</v>
      </c>
      <c r="AR285" s="318">
        <f t="shared" si="232"/>
        <v>0</v>
      </c>
      <c r="AS285" s="318">
        <f t="shared" si="233"/>
        <v>0</v>
      </c>
      <c r="AT285" s="318">
        <f t="shared" si="260"/>
        <v>0</v>
      </c>
      <c r="AU285" s="318">
        <f t="shared" si="261"/>
        <v>0</v>
      </c>
      <c r="AV285" s="318">
        <f t="shared" si="262"/>
        <v>0</v>
      </c>
      <c r="AW285" s="318">
        <f t="shared" si="263"/>
        <v>0</v>
      </c>
      <c r="AX285" s="318">
        <f t="shared" si="234"/>
        <v>0</v>
      </c>
      <c r="AY285" s="318">
        <f t="shared" si="235"/>
        <v>0</v>
      </c>
      <c r="AZ285" s="318">
        <f t="shared" si="236"/>
        <v>0</v>
      </c>
      <c r="BA285" s="318">
        <f t="shared" si="237"/>
        <v>0</v>
      </c>
    </row>
    <row r="286" spans="1:53" s="315" customFormat="1" ht="16.5" customHeight="1">
      <c r="A286" s="63" t="str">
        <f t="array" ref="A286">IF(C286&lt;&gt;0,SUM(($C$11:C286&lt;&gt;0)*1),"")</f>
        <v/>
      </c>
      <c r="B286" s="316"/>
      <c r="C286" s="316"/>
      <c r="D286" s="316"/>
      <c r="E286" s="436"/>
      <c r="F286" s="372"/>
      <c r="G286" s="374"/>
      <c r="H286" s="374"/>
      <c r="I286" s="63" t="str">
        <f t="shared" si="219"/>
        <v/>
      </c>
      <c r="J286" s="318">
        <f t="shared" si="226"/>
        <v>0</v>
      </c>
      <c r="K286" s="318">
        <f t="shared" si="227"/>
        <v>0</v>
      </c>
      <c r="L286" s="318">
        <f t="shared" si="238"/>
        <v>0</v>
      </c>
      <c r="M286" s="318">
        <f t="shared" si="239"/>
        <v>0</v>
      </c>
      <c r="N286" s="318">
        <f t="shared" si="220"/>
        <v>0</v>
      </c>
      <c r="O286" s="318">
        <f t="shared" si="221"/>
        <v>0</v>
      </c>
      <c r="P286" s="318">
        <f t="shared" si="240"/>
        <v>0</v>
      </c>
      <c r="Q286" s="318">
        <f t="shared" si="241"/>
        <v>0</v>
      </c>
      <c r="R286" s="318">
        <f t="shared" si="242"/>
        <v>0</v>
      </c>
      <c r="S286" s="318">
        <f t="shared" si="243"/>
        <v>0</v>
      </c>
      <c r="T286" s="318">
        <f t="shared" si="222"/>
        <v>0</v>
      </c>
      <c r="U286" s="318">
        <f t="shared" si="223"/>
        <v>0</v>
      </c>
      <c r="V286" s="318">
        <f t="shared" si="244"/>
        <v>0</v>
      </c>
      <c r="W286" s="318">
        <f t="shared" si="245"/>
        <v>0</v>
      </c>
      <c r="X286" s="318">
        <f t="shared" si="246"/>
        <v>0</v>
      </c>
      <c r="Y286" s="318">
        <f t="shared" si="247"/>
        <v>0</v>
      </c>
      <c r="Z286" s="318">
        <f t="shared" si="228"/>
        <v>0</v>
      </c>
      <c r="AA286" s="318">
        <f t="shared" si="229"/>
        <v>0</v>
      </c>
      <c r="AB286" s="318">
        <f t="shared" si="248"/>
        <v>0</v>
      </c>
      <c r="AC286" s="318">
        <f t="shared" si="249"/>
        <v>0</v>
      </c>
      <c r="AD286" s="318">
        <f t="shared" si="230"/>
        <v>0</v>
      </c>
      <c r="AE286" s="318">
        <f t="shared" si="231"/>
        <v>0</v>
      </c>
      <c r="AF286" s="318">
        <f t="shared" si="224"/>
        <v>0</v>
      </c>
      <c r="AG286" s="318">
        <f t="shared" si="225"/>
        <v>0</v>
      </c>
      <c r="AH286" s="318">
        <f t="shared" si="250"/>
        <v>0</v>
      </c>
      <c r="AI286" s="318">
        <f t="shared" si="251"/>
        <v>0</v>
      </c>
      <c r="AJ286" s="318">
        <f t="shared" si="252"/>
        <v>0</v>
      </c>
      <c r="AK286" s="318">
        <f t="shared" si="253"/>
        <v>0</v>
      </c>
      <c r="AL286" s="318">
        <f t="shared" si="254"/>
        <v>0</v>
      </c>
      <c r="AM286" s="318">
        <f t="shared" si="255"/>
        <v>0</v>
      </c>
      <c r="AN286" s="318">
        <f t="shared" si="256"/>
        <v>0</v>
      </c>
      <c r="AO286" s="318">
        <f t="shared" si="257"/>
        <v>0</v>
      </c>
      <c r="AP286" s="318">
        <f t="shared" si="258"/>
        <v>0</v>
      </c>
      <c r="AQ286" s="318">
        <f t="shared" si="259"/>
        <v>0</v>
      </c>
      <c r="AR286" s="318">
        <f t="shared" si="232"/>
        <v>0</v>
      </c>
      <c r="AS286" s="318">
        <f t="shared" si="233"/>
        <v>0</v>
      </c>
      <c r="AT286" s="318">
        <f t="shared" si="260"/>
        <v>0</v>
      </c>
      <c r="AU286" s="318">
        <f t="shared" si="261"/>
        <v>0</v>
      </c>
      <c r="AV286" s="318">
        <f t="shared" si="262"/>
        <v>0</v>
      </c>
      <c r="AW286" s="318">
        <f t="shared" si="263"/>
        <v>0</v>
      </c>
      <c r="AX286" s="318">
        <f t="shared" si="234"/>
        <v>0</v>
      </c>
      <c r="AY286" s="318">
        <f t="shared" si="235"/>
        <v>0</v>
      </c>
      <c r="AZ286" s="318">
        <f t="shared" si="236"/>
        <v>0</v>
      </c>
      <c r="BA286" s="318">
        <f t="shared" si="237"/>
        <v>0</v>
      </c>
    </row>
    <row r="287" spans="1:53" s="315" customFormat="1" ht="16.5" customHeight="1">
      <c r="A287" s="63" t="str">
        <f t="array" ref="A287">IF(C287&lt;&gt;0,SUM(($C$11:C287&lt;&gt;0)*1),"")</f>
        <v/>
      </c>
      <c r="B287" s="316"/>
      <c r="C287" s="316"/>
      <c r="D287" s="316"/>
      <c r="E287" s="436"/>
      <c r="F287" s="372"/>
      <c r="G287" s="374"/>
      <c r="H287" s="374"/>
      <c r="I287" s="63" t="str">
        <f t="shared" si="219"/>
        <v/>
      </c>
      <c r="J287" s="318">
        <f t="shared" si="226"/>
        <v>0</v>
      </c>
      <c r="K287" s="318">
        <f t="shared" si="227"/>
        <v>0</v>
      </c>
      <c r="L287" s="318">
        <f t="shared" si="238"/>
        <v>0</v>
      </c>
      <c r="M287" s="318">
        <f t="shared" si="239"/>
        <v>0</v>
      </c>
      <c r="N287" s="318">
        <f t="shared" si="220"/>
        <v>0</v>
      </c>
      <c r="O287" s="318">
        <f t="shared" si="221"/>
        <v>0</v>
      </c>
      <c r="P287" s="318">
        <f t="shared" si="240"/>
        <v>0</v>
      </c>
      <c r="Q287" s="318">
        <f t="shared" si="241"/>
        <v>0</v>
      </c>
      <c r="R287" s="318">
        <f t="shared" si="242"/>
        <v>0</v>
      </c>
      <c r="S287" s="318">
        <f t="shared" si="243"/>
        <v>0</v>
      </c>
      <c r="T287" s="318">
        <f t="shared" si="222"/>
        <v>0</v>
      </c>
      <c r="U287" s="318">
        <f t="shared" si="223"/>
        <v>0</v>
      </c>
      <c r="V287" s="318">
        <f t="shared" si="244"/>
        <v>0</v>
      </c>
      <c r="W287" s="318">
        <f t="shared" si="245"/>
        <v>0</v>
      </c>
      <c r="X287" s="318">
        <f t="shared" si="246"/>
        <v>0</v>
      </c>
      <c r="Y287" s="318">
        <f t="shared" si="247"/>
        <v>0</v>
      </c>
      <c r="Z287" s="318">
        <f t="shared" si="228"/>
        <v>0</v>
      </c>
      <c r="AA287" s="318">
        <f t="shared" si="229"/>
        <v>0</v>
      </c>
      <c r="AB287" s="318">
        <f t="shared" si="248"/>
        <v>0</v>
      </c>
      <c r="AC287" s="318">
        <f t="shared" si="249"/>
        <v>0</v>
      </c>
      <c r="AD287" s="318">
        <f t="shared" si="230"/>
        <v>0</v>
      </c>
      <c r="AE287" s="318">
        <f t="shared" si="231"/>
        <v>0</v>
      </c>
      <c r="AF287" s="318">
        <f t="shared" si="224"/>
        <v>0</v>
      </c>
      <c r="AG287" s="318">
        <f t="shared" si="225"/>
        <v>0</v>
      </c>
      <c r="AH287" s="318">
        <f t="shared" si="250"/>
        <v>0</v>
      </c>
      <c r="AI287" s="318">
        <f t="shared" si="251"/>
        <v>0</v>
      </c>
      <c r="AJ287" s="318">
        <f t="shared" si="252"/>
        <v>0</v>
      </c>
      <c r="AK287" s="318">
        <f t="shared" si="253"/>
        <v>0</v>
      </c>
      <c r="AL287" s="318">
        <f t="shared" si="254"/>
        <v>0</v>
      </c>
      <c r="AM287" s="318">
        <f t="shared" si="255"/>
        <v>0</v>
      </c>
      <c r="AN287" s="318">
        <f t="shared" si="256"/>
        <v>0</v>
      </c>
      <c r="AO287" s="318">
        <f t="shared" si="257"/>
        <v>0</v>
      </c>
      <c r="AP287" s="318">
        <f t="shared" si="258"/>
        <v>0</v>
      </c>
      <c r="AQ287" s="318">
        <f t="shared" si="259"/>
        <v>0</v>
      </c>
      <c r="AR287" s="318">
        <f t="shared" si="232"/>
        <v>0</v>
      </c>
      <c r="AS287" s="318">
        <f t="shared" si="233"/>
        <v>0</v>
      </c>
      <c r="AT287" s="318">
        <f t="shared" si="260"/>
        <v>0</v>
      </c>
      <c r="AU287" s="318">
        <f t="shared" si="261"/>
        <v>0</v>
      </c>
      <c r="AV287" s="318">
        <f t="shared" si="262"/>
        <v>0</v>
      </c>
      <c r="AW287" s="318">
        <f t="shared" si="263"/>
        <v>0</v>
      </c>
      <c r="AX287" s="318">
        <f t="shared" si="234"/>
        <v>0</v>
      </c>
      <c r="AY287" s="318">
        <f t="shared" si="235"/>
        <v>0</v>
      </c>
      <c r="AZ287" s="318">
        <f t="shared" si="236"/>
        <v>0</v>
      </c>
      <c r="BA287" s="318">
        <f t="shared" si="237"/>
        <v>0</v>
      </c>
    </row>
    <row r="288" spans="1:53" s="315" customFormat="1" ht="16.5" customHeight="1">
      <c r="A288" s="63" t="str">
        <f t="array" ref="A288">IF(C288&lt;&gt;0,SUM(($C$11:C288&lt;&gt;0)*1),"")</f>
        <v/>
      </c>
      <c r="B288" s="316"/>
      <c r="C288" s="316"/>
      <c r="D288" s="316"/>
      <c r="E288" s="436"/>
      <c r="F288" s="372"/>
      <c r="G288" s="374"/>
      <c r="H288" s="374"/>
      <c r="I288" s="63" t="str">
        <f t="shared" si="219"/>
        <v/>
      </c>
      <c r="J288" s="318">
        <f t="shared" si="226"/>
        <v>0</v>
      </c>
      <c r="K288" s="318">
        <f t="shared" si="227"/>
        <v>0</v>
      </c>
      <c r="L288" s="318">
        <f t="shared" si="238"/>
        <v>0</v>
      </c>
      <c r="M288" s="318">
        <f t="shared" si="239"/>
        <v>0</v>
      </c>
      <c r="N288" s="318">
        <f t="shared" si="220"/>
        <v>0</v>
      </c>
      <c r="O288" s="318">
        <f t="shared" si="221"/>
        <v>0</v>
      </c>
      <c r="P288" s="318">
        <f t="shared" si="240"/>
        <v>0</v>
      </c>
      <c r="Q288" s="318">
        <f t="shared" si="241"/>
        <v>0</v>
      </c>
      <c r="R288" s="318">
        <f t="shared" si="242"/>
        <v>0</v>
      </c>
      <c r="S288" s="318">
        <f t="shared" si="243"/>
        <v>0</v>
      </c>
      <c r="T288" s="318">
        <f t="shared" si="222"/>
        <v>0</v>
      </c>
      <c r="U288" s="318">
        <f t="shared" si="223"/>
        <v>0</v>
      </c>
      <c r="V288" s="318">
        <f t="shared" si="244"/>
        <v>0</v>
      </c>
      <c r="W288" s="318">
        <f t="shared" si="245"/>
        <v>0</v>
      </c>
      <c r="X288" s="318">
        <f t="shared" si="246"/>
        <v>0</v>
      </c>
      <c r="Y288" s="318">
        <f t="shared" si="247"/>
        <v>0</v>
      </c>
      <c r="Z288" s="318">
        <f t="shared" si="228"/>
        <v>0</v>
      </c>
      <c r="AA288" s="318">
        <f t="shared" si="229"/>
        <v>0</v>
      </c>
      <c r="AB288" s="318">
        <f t="shared" si="248"/>
        <v>0</v>
      </c>
      <c r="AC288" s="318">
        <f t="shared" si="249"/>
        <v>0</v>
      </c>
      <c r="AD288" s="318">
        <f t="shared" si="230"/>
        <v>0</v>
      </c>
      <c r="AE288" s="318">
        <f t="shared" si="231"/>
        <v>0</v>
      </c>
      <c r="AF288" s="318">
        <f t="shared" si="224"/>
        <v>0</v>
      </c>
      <c r="AG288" s="318">
        <f t="shared" si="225"/>
        <v>0</v>
      </c>
      <c r="AH288" s="318">
        <f t="shared" si="250"/>
        <v>0</v>
      </c>
      <c r="AI288" s="318">
        <f t="shared" si="251"/>
        <v>0</v>
      </c>
      <c r="AJ288" s="318">
        <f t="shared" si="252"/>
        <v>0</v>
      </c>
      <c r="AK288" s="318">
        <f t="shared" si="253"/>
        <v>0</v>
      </c>
      <c r="AL288" s="318">
        <f t="shared" si="254"/>
        <v>0</v>
      </c>
      <c r="AM288" s="318">
        <f t="shared" si="255"/>
        <v>0</v>
      </c>
      <c r="AN288" s="318">
        <f t="shared" si="256"/>
        <v>0</v>
      </c>
      <c r="AO288" s="318">
        <f t="shared" si="257"/>
        <v>0</v>
      </c>
      <c r="AP288" s="318">
        <f t="shared" si="258"/>
        <v>0</v>
      </c>
      <c r="AQ288" s="318">
        <f t="shared" si="259"/>
        <v>0</v>
      </c>
      <c r="AR288" s="318">
        <f t="shared" si="232"/>
        <v>0</v>
      </c>
      <c r="AS288" s="318">
        <f t="shared" si="233"/>
        <v>0</v>
      </c>
      <c r="AT288" s="318">
        <f t="shared" si="260"/>
        <v>0</v>
      </c>
      <c r="AU288" s="318">
        <f t="shared" si="261"/>
        <v>0</v>
      </c>
      <c r="AV288" s="318">
        <f t="shared" si="262"/>
        <v>0</v>
      </c>
      <c r="AW288" s="318">
        <f t="shared" si="263"/>
        <v>0</v>
      </c>
      <c r="AX288" s="318">
        <f t="shared" si="234"/>
        <v>0</v>
      </c>
      <c r="AY288" s="318">
        <f t="shared" si="235"/>
        <v>0</v>
      </c>
      <c r="AZ288" s="318">
        <f t="shared" si="236"/>
        <v>0</v>
      </c>
      <c r="BA288" s="318">
        <f t="shared" si="237"/>
        <v>0</v>
      </c>
    </row>
    <row r="289" spans="1:53" s="315" customFormat="1" ht="16.5" customHeight="1">
      <c r="A289" s="63" t="str">
        <f t="array" ref="A289">IF(C289&lt;&gt;0,SUM(($C$11:C289&lt;&gt;0)*1),"")</f>
        <v/>
      </c>
      <c r="B289" s="316"/>
      <c r="C289" s="316"/>
      <c r="D289" s="316"/>
      <c r="E289" s="436"/>
      <c r="F289" s="372"/>
      <c r="G289" s="374"/>
      <c r="H289" s="374"/>
      <c r="I289" s="63" t="str">
        <f t="shared" si="219"/>
        <v/>
      </c>
      <c r="J289" s="318">
        <f t="shared" si="226"/>
        <v>0</v>
      </c>
      <c r="K289" s="318">
        <f t="shared" si="227"/>
        <v>0</v>
      </c>
      <c r="L289" s="318">
        <f t="shared" si="238"/>
        <v>0</v>
      </c>
      <c r="M289" s="318">
        <f t="shared" si="239"/>
        <v>0</v>
      </c>
      <c r="N289" s="318">
        <f t="shared" si="220"/>
        <v>0</v>
      </c>
      <c r="O289" s="318">
        <f t="shared" si="221"/>
        <v>0</v>
      </c>
      <c r="P289" s="318">
        <f t="shared" si="240"/>
        <v>0</v>
      </c>
      <c r="Q289" s="318">
        <f t="shared" si="241"/>
        <v>0</v>
      </c>
      <c r="R289" s="318">
        <f t="shared" si="242"/>
        <v>0</v>
      </c>
      <c r="S289" s="318">
        <f t="shared" si="243"/>
        <v>0</v>
      </c>
      <c r="T289" s="318">
        <f t="shared" si="222"/>
        <v>0</v>
      </c>
      <c r="U289" s="318">
        <f t="shared" si="223"/>
        <v>0</v>
      </c>
      <c r="V289" s="318">
        <f t="shared" si="244"/>
        <v>0</v>
      </c>
      <c r="W289" s="318">
        <f t="shared" si="245"/>
        <v>0</v>
      </c>
      <c r="X289" s="318">
        <f t="shared" si="246"/>
        <v>0</v>
      </c>
      <c r="Y289" s="318">
        <f t="shared" si="247"/>
        <v>0</v>
      </c>
      <c r="Z289" s="318">
        <f t="shared" si="228"/>
        <v>0</v>
      </c>
      <c r="AA289" s="318">
        <f t="shared" si="229"/>
        <v>0</v>
      </c>
      <c r="AB289" s="318">
        <f t="shared" si="248"/>
        <v>0</v>
      </c>
      <c r="AC289" s="318">
        <f t="shared" si="249"/>
        <v>0</v>
      </c>
      <c r="AD289" s="318">
        <f t="shared" si="230"/>
        <v>0</v>
      </c>
      <c r="AE289" s="318">
        <f t="shared" si="231"/>
        <v>0</v>
      </c>
      <c r="AF289" s="318">
        <f t="shared" si="224"/>
        <v>0</v>
      </c>
      <c r="AG289" s="318">
        <f t="shared" si="225"/>
        <v>0</v>
      </c>
      <c r="AH289" s="318">
        <f t="shared" si="250"/>
        <v>0</v>
      </c>
      <c r="AI289" s="318">
        <f t="shared" si="251"/>
        <v>0</v>
      </c>
      <c r="AJ289" s="318">
        <f t="shared" si="252"/>
        <v>0</v>
      </c>
      <c r="AK289" s="318">
        <f t="shared" si="253"/>
        <v>0</v>
      </c>
      <c r="AL289" s="318">
        <f t="shared" si="254"/>
        <v>0</v>
      </c>
      <c r="AM289" s="318">
        <f t="shared" si="255"/>
        <v>0</v>
      </c>
      <c r="AN289" s="318">
        <f t="shared" si="256"/>
        <v>0</v>
      </c>
      <c r="AO289" s="318">
        <f t="shared" si="257"/>
        <v>0</v>
      </c>
      <c r="AP289" s="318">
        <f t="shared" si="258"/>
        <v>0</v>
      </c>
      <c r="AQ289" s="318">
        <f t="shared" si="259"/>
        <v>0</v>
      </c>
      <c r="AR289" s="318">
        <f t="shared" si="232"/>
        <v>0</v>
      </c>
      <c r="AS289" s="318">
        <f t="shared" si="233"/>
        <v>0</v>
      </c>
      <c r="AT289" s="318">
        <f t="shared" si="260"/>
        <v>0</v>
      </c>
      <c r="AU289" s="318">
        <f t="shared" si="261"/>
        <v>0</v>
      </c>
      <c r="AV289" s="318">
        <f t="shared" si="262"/>
        <v>0</v>
      </c>
      <c r="AW289" s="318">
        <f t="shared" si="263"/>
        <v>0</v>
      </c>
      <c r="AX289" s="318">
        <f t="shared" si="234"/>
        <v>0</v>
      </c>
      <c r="AY289" s="318">
        <f t="shared" si="235"/>
        <v>0</v>
      </c>
      <c r="AZ289" s="318">
        <f t="shared" si="236"/>
        <v>0</v>
      </c>
      <c r="BA289" s="318">
        <f t="shared" si="237"/>
        <v>0</v>
      </c>
    </row>
    <row r="290" spans="1:53" s="315" customFormat="1" ht="16.5" customHeight="1">
      <c r="A290" s="63" t="str">
        <f t="array" ref="A290">IF(C290&lt;&gt;0,SUM(($C$11:C290&lt;&gt;0)*1),"")</f>
        <v/>
      </c>
      <c r="B290" s="316"/>
      <c r="C290" s="316"/>
      <c r="D290" s="316"/>
      <c r="E290" s="436"/>
      <c r="F290" s="372"/>
      <c r="G290" s="374"/>
      <c r="H290" s="374"/>
      <c r="I290" s="63" t="str">
        <f t="shared" si="219"/>
        <v/>
      </c>
      <c r="J290" s="318">
        <f t="shared" si="226"/>
        <v>0</v>
      </c>
      <c r="K290" s="318">
        <f t="shared" si="227"/>
        <v>0</v>
      </c>
      <c r="L290" s="318">
        <f t="shared" si="238"/>
        <v>0</v>
      </c>
      <c r="M290" s="318">
        <f t="shared" si="239"/>
        <v>0</v>
      </c>
      <c r="N290" s="318">
        <f t="shared" si="220"/>
        <v>0</v>
      </c>
      <c r="O290" s="318">
        <f t="shared" si="221"/>
        <v>0</v>
      </c>
      <c r="P290" s="318">
        <f t="shared" si="240"/>
        <v>0</v>
      </c>
      <c r="Q290" s="318">
        <f t="shared" si="241"/>
        <v>0</v>
      </c>
      <c r="R290" s="318">
        <f t="shared" si="242"/>
        <v>0</v>
      </c>
      <c r="S290" s="318">
        <f t="shared" si="243"/>
        <v>0</v>
      </c>
      <c r="T290" s="318">
        <f t="shared" si="222"/>
        <v>0</v>
      </c>
      <c r="U290" s="318">
        <f t="shared" si="223"/>
        <v>0</v>
      </c>
      <c r="V290" s="318">
        <f t="shared" si="244"/>
        <v>0</v>
      </c>
      <c r="W290" s="318">
        <f t="shared" si="245"/>
        <v>0</v>
      </c>
      <c r="X290" s="318">
        <f t="shared" si="246"/>
        <v>0</v>
      </c>
      <c r="Y290" s="318">
        <f t="shared" si="247"/>
        <v>0</v>
      </c>
      <c r="Z290" s="318">
        <f t="shared" si="228"/>
        <v>0</v>
      </c>
      <c r="AA290" s="318">
        <f t="shared" si="229"/>
        <v>0</v>
      </c>
      <c r="AB290" s="318">
        <f t="shared" si="248"/>
        <v>0</v>
      </c>
      <c r="AC290" s="318">
        <f t="shared" si="249"/>
        <v>0</v>
      </c>
      <c r="AD290" s="318">
        <f t="shared" si="230"/>
        <v>0</v>
      </c>
      <c r="AE290" s="318">
        <f t="shared" si="231"/>
        <v>0</v>
      </c>
      <c r="AF290" s="318">
        <f t="shared" si="224"/>
        <v>0</v>
      </c>
      <c r="AG290" s="318">
        <f t="shared" si="225"/>
        <v>0</v>
      </c>
      <c r="AH290" s="318">
        <f t="shared" si="250"/>
        <v>0</v>
      </c>
      <c r="AI290" s="318">
        <f t="shared" si="251"/>
        <v>0</v>
      </c>
      <c r="AJ290" s="318">
        <f t="shared" si="252"/>
        <v>0</v>
      </c>
      <c r="AK290" s="318">
        <f t="shared" si="253"/>
        <v>0</v>
      </c>
      <c r="AL290" s="318">
        <f t="shared" si="254"/>
        <v>0</v>
      </c>
      <c r="AM290" s="318">
        <f t="shared" si="255"/>
        <v>0</v>
      </c>
      <c r="AN290" s="318">
        <f t="shared" si="256"/>
        <v>0</v>
      </c>
      <c r="AO290" s="318">
        <f t="shared" si="257"/>
        <v>0</v>
      </c>
      <c r="AP290" s="318">
        <f t="shared" si="258"/>
        <v>0</v>
      </c>
      <c r="AQ290" s="318">
        <f t="shared" si="259"/>
        <v>0</v>
      </c>
      <c r="AR290" s="318">
        <f t="shared" si="232"/>
        <v>0</v>
      </c>
      <c r="AS290" s="318">
        <f t="shared" si="233"/>
        <v>0</v>
      </c>
      <c r="AT290" s="318">
        <f t="shared" si="260"/>
        <v>0</v>
      </c>
      <c r="AU290" s="318">
        <f t="shared" si="261"/>
        <v>0</v>
      </c>
      <c r="AV290" s="318">
        <f t="shared" si="262"/>
        <v>0</v>
      </c>
      <c r="AW290" s="318">
        <f t="shared" si="263"/>
        <v>0</v>
      </c>
      <c r="AX290" s="318">
        <f t="shared" si="234"/>
        <v>0</v>
      </c>
      <c r="AY290" s="318">
        <f t="shared" si="235"/>
        <v>0</v>
      </c>
      <c r="AZ290" s="318">
        <f t="shared" si="236"/>
        <v>0</v>
      </c>
      <c r="BA290" s="318">
        <f t="shared" si="237"/>
        <v>0</v>
      </c>
    </row>
    <row r="291" spans="1:53" s="315" customFormat="1" ht="16.5" customHeight="1">
      <c r="A291" s="63" t="str">
        <f t="array" ref="A291">IF(C291&lt;&gt;0,SUM(($C$11:C291&lt;&gt;0)*1),"")</f>
        <v/>
      </c>
      <c r="B291" s="316"/>
      <c r="C291" s="316"/>
      <c r="D291" s="316"/>
      <c r="E291" s="436"/>
      <c r="F291" s="372"/>
      <c r="G291" s="374"/>
      <c r="H291" s="374"/>
      <c r="I291" s="63" t="str">
        <f t="shared" si="219"/>
        <v/>
      </c>
      <c r="J291" s="318">
        <f t="shared" si="226"/>
        <v>0</v>
      </c>
      <c r="K291" s="318">
        <f t="shared" si="227"/>
        <v>0</v>
      </c>
      <c r="L291" s="318">
        <f t="shared" si="238"/>
        <v>0</v>
      </c>
      <c r="M291" s="318">
        <f t="shared" si="239"/>
        <v>0</v>
      </c>
      <c r="N291" s="318">
        <f t="shared" si="220"/>
        <v>0</v>
      </c>
      <c r="O291" s="318">
        <f t="shared" si="221"/>
        <v>0</v>
      </c>
      <c r="P291" s="318">
        <f t="shared" si="240"/>
        <v>0</v>
      </c>
      <c r="Q291" s="318">
        <f t="shared" si="241"/>
        <v>0</v>
      </c>
      <c r="R291" s="318">
        <f t="shared" si="242"/>
        <v>0</v>
      </c>
      <c r="S291" s="318">
        <f t="shared" si="243"/>
        <v>0</v>
      </c>
      <c r="T291" s="318">
        <f t="shared" si="222"/>
        <v>0</v>
      </c>
      <c r="U291" s="318">
        <f t="shared" si="223"/>
        <v>0</v>
      </c>
      <c r="V291" s="318">
        <f t="shared" si="244"/>
        <v>0</v>
      </c>
      <c r="W291" s="318">
        <f t="shared" si="245"/>
        <v>0</v>
      </c>
      <c r="X291" s="318">
        <f t="shared" si="246"/>
        <v>0</v>
      </c>
      <c r="Y291" s="318">
        <f t="shared" si="247"/>
        <v>0</v>
      </c>
      <c r="Z291" s="318">
        <f t="shared" si="228"/>
        <v>0</v>
      </c>
      <c r="AA291" s="318">
        <f t="shared" si="229"/>
        <v>0</v>
      </c>
      <c r="AB291" s="318">
        <f t="shared" si="248"/>
        <v>0</v>
      </c>
      <c r="AC291" s="318">
        <f t="shared" si="249"/>
        <v>0</v>
      </c>
      <c r="AD291" s="318">
        <f t="shared" si="230"/>
        <v>0</v>
      </c>
      <c r="AE291" s="318">
        <f t="shared" si="231"/>
        <v>0</v>
      </c>
      <c r="AF291" s="318">
        <f t="shared" si="224"/>
        <v>0</v>
      </c>
      <c r="AG291" s="318">
        <f t="shared" si="225"/>
        <v>0</v>
      </c>
      <c r="AH291" s="318">
        <f t="shared" si="250"/>
        <v>0</v>
      </c>
      <c r="AI291" s="318">
        <f t="shared" si="251"/>
        <v>0</v>
      </c>
      <c r="AJ291" s="318">
        <f t="shared" si="252"/>
        <v>0</v>
      </c>
      <c r="AK291" s="318">
        <f t="shared" si="253"/>
        <v>0</v>
      </c>
      <c r="AL291" s="318">
        <f t="shared" si="254"/>
        <v>0</v>
      </c>
      <c r="AM291" s="318">
        <f t="shared" si="255"/>
        <v>0</v>
      </c>
      <c r="AN291" s="318">
        <f t="shared" si="256"/>
        <v>0</v>
      </c>
      <c r="AO291" s="318">
        <f t="shared" si="257"/>
        <v>0</v>
      </c>
      <c r="AP291" s="318">
        <f t="shared" si="258"/>
        <v>0</v>
      </c>
      <c r="AQ291" s="318">
        <f t="shared" si="259"/>
        <v>0</v>
      </c>
      <c r="AR291" s="318">
        <f t="shared" si="232"/>
        <v>0</v>
      </c>
      <c r="AS291" s="318">
        <f t="shared" si="233"/>
        <v>0</v>
      </c>
      <c r="AT291" s="318">
        <f t="shared" si="260"/>
        <v>0</v>
      </c>
      <c r="AU291" s="318">
        <f t="shared" si="261"/>
        <v>0</v>
      </c>
      <c r="AV291" s="318">
        <f t="shared" si="262"/>
        <v>0</v>
      </c>
      <c r="AW291" s="318">
        <f t="shared" si="263"/>
        <v>0</v>
      </c>
      <c r="AX291" s="318">
        <f t="shared" si="234"/>
        <v>0</v>
      </c>
      <c r="AY291" s="318">
        <f t="shared" si="235"/>
        <v>0</v>
      </c>
      <c r="AZ291" s="318">
        <f t="shared" si="236"/>
        <v>0</v>
      </c>
      <c r="BA291" s="318">
        <f t="shared" si="237"/>
        <v>0</v>
      </c>
    </row>
    <row r="292" spans="1:53" s="315" customFormat="1" ht="16.5" customHeight="1">
      <c r="A292" s="63" t="str">
        <f t="array" ref="A292">IF(C292&lt;&gt;0,SUM(($C$11:C292&lt;&gt;0)*1),"")</f>
        <v/>
      </c>
      <c r="B292" s="316"/>
      <c r="C292" s="316"/>
      <c r="D292" s="316"/>
      <c r="E292" s="436"/>
      <c r="F292" s="372"/>
      <c r="G292" s="374"/>
      <c r="H292" s="374"/>
      <c r="I292" s="63" t="str">
        <f t="shared" si="219"/>
        <v/>
      </c>
      <c r="J292" s="318">
        <f t="shared" si="226"/>
        <v>0</v>
      </c>
      <c r="K292" s="318">
        <f t="shared" si="227"/>
        <v>0</v>
      </c>
      <c r="L292" s="318">
        <f t="shared" si="238"/>
        <v>0</v>
      </c>
      <c r="M292" s="318">
        <f t="shared" si="239"/>
        <v>0</v>
      </c>
      <c r="N292" s="318">
        <f t="shared" si="220"/>
        <v>0</v>
      </c>
      <c r="O292" s="318">
        <f t="shared" si="221"/>
        <v>0</v>
      </c>
      <c r="P292" s="318">
        <f t="shared" si="240"/>
        <v>0</v>
      </c>
      <c r="Q292" s="318">
        <f t="shared" si="241"/>
        <v>0</v>
      </c>
      <c r="R292" s="318">
        <f t="shared" si="242"/>
        <v>0</v>
      </c>
      <c r="S292" s="318">
        <f t="shared" si="243"/>
        <v>0</v>
      </c>
      <c r="T292" s="318">
        <f t="shared" si="222"/>
        <v>0</v>
      </c>
      <c r="U292" s="318">
        <f t="shared" si="223"/>
        <v>0</v>
      </c>
      <c r="V292" s="318">
        <f t="shared" si="244"/>
        <v>0</v>
      </c>
      <c r="W292" s="318">
        <f t="shared" si="245"/>
        <v>0</v>
      </c>
      <c r="X292" s="318">
        <f t="shared" si="246"/>
        <v>0</v>
      </c>
      <c r="Y292" s="318">
        <f t="shared" si="247"/>
        <v>0</v>
      </c>
      <c r="Z292" s="318">
        <f t="shared" si="228"/>
        <v>0</v>
      </c>
      <c r="AA292" s="318">
        <f t="shared" si="229"/>
        <v>0</v>
      </c>
      <c r="AB292" s="318">
        <f t="shared" si="248"/>
        <v>0</v>
      </c>
      <c r="AC292" s="318">
        <f t="shared" si="249"/>
        <v>0</v>
      </c>
      <c r="AD292" s="318">
        <f t="shared" si="230"/>
        <v>0</v>
      </c>
      <c r="AE292" s="318">
        <f t="shared" si="231"/>
        <v>0</v>
      </c>
      <c r="AF292" s="318">
        <f t="shared" si="224"/>
        <v>0</v>
      </c>
      <c r="AG292" s="318">
        <f t="shared" si="225"/>
        <v>0</v>
      </c>
      <c r="AH292" s="318">
        <f t="shared" si="250"/>
        <v>0</v>
      </c>
      <c r="AI292" s="318">
        <f t="shared" si="251"/>
        <v>0</v>
      </c>
      <c r="AJ292" s="318">
        <f t="shared" si="252"/>
        <v>0</v>
      </c>
      <c r="AK292" s="318">
        <f t="shared" si="253"/>
        <v>0</v>
      </c>
      <c r="AL292" s="318">
        <f t="shared" si="254"/>
        <v>0</v>
      </c>
      <c r="AM292" s="318">
        <f t="shared" si="255"/>
        <v>0</v>
      </c>
      <c r="AN292" s="318">
        <f t="shared" si="256"/>
        <v>0</v>
      </c>
      <c r="AO292" s="318">
        <f t="shared" si="257"/>
        <v>0</v>
      </c>
      <c r="AP292" s="318">
        <f t="shared" si="258"/>
        <v>0</v>
      </c>
      <c r="AQ292" s="318">
        <f t="shared" si="259"/>
        <v>0</v>
      </c>
      <c r="AR292" s="318">
        <f t="shared" si="232"/>
        <v>0</v>
      </c>
      <c r="AS292" s="318">
        <f t="shared" si="233"/>
        <v>0</v>
      </c>
      <c r="AT292" s="318">
        <f t="shared" si="260"/>
        <v>0</v>
      </c>
      <c r="AU292" s="318">
        <f t="shared" si="261"/>
        <v>0</v>
      </c>
      <c r="AV292" s="318">
        <f t="shared" si="262"/>
        <v>0</v>
      </c>
      <c r="AW292" s="318">
        <f t="shared" si="263"/>
        <v>0</v>
      </c>
      <c r="AX292" s="318">
        <f t="shared" si="234"/>
        <v>0</v>
      </c>
      <c r="AY292" s="318">
        <f t="shared" si="235"/>
        <v>0</v>
      </c>
      <c r="AZ292" s="318">
        <f t="shared" si="236"/>
        <v>0</v>
      </c>
      <c r="BA292" s="318">
        <f t="shared" si="237"/>
        <v>0</v>
      </c>
    </row>
    <row r="293" spans="1:53" s="315" customFormat="1" ht="16.5" customHeight="1">
      <c r="A293" s="63" t="str">
        <f t="array" ref="A293">IF(C293&lt;&gt;0,SUM(($C$11:C293&lt;&gt;0)*1),"")</f>
        <v/>
      </c>
      <c r="B293" s="316"/>
      <c r="C293" s="316"/>
      <c r="D293" s="316"/>
      <c r="E293" s="436"/>
      <c r="F293" s="372"/>
      <c r="G293" s="374"/>
      <c r="H293" s="374"/>
      <c r="I293" s="63" t="str">
        <f t="shared" si="219"/>
        <v/>
      </c>
      <c r="J293" s="318">
        <f t="shared" si="226"/>
        <v>0</v>
      </c>
      <c r="K293" s="318">
        <f t="shared" si="227"/>
        <v>0</v>
      </c>
      <c r="L293" s="318">
        <f t="shared" si="238"/>
        <v>0</v>
      </c>
      <c r="M293" s="318">
        <f t="shared" si="239"/>
        <v>0</v>
      </c>
      <c r="N293" s="318">
        <f t="shared" si="220"/>
        <v>0</v>
      </c>
      <c r="O293" s="318">
        <f t="shared" si="221"/>
        <v>0</v>
      </c>
      <c r="P293" s="318">
        <f t="shared" si="240"/>
        <v>0</v>
      </c>
      <c r="Q293" s="318">
        <f t="shared" si="241"/>
        <v>0</v>
      </c>
      <c r="R293" s="318">
        <f t="shared" si="242"/>
        <v>0</v>
      </c>
      <c r="S293" s="318">
        <f t="shared" si="243"/>
        <v>0</v>
      </c>
      <c r="T293" s="318">
        <f t="shared" si="222"/>
        <v>0</v>
      </c>
      <c r="U293" s="318">
        <f t="shared" si="223"/>
        <v>0</v>
      </c>
      <c r="V293" s="318">
        <f t="shared" si="244"/>
        <v>0</v>
      </c>
      <c r="W293" s="318">
        <f t="shared" si="245"/>
        <v>0</v>
      </c>
      <c r="X293" s="318">
        <f t="shared" si="246"/>
        <v>0</v>
      </c>
      <c r="Y293" s="318">
        <f t="shared" si="247"/>
        <v>0</v>
      </c>
      <c r="Z293" s="318">
        <f t="shared" si="228"/>
        <v>0</v>
      </c>
      <c r="AA293" s="318">
        <f t="shared" si="229"/>
        <v>0</v>
      </c>
      <c r="AB293" s="318">
        <f t="shared" si="248"/>
        <v>0</v>
      </c>
      <c r="AC293" s="318">
        <f t="shared" si="249"/>
        <v>0</v>
      </c>
      <c r="AD293" s="318">
        <f t="shared" si="230"/>
        <v>0</v>
      </c>
      <c r="AE293" s="318">
        <f t="shared" si="231"/>
        <v>0</v>
      </c>
      <c r="AF293" s="318">
        <f t="shared" si="224"/>
        <v>0</v>
      </c>
      <c r="AG293" s="318">
        <f t="shared" si="225"/>
        <v>0</v>
      </c>
      <c r="AH293" s="318">
        <f t="shared" si="250"/>
        <v>0</v>
      </c>
      <c r="AI293" s="318">
        <f t="shared" si="251"/>
        <v>0</v>
      </c>
      <c r="AJ293" s="318">
        <f t="shared" si="252"/>
        <v>0</v>
      </c>
      <c r="AK293" s="318">
        <f t="shared" si="253"/>
        <v>0</v>
      </c>
      <c r="AL293" s="318">
        <f t="shared" si="254"/>
        <v>0</v>
      </c>
      <c r="AM293" s="318">
        <f t="shared" si="255"/>
        <v>0</v>
      </c>
      <c r="AN293" s="318">
        <f t="shared" si="256"/>
        <v>0</v>
      </c>
      <c r="AO293" s="318">
        <f t="shared" si="257"/>
        <v>0</v>
      </c>
      <c r="AP293" s="318">
        <f t="shared" si="258"/>
        <v>0</v>
      </c>
      <c r="AQ293" s="318">
        <f t="shared" si="259"/>
        <v>0</v>
      </c>
      <c r="AR293" s="318">
        <f t="shared" si="232"/>
        <v>0</v>
      </c>
      <c r="AS293" s="318">
        <f t="shared" si="233"/>
        <v>0</v>
      </c>
      <c r="AT293" s="318">
        <f t="shared" si="260"/>
        <v>0</v>
      </c>
      <c r="AU293" s="318">
        <f t="shared" si="261"/>
        <v>0</v>
      </c>
      <c r="AV293" s="318">
        <f t="shared" si="262"/>
        <v>0</v>
      </c>
      <c r="AW293" s="318">
        <f t="shared" si="263"/>
        <v>0</v>
      </c>
      <c r="AX293" s="318">
        <f t="shared" si="234"/>
        <v>0</v>
      </c>
      <c r="AY293" s="318">
        <f t="shared" si="235"/>
        <v>0</v>
      </c>
      <c r="AZ293" s="318">
        <f t="shared" si="236"/>
        <v>0</v>
      </c>
      <c r="BA293" s="318">
        <f t="shared" si="237"/>
        <v>0</v>
      </c>
    </row>
    <row r="294" spans="1:53" s="315" customFormat="1" ht="16.5" customHeight="1">
      <c r="A294" s="63" t="str">
        <f t="array" ref="A294">IF(C294&lt;&gt;0,SUM(($C$11:C294&lt;&gt;0)*1),"")</f>
        <v/>
      </c>
      <c r="B294" s="316"/>
      <c r="C294" s="316"/>
      <c r="D294" s="316"/>
      <c r="E294" s="436"/>
      <c r="F294" s="372"/>
      <c r="G294" s="374"/>
      <c r="H294" s="374"/>
      <c r="I294" s="63" t="str">
        <f t="shared" si="219"/>
        <v/>
      </c>
      <c r="J294" s="318">
        <f t="shared" si="226"/>
        <v>0</v>
      </c>
      <c r="K294" s="318">
        <f t="shared" si="227"/>
        <v>0</v>
      </c>
      <c r="L294" s="318">
        <f t="shared" si="238"/>
        <v>0</v>
      </c>
      <c r="M294" s="318">
        <f t="shared" si="239"/>
        <v>0</v>
      </c>
      <c r="N294" s="318">
        <f t="shared" si="220"/>
        <v>0</v>
      </c>
      <c r="O294" s="318">
        <f t="shared" si="221"/>
        <v>0</v>
      </c>
      <c r="P294" s="318">
        <f t="shared" si="240"/>
        <v>0</v>
      </c>
      <c r="Q294" s="318">
        <f t="shared" si="241"/>
        <v>0</v>
      </c>
      <c r="R294" s="318">
        <f t="shared" si="242"/>
        <v>0</v>
      </c>
      <c r="S294" s="318">
        <f t="shared" si="243"/>
        <v>0</v>
      </c>
      <c r="T294" s="318">
        <f t="shared" si="222"/>
        <v>0</v>
      </c>
      <c r="U294" s="318">
        <f t="shared" si="223"/>
        <v>0</v>
      </c>
      <c r="V294" s="318">
        <f t="shared" si="244"/>
        <v>0</v>
      </c>
      <c r="W294" s="318">
        <f t="shared" si="245"/>
        <v>0</v>
      </c>
      <c r="X294" s="318">
        <f t="shared" si="246"/>
        <v>0</v>
      </c>
      <c r="Y294" s="318">
        <f t="shared" si="247"/>
        <v>0</v>
      </c>
      <c r="Z294" s="318">
        <f t="shared" si="228"/>
        <v>0</v>
      </c>
      <c r="AA294" s="318">
        <f t="shared" si="229"/>
        <v>0</v>
      </c>
      <c r="AB294" s="318">
        <f t="shared" si="248"/>
        <v>0</v>
      </c>
      <c r="AC294" s="318">
        <f t="shared" si="249"/>
        <v>0</v>
      </c>
      <c r="AD294" s="318">
        <f t="shared" si="230"/>
        <v>0</v>
      </c>
      <c r="AE294" s="318">
        <f t="shared" si="231"/>
        <v>0</v>
      </c>
      <c r="AF294" s="318">
        <f t="shared" si="224"/>
        <v>0</v>
      </c>
      <c r="AG294" s="318">
        <f t="shared" si="225"/>
        <v>0</v>
      </c>
      <c r="AH294" s="318">
        <f t="shared" si="250"/>
        <v>0</v>
      </c>
      <c r="AI294" s="318">
        <f t="shared" si="251"/>
        <v>0</v>
      </c>
      <c r="AJ294" s="318">
        <f t="shared" si="252"/>
        <v>0</v>
      </c>
      <c r="AK294" s="318">
        <f t="shared" si="253"/>
        <v>0</v>
      </c>
      <c r="AL294" s="318">
        <f t="shared" si="254"/>
        <v>0</v>
      </c>
      <c r="AM294" s="318">
        <f t="shared" si="255"/>
        <v>0</v>
      </c>
      <c r="AN294" s="318">
        <f t="shared" si="256"/>
        <v>0</v>
      </c>
      <c r="AO294" s="318">
        <f t="shared" si="257"/>
        <v>0</v>
      </c>
      <c r="AP294" s="318">
        <f t="shared" si="258"/>
        <v>0</v>
      </c>
      <c r="AQ294" s="318">
        <f t="shared" si="259"/>
        <v>0</v>
      </c>
      <c r="AR294" s="318">
        <f t="shared" si="232"/>
        <v>0</v>
      </c>
      <c r="AS294" s="318">
        <f t="shared" si="233"/>
        <v>0</v>
      </c>
      <c r="AT294" s="318">
        <f t="shared" si="260"/>
        <v>0</v>
      </c>
      <c r="AU294" s="318">
        <f t="shared" si="261"/>
        <v>0</v>
      </c>
      <c r="AV294" s="318">
        <f t="shared" si="262"/>
        <v>0</v>
      </c>
      <c r="AW294" s="318">
        <f t="shared" si="263"/>
        <v>0</v>
      </c>
      <c r="AX294" s="318">
        <f t="shared" si="234"/>
        <v>0</v>
      </c>
      <c r="AY294" s="318">
        <f t="shared" si="235"/>
        <v>0</v>
      </c>
      <c r="AZ294" s="318">
        <f t="shared" si="236"/>
        <v>0</v>
      </c>
      <c r="BA294" s="318">
        <f t="shared" si="237"/>
        <v>0</v>
      </c>
    </row>
    <row r="295" spans="1:53" s="315" customFormat="1" ht="16.5" customHeight="1">
      <c r="A295" s="63" t="str">
        <f t="array" ref="A295">IF(C295&lt;&gt;0,SUM(($C$11:C295&lt;&gt;0)*1),"")</f>
        <v/>
      </c>
      <c r="B295" s="316"/>
      <c r="C295" s="316"/>
      <c r="D295" s="316"/>
      <c r="E295" s="436"/>
      <c r="F295" s="372"/>
      <c r="G295" s="374"/>
      <c r="H295" s="374"/>
      <c r="I295" s="63" t="str">
        <f t="shared" si="219"/>
        <v/>
      </c>
      <c r="J295" s="318">
        <f t="shared" si="226"/>
        <v>0</v>
      </c>
      <c r="K295" s="318">
        <f t="shared" si="227"/>
        <v>0</v>
      </c>
      <c r="L295" s="318">
        <f t="shared" si="238"/>
        <v>0</v>
      </c>
      <c r="M295" s="318">
        <f t="shared" si="239"/>
        <v>0</v>
      </c>
      <c r="N295" s="318">
        <f t="shared" si="220"/>
        <v>0</v>
      </c>
      <c r="O295" s="318">
        <f t="shared" si="221"/>
        <v>0</v>
      </c>
      <c r="P295" s="318">
        <f t="shared" si="240"/>
        <v>0</v>
      </c>
      <c r="Q295" s="318">
        <f t="shared" si="241"/>
        <v>0</v>
      </c>
      <c r="R295" s="318">
        <f t="shared" si="242"/>
        <v>0</v>
      </c>
      <c r="S295" s="318">
        <f t="shared" si="243"/>
        <v>0</v>
      </c>
      <c r="T295" s="318">
        <f t="shared" si="222"/>
        <v>0</v>
      </c>
      <c r="U295" s="318">
        <f t="shared" si="223"/>
        <v>0</v>
      </c>
      <c r="V295" s="318">
        <f t="shared" si="244"/>
        <v>0</v>
      </c>
      <c r="W295" s="318">
        <f t="shared" si="245"/>
        <v>0</v>
      </c>
      <c r="X295" s="318">
        <f t="shared" si="246"/>
        <v>0</v>
      </c>
      <c r="Y295" s="318">
        <f t="shared" si="247"/>
        <v>0</v>
      </c>
      <c r="Z295" s="318">
        <f t="shared" si="228"/>
        <v>0</v>
      </c>
      <c r="AA295" s="318">
        <f t="shared" si="229"/>
        <v>0</v>
      </c>
      <c r="AB295" s="318">
        <f t="shared" si="248"/>
        <v>0</v>
      </c>
      <c r="AC295" s="318">
        <f t="shared" si="249"/>
        <v>0</v>
      </c>
      <c r="AD295" s="318">
        <f t="shared" si="230"/>
        <v>0</v>
      </c>
      <c r="AE295" s="318">
        <f t="shared" si="231"/>
        <v>0</v>
      </c>
      <c r="AF295" s="318">
        <f t="shared" si="224"/>
        <v>0</v>
      </c>
      <c r="AG295" s="318">
        <f t="shared" si="225"/>
        <v>0</v>
      </c>
      <c r="AH295" s="318">
        <f t="shared" si="250"/>
        <v>0</v>
      </c>
      <c r="AI295" s="318">
        <f t="shared" si="251"/>
        <v>0</v>
      </c>
      <c r="AJ295" s="318">
        <f t="shared" si="252"/>
        <v>0</v>
      </c>
      <c r="AK295" s="318">
        <f t="shared" si="253"/>
        <v>0</v>
      </c>
      <c r="AL295" s="318">
        <f t="shared" si="254"/>
        <v>0</v>
      </c>
      <c r="AM295" s="318">
        <f t="shared" si="255"/>
        <v>0</v>
      </c>
      <c r="AN295" s="318">
        <f t="shared" si="256"/>
        <v>0</v>
      </c>
      <c r="AO295" s="318">
        <f t="shared" si="257"/>
        <v>0</v>
      </c>
      <c r="AP295" s="318">
        <f t="shared" si="258"/>
        <v>0</v>
      </c>
      <c r="AQ295" s="318">
        <f t="shared" si="259"/>
        <v>0</v>
      </c>
      <c r="AR295" s="318">
        <f t="shared" si="232"/>
        <v>0</v>
      </c>
      <c r="AS295" s="318">
        <f t="shared" si="233"/>
        <v>0</v>
      </c>
      <c r="AT295" s="318">
        <f t="shared" si="260"/>
        <v>0</v>
      </c>
      <c r="AU295" s="318">
        <f t="shared" si="261"/>
        <v>0</v>
      </c>
      <c r="AV295" s="318">
        <f t="shared" si="262"/>
        <v>0</v>
      </c>
      <c r="AW295" s="318">
        <f t="shared" si="263"/>
        <v>0</v>
      </c>
      <c r="AX295" s="318">
        <f t="shared" si="234"/>
        <v>0</v>
      </c>
      <c r="AY295" s="318">
        <f t="shared" si="235"/>
        <v>0</v>
      </c>
      <c r="AZ295" s="318">
        <f t="shared" si="236"/>
        <v>0</v>
      </c>
      <c r="BA295" s="318">
        <f t="shared" si="237"/>
        <v>0</v>
      </c>
    </row>
    <row r="296" spans="1:53" s="315" customFormat="1" ht="16.5" customHeight="1">
      <c r="A296" s="63" t="str">
        <f t="array" ref="A296">IF(C296&lt;&gt;0,SUM(($C$11:C296&lt;&gt;0)*1),"")</f>
        <v/>
      </c>
      <c r="B296" s="316"/>
      <c r="C296" s="316"/>
      <c r="D296" s="316"/>
      <c r="E296" s="436"/>
      <c r="F296" s="372"/>
      <c r="G296" s="374"/>
      <c r="H296" s="374"/>
      <c r="I296" s="63" t="str">
        <f t="shared" si="219"/>
        <v/>
      </c>
      <c r="J296" s="318">
        <f t="shared" si="226"/>
        <v>0</v>
      </c>
      <c r="K296" s="318">
        <f t="shared" si="227"/>
        <v>0</v>
      </c>
      <c r="L296" s="318">
        <f t="shared" si="238"/>
        <v>0</v>
      </c>
      <c r="M296" s="318">
        <f t="shared" si="239"/>
        <v>0</v>
      </c>
      <c r="N296" s="318">
        <f t="shared" si="220"/>
        <v>0</v>
      </c>
      <c r="O296" s="318">
        <f t="shared" si="221"/>
        <v>0</v>
      </c>
      <c r="P296" s="318">
        <f t="shared" si="240"/>
        <v>0</v>
      </c>
      <c r="Q296" s="318">
        <f t="shared" si="241"/>
        <v>0</v>
      </c>
      <c r="R296" s="318">
        <f t="shared" si="242"/>
        <v>0</v>
      </c>
      <c r="S296" s="318">
        <f t="shared" si="243"/>
        <v>0</v>
      </c>
      <c r="T296" s="318">
        <f t="shared" si="222"/>
        <v>0</v>
      </c>
      <c r="U296" s="318">
        <f t="shared" si="223"/>
        <v>0</v>
      </c>
      <c r="V296" s="318">
        <f t="shared" si="244"/>
        <v>0</v>
      </c>
      <c r="W296" s="318">
        <f t="shared" si="245"/>
        <v>0</v>
      </c>
      <c r="X296" s="318">
        <f t="shared" si="246"/>
        <v>0</v>
      </c>
      <c r="Y296" s="318">
        <f t="shared" si="247"/>
        <v>0</v>
      </c>
      <c r="Z296" s="318">
        <f t="shared" si="228"/>
        <v>0</v>
      </c>
      <c r="AA296" s="318">
        <f t="shared" si="229"/>
        <v>0</v>
      </c>
      <c r="AB296" s="318">
        <f t="shared" si="248"/>
        <v>0</v>
      </c>
      <c r="AC296" s="318">
        <f t="shared" si="249"/>
        <v>0</v>
      </c>
      <c r="AD296" s="318">
        <f t="shared" si="230"/>
        <v>0</v>
      </c>
      <c r="AE296" s="318">
        <f t="shared" si="231"/>
        <v>0</v>
      </c>
      <c r="AF296" s="318">
        <f t="shared" si="224"/>
        <v>0</v>
      </c>
      <c r="AG296" s="318">
        <f t="shared" si="225"/>
        <v>0</v>
      </c>
      <c r="AH296" s="318">
        <f t="shared" si="250"/>
        <v>0</v>
      </c>
      <c r="AI296" s="318">
        <f t="shared" si="251"/>
        <v>0</v>
      </c>
      <c r="AJ296" s="318">
        <f t="shared" si="252"/>
        <v>0</v>
      </c>
      <c r="AK296" s="318">
        <f t="shared" si="253"/>
        <v>0</v>
      </c>
      <c r="AL296" s="318">
        <f t="shared" si="254"/>
        <v>0</v>
      </c>
      <c r="AM296" s="318">
        <f t="shared" si="255"/>
        <v>0</v>
      </c>
      <c r="AN296" s="318">
        <f t="shared" si="256"/>
        <v>0</v>
      </c>
      <c r="AO296" s="318">
        <f t="shared" si="257"/>
        <v>0</v>
      </c>
      <c r="AP296" s="318">
        <f t="shared" si="258"/>
        <v>0</v>
      </c>
      <c r="AQ296" s="318">
        <f t="shared" si="259"/>
        <v>0</v>
      </c>
      <c r="AR296" s="318">
        <f t="shared" si="232"/>
        <v>0</v>
      </c>
      <c r="AS296" s="318">
        <f t="shared" si="233"/>
        <v>0</v>
      </c>
      <c r="AT296" s="318">
        <f t="shared" si="260"/>
        <v>0</v>
      </c>
      <c r="AU296" s="318">
        <f t="shared" si="261"/>
        <v>0</v>
      </c>
      <c r="AV296" s="318">
        <f t="shared" si="262"/>
        <v>0</v>
      </c>
      <c r="AW296" s="318">
        <f t="shared" si="263"/>
        <v>0</v>
      </c>
      <c r="AX296" s="318">
        <f t="shared" si="234"/>
        <v>0</v>
      </c>
      <c r="AY296" s="318">
        <f t="shared" si="235"/>
        <v>0</v>
      </c>
      <c r="AZ296" s="318">
        <f t="shared" si="236"/>
        <v>0</v>
      </c>
      <c r="BA296" s="318">
        <f t="shared" si="237"/>
        <v>0</v>
      </c>
    </row>
    <row r="297" spans="1:53" s="315" customFormat="1" ht="16.5" customHeight="1">
      <c r="A297" s="63" t="str">
        <f t="array" ref="A297">IF(C297&lt;&gt;0,SUM(($C$11:C297&lt;&gt;0)*1),"")</f>
        <v/>
      </c>
      <c r="B297" s="316"/>
      <c r="C297" s="316"/>
      <c r="D297" s="316"/>
      <c r="E297" s="436"/>
      <c r="F297" s="372"/>
      <c r="G297" s="374"/>
      <c r="H297" s="374"/>
      <c r="I297" s="63" t="str">
        <f t="shared" si="219"/>
        <v/>
      </c>
      <c r="J297" s="318">
        <f t="shared" si="226"/>
        <v>0</v>
      </c>
      <c r="K297" s="318">
        <f t="shared" si="227"/>
        <v>0</v>
      </c>
      <c r="L297" s="318">
        <f t="shared" si="238"/>
        <v>0</v>
      </c>
      <c r="M297" s="318">
        <f t="shared" si="239"/>
        <v>0</v>
      </c>
      <c r="N297" s="318">
        <f t="shared" si="220"/>
        <v>0</v>
      </c>
      <c r="O297" s="318">
        <f t="shared" si="221"/>
        <v>0</v>
      </c>
      <c r="P297" s="318">
        <f t="shared" si="240"/>
        <v>0</v>
      </c>
      <c r="Q297" s="318">
        <f t="shared" si="241"/>
        <v>0</v>
      </c>
      <c r="R297" s="318">
        <f t="shared" si="242"/>
        <v>0</v>
      </c>
      <c r="S297" s="318">
        <f t="shared" si="243"/>
        <v>0</v>
      </c>
      <c r="T297" s="318">
        <f t="shared" si="222"/>
        <v>0</v>
      </c>
      <c r="U297" s="318">
        <f t="shared" si="223"/>
        <v>0</v>
      </c>
      <c r="V297" s="318">
        <f t="shared" si="244"/>
        <v>0</v>
      </c>
      <c r="W297" s="318">
        <f t="shared" si="245"/>
        <v>0</v>
      </c>
      <c r="X297" s="318">
        <f t="shared" si="246"/>
        <v>0</v>
      </c>
      <c r="Y297" s="318">
        <f t="shared" si="247"/>
        <v>0</v>
      </c>
      <c r="Z297" s="318">
        <f t="shared" si="228"/>
        <v>0</v>
      </c>
      <c r="AA297" s="318">
        <f t="shared" si="229"/>
        <v>0</v>
      </c>
      <c r="AB297" s="318">
        <f t="shared" si="248"/>
        <v>0</v>
      </c>
      <c r="AC297" s="318">
        <f t="shared" si="249"/>
        <v>0</v>
      </c>
      <c r="AD297" s="318">
        <f t="shared" si="230"/>
        <v>0</v>
      </c>
      <c r="AE297" s="318">
        <f t="shared" si="231"/>
        <v>0</v>
      </c>
      <c r="AF297" s="318">
        <f t="shared" si="224"/>
        <v>0</v>
      </c>
      <c r="AG297" s="318">
        <f t="shared" si="225"/>
        <v>0</v>
      </c>
      <c r="AH297" s="318">
        <f t="shared" si="250"/>
        <v>0</v>
      </c>
      <c r="AI297" s="318">
        <f t="shared" si="251"/>
        <v>0</v>
      </c>
      <c r="AJ297" s="318">
        <f t="shared" si="252"/>
        <v>0</v>
      </c>
      <c r="AK297" s="318">
        <f t="shared" si="253"/>
        <v>0</v>
      </c>
      <c r="AL297" s="318">
        <f t="shared" si="254"/>
        <v>0</v>
      </c>
      <c r="AM297" s="318">
        <f t="shared" si="255"/>
        <v>0</v>
      </c>
      <c r="AN297" s="318">
        <f t="shared" si="256"/>
        <v>0</v>
      </c>
      <c r="AO297" s="318">
        <f t="shared" si="257"/>
        <v>0</v>
      </c>
      <c r="AP297" s="318">
        <f t="shared" si="258"/>
        <v>0</v>
      </c>
      <c r="AQ297" s="318">
        <f t="shared" si="259"/>
        <v>0</v>
      </c>
      <c r="AR297" s="318">
        <f t="shared" si="232"/>
        <v>0</v>
      </c>
      <c r="AS297" s="318">
        <f t="shared" si="233"/>
        <v>0</v>
      </c>
      <c r="AT297" s="318">
        <f t="shared" si="260"/>
        <v>0</v>
      </c>
      <c r="AU297" s="318">
        <f t="shared" si="261"/>
        <v>0</v>
      </c>
      <c r="AV297" s="318">
        <f t="shared" si="262"/>
        <v>0</v>
      </c>
      <c r="AW297" s="318">
        <f t="shared" si="263"/>
        <v>0</v>
      </c>
      <c r="AX297" s="318">
        <f t="shared" si="234"/>
        <v>0</v>
      </c>
      <c r="AY297" s="318">
        <f t="shared" si="235"/>
        <v>0</v>
      </c>
      <c r="AZ297" s="318">
        <f t="shared" si="236"/>
        <v>0</v>
      </c>
      <c r="BA297" s="318">
        <f t="shared" si="237"/>
        <v>0</v>
      </c>
    </row>
    <row r="298" spans="1:53" s="315" customFormat="1" ht="16.5" customHeight="1">
      <c r="A298" s="63" t="str">
        <f t="array" ref="A298">IF(C298&lt;&gt;0,SUM(($C$11:C298&lt;&gt;0)*1),"")</f>
        <v/>
      </c>
      <c r="B298" s="316"/>
      <c r="C298" s="316"/>
      <c r="D298" s="316"/>
      <c r="E298" s="436"/>
      <c r="F298" s="372"/>
      <c r="G298" s="374"/>
      <c r="H298" s="374"/>
      <c r="I298" s="63" t="str">
        <f t="shared" si="219"/>
        <v/>
      </c>
      <c r="J298" s="318">
        <f t="shared" si="226"/>
        <v>0</v>
      </c>
      <c r="K298" s="318">
        <f t="shared" si="227"/>
        <v>0</v>
      </c>
      <c r="L298" s="318">
        <f t="shared" si="238"/>
        <v>0</v>
      </c>
      <c r="M298" s="318">
        <f t="shared" si="239"/>
        <v>0</v>
      </c>
      <c r="N298" s="318">
        <f t="shared" si="220"/>
        <v>0</v>
      </c>
      <c r="O298" s="318">
        <f t="shared" si="221"/>
        <v>0</v>
      </c>
      <c r="P298" s="318">
        <f t="shared" si="240"/>
        <v>0</v>
      </c>
      <c r="Q298" s="318">
        <f t="shared" si="241"/>
        <v>0</v>
      </c>
      <c r="R298" s="318">
        <f t="shared" si="242"/>
        <v>0</v>
      </c>
      <c r="S298" s="318">
        <f t="shared" si="243"/>
        <v>0</v>
      </c>
      <c r="T298" s="318">
        <f t="shared" si="222"/>
        <v>0</v>
      </c>
      <c r="U298" s="318">
        <f t="shared" si="223"/>
        <v>0</v>
      </c>
      <c r="V298" s="318">
        <f t="shared" si="244"/>
        <v>0</v>
      </c>
      <c r="W298" s="318">
        <f t="shared" si="245"/>
        <v>0</v>
      </c>
      <c r="X298" s="318">
        <f t="shared" si="246"/>
        <v>0</v>
      </c>
      <c r="Y298" s="318">
        <f t="shared" si="247"/>
        <v>0</v>
      </c>
      <c r="Z298" s="318">
        <f t="shared" si="228"/>
        <v>0</v>
      </c>
      <c r="AA298" s="318">
        <f t="shared" si="229"/>
        <v>0</v>
      </c>
      <c r="AB298" s="318">
        <f t="shared" si="248"/>
        <v>0</v>
      </c>
      <c r="AC298" s="318">
        <f t="shared" si="249"/>
        <v>0</v>
      </c>
      <c r="AD298" s="318">
        <f t="shared" si="230"/>
        <v>0</v>
      </c>
      <c r="AE298" s="318">
        <f t="shared" si="231"/>
        <v>0</v>
      </c>
      <c r="AF298" s="318">
        <f t="shared" si="224"/>
        <v>0</v>
      </c>
      <c r="AG298" s="318">
        <f t="shared" si="225"/>
        <v>0</v>
      </c>
      <c r="AH298" s="318">
        <f t="shared" si="250"/>
        <v>0</v>
      </c>
      <c r="AI298" s="318">
        <f t="shared" si="251"/>
        <v>0</v>
      </c>
      <c r="AJ298" s="318">
        <f t="shared" si="252"/>
        <v>0</v>
      </c>
      <c r="AK298" s="318">
        <f t="shared" si="253"/>
        <v>0</v>
      </c>
      <c r="AL298" s="318">
        <f t="shared" si="254"/>
        <v>0</v>
      </c>
      <c r="AM298" s="318">
        <f t="shared" si="255"/>
        <v>0</v>
      </c>
      <c r="AN298" s="318">
        <f t="shared" si="256"/>
        <v>0</v>
      </c>
      <c r="AO298" s="318">
        <f t="shared" si="257"/>
        <v>0</v>
      </c>
      <c r="AP298" s="318">
        <f t="shared" si="258"/>
        <v>0</v>
      </c>
      <c r="AQ298" s="318">
        <f t="shared" si="259"/>
        <v>0</v>
      </c>
      <c r="AR298" s="318">
        <f t="shared" si="232"/>
        <v>0</v>
      </c>
      <c r="AS298" s="318">
        <f t="shared" si="233"/>
        <v>0</v>
      </c>
      <c r="AT298" s="318">
        <f t="shared" si="260"/>
        <v>0</v>
      </c>
      <c r="AU298" s="318">
        <f t="shared" si="261"/>
        <v>0</v>
      </c>
      <c r="AV298" s="318">
        <f t="shared" si="262"/>
        <v>0</v>
      </c>
      <c r="AW298" s="318">
        <f t="shared" si="263"/>
        <v>0</v>
      </c>
      <c r="AX298" s="318">
        <f t="shared" si="234"/>
        <v>0</v>
      </c>
      <c r="AY298" s="318">
        <f t="shared" si="235"/>
        <v>0</v>
      </c>
      <c r="AZ298" s="318">
        <f t="shared" si="236"/>
        <v>0</v>
      </c>
      <c r="BA298" s="318">
        <f t="shared" si="237"/>
        <v>0</v>
      </c>
    </row>
    <row r="299" spans="1:53" s="315" customFormat="1" ht="16.5" customHeight="1">
      <c r="A299" s="63" t="str">
        <f t="array" ref="A299">IF(C299&lt;&gt;0,SUM(($C$11:C299&lt;&gt;0)*1),"")</f>
        <v/>
      </c>
      <c r="B299" s="316"/>
      <c r="C299" s="316"/>
      <c r="D299" s="316"/>
      <c r="E299" s="436"/>
      <c r="F299" s="372"/>
      <c r="G299" s="374"/>
      <c r="H299" s="374"/>
      <c r="I299" s="63" t="str">
        <f t="shared" si="219"/>
        <v/>
      </c>
      <c r="J299" s="318">
        <f t="shared" si="226"/>
        <v>0</v>
      </c>
      <c r="K299" s="318">
        <f t="shared" si="227"/>
        <v>0</v>
      </c>
      <c r="L299" s="318">
        <f t="shared" si="238"/>
        <v>0</v>
      </c>
      <c r="M299" s="318">
        <f t="shared" si="239"/>
        <v>0</v>
      </c>
      <c r="N299" s="318">
        <f t="shared" si="220"/>
        <v>0</v>
      </c>
      <c r="O299" s="318">
        <f t="shared" si="221"/>
        <v>0</v>
      </c>
      <c r="P299" s="318">
        <f t="shared" si="240"/>
        <v>0</v>
      </c>
      <c r="Q299" s="318">
        <f t="shared" si="241"/>
        <v>0</v>
      </c>
      <c r="R299" s="318">
        <f t="shared" si="242"/>
        <v>0</v>
      </c>
      <c r="S299" s="318">
        <f t="shared" si="243"/>
        <v>0</v>
      </c>
      <c r="T299" s="318">
        <f t="shared" si="222"/>
        <v>0</v>
      </c>
      <c r="U299" s="318">
        <f t="shared" si="223"/>
        <v>0</v>
      </c>
      <c r="V299" s="318">
        <f t="shared" si="244"/>
        <v>0</v>
      </c>
      <c r="W299" s="318">
        <f t="shared" si="245"/>
        <v>0</v>
      </c>
      <c r="X299" s="318">
        <f t="shared" si="246"/>
        <v>0</v>
      </c>
      <c r="Y299" s="318">
        <f t="shared" si="247"/>
        <v>0</v>
      </c>
      <c r="Z299" s="318">
        <f t="shared" si="228"/>
        <v>0</v>
      </c>
      <c r="AA299" s="318">
        <f t="shared" si="229"/>
        <v>0</v>
      </c>
      <c r="AB299" s="318">
        <f t="shared" si="248"/>
        <v>0</v>
      </c>
      <c r="AC299" s="318">
        <f t="shared" si="249"/>
        <v>0</v>
      </c>
      <c r="AD299" s="318">
        <f t="shared" si="230"/>
        <v>0</v>
      </c>
      <c r="AE299" s="318">
        <f t="shared" si="231"/>
        <v>0</v>
      </c>
      <c r="AF299" s="318">
        <f t="shared" si="224"/>
        <v>0</v>
      </c>
      <c r="AG299" s="318">
        <f t="shared" si="225"/>
        <v>0</v>
      </c>
      <c r="AH299" s="318">
        <f t="shared" si="250"/>
        <v>0</v>
      </c>
      <c r="AI299" s="318">
        <f t="shared" si="251"/>
        <v>0</v>
      </c>
      <c r="AJ299" s="318">
        <f t="shared" si="252"/>
        <v>0</v>
      </c>
      <c r="AK299" s="318">
        <f t="shared" si="253"/>
        <v>0</v>
      </c>
      <c r="AL299" s="318">
        <f t="shared" si="254"/>
        <v>0</v>
      </c>
      <c r="AM299" s="318">
        <f t="shared" si="255"/>
        <v>0</v>
      </c>
      <c r="AN299" s="318">
        <f t="shared" si="256"/>
        <v>0</v>
      </c>
      <c r="AO299" s="318">
        <f t="shared" si="257"/>
        <v>0</v>
      </c>
      <c r="AP299" s="318">
        <f t="shared" si="258"/>
        <v>0</v>
      </c>
      <c r="AQ299" s="318">
        <f t="shared" si="259"/>
        <v>0</v>
      </c>
      <c r="AR299" s="318">
        <f t="shared" si="232"/>
        <v>0</v>
      </c>
      <c r="AS299" s="318">
        <f t="shared" si="233"/>
        <v>0</v>
      </c>
      <c r="AT299" s="318">
        <f t="shared" si="260"/>
        <v>0</v>
      </c>
      <c r="AU299" s="318">
        <f t="shared" si="261"/>
        <v>0</v>
      </c>
      <c r="AV299" s="318">
        <f t="shared" si="262"/>
        <v>0</v>
      </c>
      <c r="AW299" s="318">
        <f t="shared" si="263"/>
        <v>0</v>
      </c>
      <c r="AX299" s="318">
        <f t="shared" si="234"/>
        <v>0</v>
      </c>
      <c r="AY299" s="318">
        <f t="shared" si="235"/>
        <v>0</v>
      </c>
      <c r="AZ299" s="318">
        <f t="shared" si="236"/>
        <v>0</v>
      </c>
      <c r="BA299" s="318">
        <f t="shared" si="237"/>
        <v>0</v>
      </c>
    </row>
    <row r="300" spans="1:53" s="315" customFormat="1" ht="16.5" customHeight="1">
      <c r="A300" s="63" t="str">
        <f t="array" ref="A300">IF(C300&lt;&gt;0,SUM(($C$11:C300&lt;&gt;0)*1),"")</f>
        <v/>
      </c>
      <c r="B300" s="316"/>
      <c r="C300" s="316"/>
      <c r="D300" s="316"/>
      <c r="E300" s="436"/>
      <c r="F300" s="372"/>
      <c r="G300" s="374"/>
      <c r="H300" s="374"/>
      <c r="I300" s="63" t="str">
        <f t="shared" si="219"/>
        <v/>
      </c>
      <c r="J300" s="318">
        <f t="shared" si="226"/>
        <v>0</v>
      </c>
      <c r="K300" s="318">
        <f t="shared" si="227"/>
        <v>0</v>
      </c>
      <c r="L300" s="318">
        <f t="shared" si="238"/>
        <v>0</v>
      </c>
      <c r="M300" s="318">
        <f t="shared" si="239"/>
        <v>0</v>
      </c>
      <c r="N300" s="318">
        <f t="shared" si="220"/>
        <v>0</v>
      </c>
      <c r="O300" s="318">
        <f t="shared" si="221"/>
        <v>0</v>
      </c>
      <c r="P300" s="318">
        <f t="shared" si="240"/>
        <v>0</v>
      </c>
      <c r="Q300" s="318">
        <f t="shared" si="241"/>
        <v>0</v>
      </c>
      <c r="R300" s="318">
        <f t="shared" si="242"/>
        <v>0</v>
      </c>
      <c r="S300" s="318">
        <f t="shared" si="243"/>
        <v>0</v>
      </c>
      <c r="T300" s="318">
        <f t="shared" si="222"/>
        <v>0</v>
      </c>
      <c r="U300" s="318">
        <f t="shared" si="223"/>
        <v>0</v>
      </c>
      <c r="V300" s="318">
        <f t="shared" si="244"/>
        <v>0</v>
      </c>
      <c r="W300" s="318">
        <f t="shared" si="245"/>
        <v>0</v>
      </c>
      <c r="X300" s="318">
        <f t="shared" si="246"/>
        <v>0</v>
      </c>
      <c r="Y300" s="318">
        <f t="shared" si="247"/>
        <v>0</v>
      </c>
      <c r="Z300" s="318">
        <f t="shared" si="228"/>
        <v>0</v>
      </c>
      <c r="AA300" s="318">
        <f t="shared" si="229"/>
        <v>0</v>
      </c>
      <c r="AB300" s="318">
        <f t="shared" si="248"/>
        <v>0</v>
      </c>
      <c r="AC300" s="318">
        <f t="shared" si="249"/>
        <v>0</v>
      </c>
      <c r="AD300" s="318">
        <f t="shared" si="230"/>
        <v>0</v>
      </c>
      <c r="AE300" s="318">
        <f t="shared" si="231"/>
        <v>0</v>
      </c>
      <c r="AF300" s="318">
        <f t="shared" si="224"/>
        <v>0</v>
      </c>
      <c r="AG300" s="318">
        <f t="shared" si="225"/>
        <v>0</v>
      </c>
      <c r="AH300" s="318">
        <f t="shared" si="250"/>
        <v>0</v>
      </c>
      <c r="AI300" s="318">
        <f t="shared" si="251"/>
        <v>0</v>
      </c>
      <c r="AJ300" s="318">
        <f t="shared" si="252"/>
        <v>0</v>
      </c>
      <c r="AK300" s="318">
        <f t="shared" si="253"/>
        <v>0</v>
      </c>
      <c r="AL300" s="318">
        <f t="shared" si="254"/>
        <v>0</v>
      </c>
      <c r="AM300" s="318">
        <f t="shared" si="255"/>
        <v>0</v>
      </c>
      <c r="AN300" s="318">
        <f t="shared" si="256"/>
        <v>0</v>
      </c>
      <c r="AO300" s="318">
        <f t="shared" si="257"/>
        <v>0</v>
      </c>
      <c r="AP300" s="318">
        <f t="shared" si="258"/>
        <v>0</v>
      </c>
      <c r="AQ300" s="318">
        <f t="shared" si="259"/>
        <v>0</v>
      </c>
      <c r="AR300" s="318">
        <f t="shared" si="232"/>
        <v>0</v>
      </c>
      <c r="AS300" s="318">
        <f t="shared" si="233"/>
        <v>0</v>
      </c>
      <c r="AT300" s="318">
        <f t="shared" si="260"/>
        <v>0</v>
      </c>
      <c r="AU300" s="318">
        <f t="shared" si="261"/>
        <v>0</v>
      </c>
      <c r="AV300" s="318">
        <f t="shared" si="262"/>
        <v>0</v>
      </c>
      <c r="AW300" s="318">
        <f t="shared" si="263"/>
        <v>0</v>
      </c>
      <c r="AX300" s="318">
        <f t="shared" si="234"/>
        <v>0</v>
      </c>
      <c r="AY300" s="318">
        <f t="shared" si="235"/>
        <v>0</v>
      </c>
      <c r="AZ300" s="318">
        <f t="shared" si="236"/>
        <v>0</v>
      </c>
      <c r="BA300" s="318">
        <f t="shared" si="237"/>
        <v>0</v>
      </c>
    </row>
    <row r="301" spans="1:53" s="315" customFormat="1" ht="16.5" customHeight="1">
      <c r="A301" s="63" t="str">
        <f t="array" ref="A301">IF(C301&lt;&gt;0,SUM(($C$11:C301&lt;&gt;0)*1),"")</f>
        <v/>
      </c>
      <c r="B301" s="316"/>
      <c r="C301" s="316"/>
      <c r="D301" s="316"/>
      <c r="E301" s="436"/>
      <c r="F301" s="372"/>
      <c r="G301" s="374"/>
      <c r="H301" s="374"/>
      <c r="I301" s="63" t="str">
        <f t="shared" si="219"/>
        <v/>
      </c>
      <c r="J301" s="318">
        <f t="shared" si="226"/>
        <v>0</v>
      </c>
      <c r="K301" s="318">
        <f t="shared" si="227"/>
        <v>0</v>
      </c>
      <c r="L301" s="318">
        <f t="shared" si="238"/>
        <v>0</v>
      </c>
      <c r="M301" s="318">
        <f t="shared" si="239"/>
        <v>0</v>
      </c>
      <c r="N301" s="318">
        <f t="shared" si="220"/>
        <v>0</v>
      </c>
      <c r="O301" s="318">
        <f t="shared" si="221"/>
        <v>0</v>
      </c>
      <c r="P301" s="318">
        <f t="shared" si="240"/>
        <v>0</v>
      </c>
      <c r="Q301" s="318">
        <f t="shared" si="241"/>
        <v>0</v>
      </c>
      <c r="R301" s="318">
        <f t="shared" si="242"/>
        <v>0</v>
      </c>
      <c r="S301" s="318">
        <f t="shared" si="243"/>
        <v>0</v>
      </c>
      <c r="T301" s="318">
        <f t="shared" si="222"/>
        <v>0</v>
      </c>
      <c r="U301" s="318">
        <f t="shared" si="223"/>
        <v>0</v>
      </c>
      <c r="V301" s="318">
        <f t="shared" si="244"/>
        <v>0</v>
      </c>
      <c r="W301" s="318">
        <f t="shared" si="245"/>
        <v>0</v>
      </c>
      <c r="X301" s="318">
        <f t="shared" si="246"/>
        <v>0</v>
      </c>
      <c r="Y301" s="318">
        <f t="shared" si="247"/>
        <v>0</v>
      </c>
      <c r="Z301" s="318">
        <f t="shared" si="228"/>
        <v>0</v>
      </c>
      <c r="AA301" s="318">
        <f t="shared" si="229"/>
        <v>0</v>
      </c>
      <c r="AB301" s="318">
        <f t="shared" si="248"/>
        <v>0</v>
      </c>
      <c r="AC301" s="318">
        <f t="shared" si="249"/>
        <v>0</v>
      </c>
      <c r="AD301" s="318">
        <f t="shared" si="230"/>
        <v>0</v>
      </c>
      <c r="AE301" s="318">
        <f t="shared" si="231"/>
        <v>0</v>
      </c>
      <c r="AF301" s="318">
        <f t="shared" si="224"/>
        <v>0</v>
      </c>
      <c r="AG301" s="318">
        <f t="shared" si="225"/>
        <v>0</v>
      </c>
      <c r="AH301" s="318">
        <f t="shared" si="250"/>
        <v>0</v>
      </c>
      <c r="AI301" s="318">
        <f t="shared" si="251"/>
        <v>0</v>
      </c>
      <c r="AJ301" s="318">
        <f t="shared" si="252"/>
        <v>0</v>
      </c>
      <c r="AK301" s="318">
        <f t="shared" si="253"/>
        <v>0</v>
      </c>
      <c r="AL301" s="318">
        <f t="shared" si="254"/>
        <v>0</v>
      </c>
      <c r="AM301" s="318">
        <f t="shared" si="255"/>
        <v>0</v>
      </c>
      <c r="AN301" s="318">
        <f t="shared" si="256"/>
        <v>0</v>
      </c>
      <c r="AO301" s="318">
        <f t="shared" si="257"/>
        <v>0</v>
      </c>
      <c r="AP301" s="318">
        <f t="shared" si="258"/>
        <v>0</v>
      </c>
      <c r="AQ301" s="318">
        <f t="shared" si="259"/>
        <v>0</v>
      </c>
      <c r="AR301" s="318">
        <f t="shared" si="232"/>
        <v>0</v>
      </c>
      <c r="AS301" s="318">
        <f t="shared" si="233"/>
        <v>0</v>
      </c>
      <c r="AT301" s="318">
        <f t="shared" si="260"/>
        <v>0</v>
      </c>
      <c r="AU301" s="318">
        <f t="shared" si="261"/>
        <v>0</v>
      </c>
      <c r="AV301" s="318">
        <f t="shared" si="262"/>
        <v>0</v>
      </c>
      <c r="AW301" s="318">
        <f t="shared" si="263"/>
        <v>0</v>
      </c>
      <c r="AX301" s="318">
        <f t="shared" si="234"/>
        <v>0</v>
      </c>
      <c r="AY301" s="318">
        <f t="shared" si="235"/>
        <v>0</v>
      </c>
      <c r="AZ301" s="318">
        <f t="shared" si="236"/>
        <v>0</v>
      </c>
      <c r="BA301" s="318">
        <f t="shared" si="237"/>
        <v>0</v>
      </c>
    </row>
    <row r="302" spans="1:53" s="315" customFormat="1" ht="16.5" customHeight="1">
      <c r="A302" s="63" t="str">
        <f t="array" ref="A302">IF(C302&lt;&gt;0,SUM(($C$11:C302&lt;&gt;0)*1),"")</f>
        <v/>
      </c>
      <c r="B302" s="316"/>
      <c r="C302" s="316"/>
      <c r="D302" s="316"/>
      <c r="E302" s="436"/>
      <c r="F302" s="372"/>
      <c r="G302" s="374"/>
      <c r="H302" s="374"/>
      <c r="I302" s="63" t="str">
        <f t="shared" si="219"/>
        <v/>
      </c>
      <c r="J302" s="318">
        <f t="shared" si="226"/>
        <v>0</v>
      </c>
      <c r="K302" s="318">
        <f t="shared" si="227"/>
        <v>0</v>
      </c>
      <c r="L302" s="318">
        <f t="shared" si="238"/>
        <v>0</v>
      </c>
      <c r="M302" s="318">
        <f t="shared" si="239"/>
        <v>0</v>
      </c>
      <c r="N302" s="318">
        <f t="shared" si="220"/>
        <v>0</v>
      </c>
      <c r="O302" s="318">
        <f t="shared" si="221"/>
        <v>0</v>
      </c>
      <c r="P302" s="318">
        <f t="shared" si="240"/>
        <v>0</v>
      </c>
      <c r="Q302" s="318">
        <f t="shared" si="241"/>
        <v>0</v>
      </c>
      <c r="R302" s="318">
        <f t="shared" si="242"/>
        <v>0</v>
      </c>
      <c r="S302" s="318">
        <f t="shared" si="243"/>
        <v>0</v>
      </c>
      <c r="T302" s="318">
        <f t="shared" si="222"/>
        <v>0</v>
      </c>
      <c r="U302" s="318">
        <f t="shared" si="223"/>
        <v>0</v>
      </c>
      <c r="V302" s="318">
        <f t="shared" si="244"/>
        <v>0</v>
      </c>
      <c r="W302" s="318">
        <f t="shared" si="245"/>
        <v>0</v>
      </c>
      <c r="X302" s="318">
        <f t="shared" si="246"/>
        <v>0</v>
      </c>
      <c r="Y302" s="318">
        <f t="shared" si="247"/>
        <v>0</v>
      </c>
      <c r="Z302" s="318">
        <f t="shared" si="228"/>
        <v>0</v>
      </c>
      <c r="AA302" s="318">
        <f t="shared" si="229"/>
        <v>0</v>
      </c>
      <c r="AB302" s="318">
        <f t="shared" si="248"/>
        <v>0</v>
      </c>
      <c r="AC302" s="318">
        <f t="shared" si="249"/>
        <v>0</v>
      </c>
      <c r="AD302" s="318">
        <f t="shared" si="230"/>
        <v>0</v>
      </c>
      <c r="AE302" s="318">
        <f t="shared" si="231"/>
        <v>0</v>
      </c>
      <c r="AF302" s="318">
        <f t="shared" si="224"/>
        <v>0</v>
      </c>
      <c r="AG302" s="318">
        <f t="shared" si="225"/>
        <v>0</v>
      </c>
      <c r="AH302" s="318">
        <f t="shared" si="250"/>
        <v>0</v>
      </c>
      <c r="AI302" s="318">
        <f t="shared" si="251"/>
        <v>0</v>
      </c>
      <c r="AJ302" s="318">
        <f t="shared" si="252"/>
        <v>0</v>
      </c>
      <c r="AK302" s="318">
        <f t="shared" si="253"/>
        <v>0</v>
      </c>
      <c r="AL302" s="318">
        <f t="shared" si="254"/>
        <v>0</v>
      </c>
      <c r="AM302" s="318">
        <f t="shared" si="255"/>
        <v>0</v>
      </c>
      <c r="AN302" s="318">
        <f t="shared" si="256"/>
        <v>0</v>
      </c>
      <c r="AO302" s="318">
        <f t="shared" si="257"/>
        <v>0</v>
      </c>
      <c r="AP302" s="318">
        <f t="shared" si="258"/>
        <v>0</v>
      </c>
      <c r="AQ302" s="318">
        <f t="shared" si="259"/>
        <v>0</v>
      </c>
      <c r="AR302" s="318">
        <f t="shared" si="232"/>
        <v>0</v>
      </c>
      <c r="AS302" s="318">
        <f t="shared" si="233"/>
        <v>0</v>
      </c>
      <c r="AT302" s="318">
        <f t="shared" si="260"/>
        <v>0</v>
      </c>
      <c r="AU302" s="318">
        <f t="shared" si="261"/>
        <v>0</v>
      </c>
      <c r="AV302" s="318">
        <f t="shared" si="262"/>
        <v>0</v>
      </c>
      <c r="AW302" s="318">
        <f t="shared" si="263"/>
        <v>0</v>
      </c>
      <c r="AX302" s="318">
        <f t="shared" si="234"/>
        <v>0</v>
      </c>
      <c r="AY302" s="318">
        <f t="shared" si="235"/>
        <v>0</v>
      </c>
      <c r="AZ302" s="318">
        <f t="shared" si="236"/>
        <v>0</v>
      </c>
      <c r="BA302" s="318">
        <f t="shared" si="237"/>
        <v>0</v>
      </c>
    </row>
    <row r="303" spans="1:53" s="315" customFormat="1" ht="16.5" customHeight="1">
      <c r="A303" s="63" t="str">
        <f t="array" ref="A303">IF(C303&lt;&gt;0,SUM(($C$11:C303&lt;&gt;0)*1),"")</f>
        <v/>
      </c>
      <c r="B303" s="316"/>
      <c r="C303" s="316"/>
      <c r="D303" s="316"/>
      <c r="E303" s="436"/>
      <c r="F303" s="372"/>
      <c r="G303" s="374"/>
      <c r="H303" s="374"/>
      <c r="I303" s="63" t="str">
        <f t="shared" si="219"/>
        <v/>
      </c>
      <c r="J303" s="318">
        <f t="shared" si="226"/>
        <v>0</v>
      </c>
      <c r="K303" s="318">
        <f t="shared" si="227"/>
        <v>0</v>
      </c>
      <c r="L303" s="318">
        <f t="shared" si="238"/>
        <v>0</v>
      </c>
      <c r="M303" s="318">
        <f t="shared" si="239"/>
        <v>0</v>
      </c>
      <c r="N303" s="318">
        <f t="shared" si="220"/>
        <v>0</v>
      </c>
      <c r="O303" s="318">
        <f t="shared" si="221"/>
        <v>0</v>
      </c>
      <c r="P303" s="318">
        <f t="shared" si="240"/>
        <v>0</v>
      </c>
      <c r="Q303" s="318">
        <f t="shared" si="241"/>
        <v>0</v>
      </c>
      <c r="R303" s="318">
        <f t="shared" si="242"/>
        <v>0</v>
      </c>
      <c r="S303" s="318">
        <f t="shared" si="243"/>
        <v>0</v>
      </c>
      <c r="T303" s="318">
        <f t="shared" si="222"/>
        <v>0</v>
      </c>
      <c r="U303" s="318">
        <f t="shared" si="223"/>
        <v>0</v>
      </c>
      <c r="V303" s="318">
        <f t="shared" si="244"/>
        <v>0</v>
      </c>
      <c r="W303" s="318">
        <f t="shared" si="245"/>
        <v>0</v>
      </c>
      <c r="X303" s="318">
        <f t="shared" si="246"/>
        <v>0</v>
      </c>
      <c r="Y303" s="318">
        <f t="shared" si="247"/>
        <v>0</v>
      </c>
      <c r="Z303" s="318">
        <f t="shared" si="228"/>
        <v>0</v>
      </c>
      <c r="AA303" s="318">
        <f t="shared" si="229"/>
        <v>0</v>
      </c>
      <c r="AB303" s="318">
        <f t="shared" si="248"/>
        <v>0</v>
      </c>
      <c r="AC303" s="318">
        <f t="shared" si="249"/>
        <v>0</v>
      </c>
      <c r="AD303" s="318">
        <f t="shared" si="230"/>
        <v>0</v>
      </c>
      <c r="AE303" s="318">
        <f t="shared" si="231"/>
        <v>0</v>
      </c>
      <c r="AF303" s="318">
        <f t="shared" si="224"/>
        <v>0</v>
      </c>
      <c r="AG303" s="318">
        <f t="shared" si="225"/>
        <v>0</v>
      </c>
      <c r="AH303" s="318">
        <f t="shared" si="250"/>
        <v>0</v>
      </c>
      <c r="AI303" s="318">
        <f t="shared" si="251"/>
        <v>0</v>
      </c>
      <c r="AJ303" s="318">
        <f t="shared" si="252"/>
        <v>0</v>
      </c>
      <c r="AK303" s="318">
        <f t="shared" si="253"/>
        <v>0</v>
      </c>
      <c r="AL303" s="318">
        <f t="shared" si="254"/>
        <v>0</v>
      </c>
      <c r="AM303" s="318">
        <f t="shared" si="255"/>
        <v>0</v>
      </c>
      <c r="AN303" s="318">
        <f t="shared" si="256"/>
        <v>0</v>
      </c>
      <c r="AO303" s="318">
        <f t="shared" si="257"/>
        <v>0</v>
      </c>
      <c r="AP303" s="318">
        <f t="shared" si="258"/>
        <v>0</v>
      </c>
      <c r="AQ303" s="318">
        <f t="shared" si="259"/>
        <v>0</v>
      </c>
      <c r="AR303" s="318">
        <f t="shared" si="232"/>
        <v>0</v>
      </c>
      <c r="AS303" s="318">
        <f t="shared" si="233"/>
        <v>0</v>
      </c>
      <c r="AT303" s="318">
        <f t="shared" si="260"/>
        <v>0</v>
      </c>
      <c r="AU303" s="318">
        <f t="shared" si="261"/>
        <v>0</v>
      </c>
      <c r="AV303" s="318">
        <f t="shared" si="262"/>
        <v>0</v>
      </c>
      <c r="AW303" s="318">
        <f t="shared" si="263"/>
        <v>0</v>
      </c>
      <c r="AX303" s="318">
        <f t="shared" si="234"/>
        <v>0</v>
      </c>
      <c r="AY303" s="318">
        <f t="shared" si="235"/>
        <v>0</v>
      </c>
      <c r="AZ303" s="318">
        <f t="shared" si="236"/>
        <v>0</v>
      </c>
      <c r="BA303" s="318">
        <f t="shared" si="237"/>
        <v>0</v>
      </c>
    </row>
    <row r="304" spans="1:53" s="315" customFormat="1" ht="16.5" customHeight="1">
      <c r="A304" s="63" t="str">
        <f t="array" ref="A304">IF(C304&lt;&gt;0,SUM(($C$11:C304&lt;&gt;0)*1),"")</f>
        <v/>
      </c>
      <c r="B304" s="316"/>
      <c r="C304" s="316"/>
      <c r="D304" s="316"/>
      <c r="E304" s="436"/>
      <c r="F304" s="372"/>
      <c r="G304" s="374"/>
      <c r="H304" s="374"/>
      <c r="I304" s="63" t="str">
        <f t="shared" si="219"/>
        <v/>
      </c>
      <c r="J304" s="318">
        <f t="shared" si="226"/>
        <v>0</v>
      </c>
      <c r="K304" s="318">
        <f t="shared" si="227"/>
        <v>0</v>
      </c>
      <c r="L304" s="318">
        <f t="shared" si="238"/>
        <v>0</v>
      </c>
      <c r="M304" s="318">
        <f t="shared" si="239"/>
        <v>0</v>
      </c>
      <c r="N304" s="318">
        <f t="shared" si="220"/>
        <v>0</v>
      </c>
      <c r="O304" s="318">
        <f t="shared" si="221"/>
        <v>0</v>
      </c>
      <c r="P304" s="318">
        <f t="shared" si="240"/>
        <v>0</v>
      </c>
      <c r="Q304" s="318">
        <f t="shared" si="241"/>
        <v>0</v>
      </c>
      <c r="R304" s="318">
        <f t="shared" si="242"/>
        <v>0</v>
      </c>
      <c r="S304" s="318">
        <f t="shared" si="243"/>
        <v>0</v>
      </c>
      <c r="T304" s="318">
        <f t="shared" si="222"/>
        <v>0</v>
      </c>
      <c r="U304" s="318">
        <f t="shared" si="223"/>
        <v>0</v>
      </c>
      <c r="V304" s="318">
        <f t="shared" si="244"/>
        <v>0</v>
      </c>
      <c r="W304" s="318">
        <f t="shared" si="245"/>
        <v>0</v>
      </c>
      <c r="X304" s="318">
        <f t="shared" si="246"/>
        <v>0</v>
      </c>
      <c r="Y304" s="318">
        <f t="shared" si="247"/>
        <v>0</v>
      </c>
      <c r="Z304" s="318">
        <f t="shared" si="228"/>
        <v>0</v>
      </c>
      <c r="AA304" s="318">
        <f t="shared" si="229"/>
        <v>0</v>
      </c>
      <c r="AB304" s="318">
        <f t="shared" si="248"/>
        <v>0</v>
      </c>
      <c r="AC304" s="318">
        <f t="shared" si="249"/>
        <v>0</v>
      </c>
      <c r="AD304" s="318">
        <f t="shared" si="230"/>
        <v>0</v>
      </c>
      <c r="AE304" s="318">
        <f t="shared" si="231"/>
        <v>0</v>
      </c>
      <c r="AF304" s="318">
        <f t="shared" si="224"/>
        <v>0</v>
      </c>
      <c r="AG304" s="318">
        <f t="shared" si="225"/>
        <v>0</v>
      </c>
      <c r="AH304" s="318">
        <f t="shared" si="250"/>
        <v>0</v>
      </c>
      <c r="AI304" s="318">
        <f t="shared" si="251"/>
        <v>0</v>
      </c>
      <c r="AJ304" s="318">
        <f t="shared" si="252"/>
        <v>0</v>
      </c>
      <c r="AK304" s="318">
        <f t="shared" si="253"/>
        <v>0</v>
      </c>
      <c r="AL304" s="318">
        <f t="shared" si="254"/>
        <v>0</v>
      </c>
      <c r="AM304" s="318">
        <f t="shared" si="255"/>
        <v>0</v>
      </c>
      <c r="AN304" s="318">
        <f t="shared" si="256"/>
        <v>0</v>
      </c>
      <c r="AO304" s="318">
        <f t="shared" si="257"/>
        <v>0</v>
      </c>
      <c r="AP304" s="318">
        <f t="shared" si="258"/>
        <v>0</v>
      </c>
      <c r="AQ304" s="318">
        <f t="shared" si="259"/>
        <v>0</v>
      </c>
      <c r="AR304" s="318">
        <f t="shared" si="232"/>
        <v>0</v>
      </c>
      <c r="AS304" s="318">
        <f t="shared" si="233"/>
        <v>0</v>
      </c>
      <c r="AT304" s="318">
        <f t="shared" si="260"/>
        <v>0</v>
      </c>
      <c r="AU304" s="318">
        <f t="shared" si="261"/>
        <v>0</v>
      </c>
      <c r="AV304" s="318">
        <f t="shared" si="262"/>
        <v>0</v>
      </c>
      <c r="AW304" s="318">
        <f t="shared" si="263"/>
        <v>0</v>
      </c>
      <c r="AX304" s="318">
        <f t="shared" si="234"/>
        <v>0</v>
      </c>
      <c r="AY304" s="318">
        <f t="shared" si="235"/>
        <v>0</v>
      </c>
      <c r="AZ304" s="318">
        <f t="shared" si="236"/>
        <v>0</v>
      </c>
      <c r="BA304" s="318">
        <f t="shared" si="237"/>
        <v>0</v>
      </c>
    </row>
    <row r="305" spans="1:53" s="315" customFormat="1" ht="16.5" customHeight="1">
      <c r="A305" s="63" t="str">
        <f t="array" ref="A305">IF(C305&lt;&gt;0,SUM(($C$11:C305&lt;&gt;0)*1),"")</f>
        <v/>
      </c>
      <c r="B305" s="316"/>
      <c r="C305" s="316"/>
      <c r="D305" s="316"/>
      <c r="E305" s="436"/>
      <c r="F305" s="372"/>
      <c r="G305" s="374"/>
      <c r="H305" s="374"/>
      <c r="I305" s="63" t="str">
        <f t="shared" ref="I305:I347" si="264">A305</f>
        <v/>
      </c>
      <c r="J305" s="318">
        <f t="shared" si="226"/>
        <v>0</v>
      </c>
      <c r="K305" s="318">
        <f t="shared" si="227"/>
        <v>0</v>
      </c>
      <c r="L305" s="318">
        <f t="shared" si="238"/>
        <v>0</v>
      </c>
      <c r="M305" s="318">
        <f t="shared" si="239"/>
        <v>0</v>
      </c>
      <c r="N305" s="318">
        <f t="shared" si="220"/>
        <v>0</v>
      </c>
      <c r="O305" s="318">
        <f t="shared" si="221"/>
        <v>0</v>
      </c>
      <c r="P305" s="318">
        <f t="shared" si="240"/>
        <v>0</v>
      </c>
      <c r="Q305" s="318">
        <f t="shared" si="241"/>
        <v>0</v>
      </c>
      <c r="R305" s="318">
        <f t="shared" si="242"/>
        <v>0</v>
      </c>
      <c r="S305" s="318">
        <f t="shared" si="243"/>
        <v>0</v>
      </c>
      <c r="T305" s="318">
        <f t="shared" si="222"/>
        <v>0</v>
      </c>
      <c r="U305" s="318">
        <f t="shared" si="223"/>
        <v>0</v>
      </c>
      <c r="V305" s="318">
        <f t="shared" si="244"/>
        <v>0</v>
      </c>
      <c r="W305" s="318">
        <f t="shared" si="245"/>
        <v>0</v>
      </c>
      <c r="X305" s="318">
        <f t="shared" si="246"/>
        <v>0</v>
      </c>
      <c r="Y305" s="318">
        <f t="shared" si="247"/>
        <v>0</v>
      </c>
      <c r="Z305" s="318">
        <f t="shared" si="228"/>
        <v>0</v>
      </c>
      <c r="AA305" s="318">
        <f t="shared" si="229"/>
        <v>0</v>
      </c>
      <c r="AB305" s="318">
        <f t="shared" si="248"/>
        <v>0</v>
      </c>
      <c r="AC305" s="318">
        <f t="shared" si="249"/>
        <v>0</v>
      </c>
      <c r="AD305" s="318">
        <f t="shared" si="230"/>
        <v>0</v>
      </c>
      <c r="AE305" s="318">
        <f t="shared" si="231"/>
        <v>0</v>
      </c>
      <c r="AF305" s="318">
        <f t="shared" si="224"/>
        <v>0</v>
      </c>
      <c r="AG305" s="318">
        <f t="shared" si="225"/>
        <v>0</v>
      </c>
      <c r="AH305" s="318">
        <f t="shared" si="250"/>
        <v>0</v>
      </c>
      <c r="AI305" s="318">
        <f t="shared" si="251"/>
        <v>0</v>
      </c>
      <c r="AJ305" s="318">
        <f t="shared" si="252"/>
        <v>0</v>
      </c>
      <c r="AK305" s="318">
        <f t="shared" si="253"/>
        <v>0</v>
      </c>
      <c r="AL305" s="318">
        <f t="shared" si="254"/>
        <v>0</v>
      </c>
      <c r="AM305" s="318">
        <f t="shared" si="255"/>
        <v>0</v>
      </c>
      <c r="AN305" s="318">
        <f t="shared" si="256"/>
        <v>0</v>
      </c>
      <c r="AO305" s="318">
        <f t="shared" si="257"/>
        <v>0</v>
      </c>
      <c r="AP305" s="318">
        <f t="shared" si="258"/>
        <v>0</v>
      </c>
      <c r="AQ305" s="318">
        <f t="shared" si="259"/>
        <v>0</v>
      </c>
      <c r="AR305" s="318">
        <f t="shared" si="232"/>
        <v>0</v>
      </c>
      <c r="AS305" s="318">
        <f t="shared" si="233"/>
        <v>0</v>
      </c>
      <c r="AT305" s="318">
        <f t="shared" si="260"/>
        <v>0</v>
      </c>
      <c r="AU305" s="318">
        <f t="shared" si="261"/>
        <v>0</v>
      </c>
      <c r="AV305" s="318">
        <f t="shared" si="262"/>
        <v>0</v>
      </c>
      <c r="AW305" s="318">
        <f t="shared" si="263"/>
        <v>0</v>
      </c>
      <c r="AX305" s="318">
        <f t="shared" si="234"/>
        <v>0</v>
      </c>
      <c r="AY305" s="318">
        <f t="shared" si="235"/>
        <v>0</v>
      </c>
      <c r="AZ305" s="318">
        <f t="shared" si="236"/>
        <v>0</v>
      </c>
      <c r="BA305" s="318">
        <f t="shared" si="237"/>
        <v>0</v>
      </c>
    </row>
    <row r="306" spans="1:53" s="315" customFormat="1" ht="16.5" customHeight="1">
      <c r="A306" s="63" t="str">
        <f t="array" ref="A306">IF(C306&lt;&gt;0,SUM(($C$11:C306&lt;&gt;0)*1),"")</f>
        <v/>
      </c>
      <c r="B306" s="316"/>
      <c r="C306" s="316"/>
      <c r="D306" s="316"/>
      <c r="E306" s="436"/>
      <c r="F306" s="372"/>
      <c r="G306" s="374"/>
      <c r="H306" s="374"/>
      <c r="I306" s="63" t="str">
        <f t="shared" si="264"/>
        <v/>
      </c>
      <c r="J306" s="318">
        <f t="shared" si="226"/>
        <v>0</v>
      </c>
      <c r="K306" s="318">
        <f t="shared" si="227"/>
        <v>0</v>
      </c>
      <c r="L306" s="318">
        <f t="shared" si="238"/>
        <v>0</v>
      </c>
      <c r="M306" s="318">
        <f t="shared" si="239"/>
        <v>0</v>
      </c>
      <c r="N306" s="318">
        <f t="shared" si="220"/>
        <v>0</v>
      </c>
      <c r="O306" s="318">
        <f t="shared" si="221"/>
        <v>0</v>
      </c>
      <c r="P306" s="318">
        <f t="shared" si="240"/>
        <v>0</v>
      </c>
      <c r="Q306" s="318">
        <f t="shared" si="241"/>
        <v>0</v>
      </c>
      <c r="R306" s="318">
        <f t="shared" si="242"/>
        <v>0</v>
      </c>
      <c r="S306" s="318">
        <f t="shared" si="243"/>
        <v>0</v>
      </c>
      <c r="T306" s="318">
        <f t="shared" si="222"/>
        <v>0</v>
      </c>
      <c r="U306" s="318">
        <f t="shared" si="223"/>
        <v>0</v>
      </c>
      <c r="V306" s="318">
        <f t="shared" si="244"/>
        <v>0</v>
      </c>
      <c r="W306" s="318">
        <f t="shared" si="245"/>
        <v>0</v>
      </c>
      <c r="X306" s="318">
        <f t="shared" si="246"/>
        <v>0</v>
      </c>
      <c r="Y306" s="318">
        <f t="shared" si="247"/>
        <v>0</v>
      </c>
      <c r="Z306" s="318">
        <f t="shared" si="228"/>
        <v>0</v>
      </c>
      <c r="AA306" s="318">
        <f t="shared" si="229"/>
        <v>0</v>
      </c>
      <c r="AB306" s="318">
        <f t="shared" si="248"/>
        <v>0</v>
      </c>
      <c r="AC306" s="318">
        <f t="shared" si="249"/>
        <v>0</v>
      </c>
      <c r="AD306" s="318">
        <f t="shared" si="230"/>
        <v>0</v>
      </c>
      <c r="AE306" s="318">
        <f t="shared" si="231"/>
        <v>0</v>
      </c>
      <c r="AF306" s="318">
        <f t="shared" si="224"/>
        <v>0</v>
      </c>
      <c r="AG306" s="318">
        <f t="shared" si="225"/>
        <v>0</v>
      </c>
      <c r="AH306" s="318">
        <f t="shared" si="250"/>
        <v>0</v>
      </c>
      <c r="AI306" s="318">
        <f t="shared" si="251"/>
        <v>0</v>
      </c>
      <c r="AJ306" s="318">
        <f t="shared" si="252"/>
        <v>0</v>
      </c>
      <c r="AK306" s="318">
        <f t="shared" si="253"/>
        <v>0</v>
      </c>
      <c r="AL306" s="318">
        <f t="shared" si="254"/>
        <v>0</v>
      </c>
      <c r="AM306" s="318">
        <f t="shared" si="255"/>
        <v>0</v>
      </c>
      <c r="AN306" s="318">
        <f t="shared" si="256"/>
        <v>0</v>
      </c>
      <c r="AO306" s="318">
        <f t="shared" si="257"/>
        <v>0</v>
      </c>
      <c r="AP306" s="318">
        <f t="shared" si="258"/>
        <v>0</v>
      </c>
      <c r="AQ306" s="318">
        <f t="shared" si="259"/>
        <v>0</v>
      </c>
      <c r="AR306" s="318">
        <f t="shared" si="232"/>
        <v>0</v>
      </c>
      <c r="AS306" s="318">
        <f t="shared" si="233"/>
        <v>0</v>
      </c>
      <c r="AT306" s="318">
        <f t="shared" si="260"/>
        <v>0</v>
      </c>
      <c r="AU306" s="318">
        <f t="shared" si="261"/>
        <v>0</v>
      </c>
      <c r="AV306" s="318">
        <f t="shared" si="262"/>
        <v>0</v>
      </c>
      <c r="AW306" s="318">
        <f t="shared" si="263"/>
        <v>0</v>
      </c>
      <c r="AX306" s="318">
        <f t="shared" si="234"/>
        <v>0</v>
      </c>
      <c r="AY306" s="318">
        <f t="shared" si="235"/>
        <v>0</v>
      </c>
      <c r="AZ306" s="318">
        <f t="shared" si="236"/>
        <v>0</v>
      </c>
      <c r="BA306" s="318">
        <f t="shared" si="237"/>
        <v>0</v>
      </c>
    </row>
    <row r="307" spans="1:53" s="315" customFormat="1" ht="16.5" customHeight="1">
      <c r="A307" s="63" t="str">
        <f t="array" ref="A307">IF(C307&lt;&gt;0,SUM(($C$11:C307&lt;&gt;0)*1),"")</f>
        <v/>
      </c>
      <c r="B307" s="316"/>
      <c r="C307" s="316"/>
      <c r="D307" s="316"/>
      <c r="E307" s="436"/>
      <c r="F307" s="372"/>
      <c r="G307" s="374"/>
      <c r="H307" s="374"/>
      <c r="I307" s="63" t="str">
        <f t="shared" si="264"/>
        <v/>
      </c>
      <c r="J307" s="318">
        <f t="shared" si="226"/>
        <v>0</v>
      </c>
      <c r="K307" s="318">
        <f t="shared" si="227"/>
        <v>0</v>
      </c>
      <c r="L307" s="318">
        <f t="shared" si="238"/>
        <v>0</v>
      </c>
      <c r="M307" s="318">
        <f t="shared" si="239"/>
        <v>0</v>
      </c>
      <c r="N307" s="318">
        <f t="shared" si="220"/>
        <v>0</v>
      </c>
      <c r="O307" s="318">
        <f t="shared" si="221"/>
        <v>0</v>
      </c>
      <c r="P307" s="318">
        <f t="shared" si="240"/>
        <v>0</v>
      </c>
      <c r="Q307" s="318">
        <f t="shared" si="241"/>
        <v>0</v>
      </c>
      <c r="R307" s="318">
        <f t="shared" si="242"/>
        <v>0</v>
      </c>
      <c r="S307" s="318">
        <f t="shared" si="243"/>
        <v>0</v>
      </c>
      <c r="T307" s="318">
        <f t="shared" si="222"/>
        <v>0</v>
      </c>
      <c r="U307" s="318">
        <f t="shared" si="223"/>
        <v>0</v>
      </c>
      <c r="V307" s="318">
        <f t="shared" si="244"/>
        <v>0</v>
      </c>
      <c r="W307" s="318">
        <f t="shared" si="245"/>
        <v>0</v>
      </c>
      <c r="X307" s="318">
        <f t="shared" si="246"/>
        <v>0</v>
      </c>
      <c r="Y307" s="318">
        <f t="shared" si="247"/>
        <v>0</v>
      </c>
      <c r="Z307" s="318">
        <f t="shared" si="228"/>
        <v>0</v>
      </c>
      <c r="AA307" s="318">
        <f t="shared" si="229"/>
        <v>0</v>
      </c>
      <c r="AB307" s="318">
        <f t="shared" si="248"/>
        <v>0</v>
      </c>
      <c r="AC307" s="318">
        <f t="shared" si="249"/>
        <v>0</v>
      </c>
      <c r="AD307" s="318">
        <f t="shared" si="230"/>
        <v>0</v>
      </c>
      <c r="AE307" s="318">
        <f t="shared" si="231"/>
        <v>0</v>
      </c>
      <c r="AF307" s="318">
        <f t="shared" si="224"/>
        <v>0</v>
      </c>
      <c r="AG307" s="318">
        <f t="shared" si="225"/>
        <v>0</v>
      </c>
      <c r="AH307" s="318">
        <f t="shared" si="250"/>
        <v>0</v>
      </c>
      <c r="AI307" s="318">
        <f t="shared" si="251"/>
        <v>0</v>
      </c>
      <c r="AJ307" s="318">
        <f t="shared" si="252"/>
        <v>0</v>
      </c>
      <c r="AK307" s="318">
        <f t="shared" si="253"/>
        <v>0</v>
      </c>
      <c r="AL307" s="318">
        <f t="shared" si="254"/>
        <v>0</v>
      </c>
      <c r="AM307" s="318">
        <f t="shared" si="255"/>
        <v>0</v>
      </c>
      <c r="AN307" s="318">
        <f t="shared" si="256"/>
        <v>0</v>
      </c>
      <c r="AO307" s="318">
        <f t="shared" si="257"/>
        <v>0</v>
      </c>
      <c r="AP307" s="318">
        <f t="shared" si="258"/>
        <v>0</v>
      </c>
      <c r="AQ307" s="318">
        <f t="shared" si="259"/>
        <v>0</v>
      </c>
      <c r="AR307" s="318">
        <f t="shared" si="232"/>
        <v>0</v>
      </c>
      <c r="AS307" s="318">
        <f t="shared" si="233"/>
        <v>0</v>
      </c>
      <c r="AT307" s="318">
        <f t="shared" si="260"/>
        <v>0</v>
      </c>
      <c r="AU307" s="318">
        <f t="shared" si="261"/>
        <v>0</v>
      </c>
      <c r="AV307" s="318">
        <f t="shared" si="262"/>
        <v>0</v>
      </c>
      <c r="AW307" s="318">
        <f t="shared" si="263"/>
        <v>0</v>
      </c>
      <c r="AX307" s="318">
        <f t="shared" si="234"/>
        <v>0</v>
      </c>
      <c r="AY307" s="318">
        <f t="shared" si="235"/>
        <v>0</v>
      </c>
      <c r="AZ307" s="318">
        <f t="shared" si="236"/>
        <v>0</v>
      </c>
      <c r="BA307" s="318">
        <f t="shared" si="237"/>
        <v>0</v>
      </c>
    </row>
    <row r="308" spans="1:53" s="315" customFormat="1" ht="16.5" customHeight="1">
      <c r="A308" s="63" t="str">
        <f t="array" ref="A308">IF(C308&lt;&gt;0,SUM(($C$11:C308&lt;&gt;0)*1),"")</f>
        <v/>
      </c>
      <c r="B308" s="316"/>
      <c r="C308" s="316"/>
      <c r="D308" s="316"/>
      <c r="E308" s="436"/>
      <c r="F308" s="372"/>
      <c r="G308" s="374"/>
      <c r="H308" s="374"/>
      <c r="I308" s="63" t="str">
        <f t="shared" si="264"/>
        <v/>
      </c>
      <c r="J308" s="318">
        <f t="shared" si="226"/>
        <v>0</v>
      </c>
      <c r="K308" s="318">
        <f t="shared" si="227"/>
        <v>0</v>
      </c>
      <c r="L308" s="318">
        <f t="shared" si="238"/>
        <v>0</v>
      </c>
      <c r="M308" s="318">
        <f t="shared" si="239"/>
        <v>0</v>
      </c>
      <c r="N308" s="318">
        <f t="shared" si="220"/>
        <v>0</v>
      </c>
      <c r="O308" s="318">
        <f t="shared" si="221"/>
        <v>0</v>
      </c>
      <c r="P308" s="318">
        <f t="shared" si="240"/>
        <v>0</v>
      </c>
      <c r="Q308" s="318">
        <f t="shared" si="241"/>
        <v>0</v>
      </c>
      <c r="R308" s="318">
        <f t="shared" si="242"/>
        <v>0</v>
      </c>
      <c r="S308" s="318">
        <f t="shared" si="243"/>
        <v>0</v>
      </c>
      <c r="T308" s="318">
        <f t="shared" si="222"/>
        <v>0</v>
      </c>
      <c r="U308" s="318">
        <f t="shared" si="223"/>
        <v>0</v>
      </c>
      <c r="V308" s="318">
        <f t="shared" si="244"/>
        <v>0</v>
      </c>
      <c r="W308" s="318">
        <f t="shared" si="245"/>
        <v>0</v>
      </c>
      <c r="X308" s="318">
        <f t="shared" si="246"/>
        <v>0</v>
      </c>
      <c r="Y308" s="318">
        <f t="shared" si="247"/>
        <v>0</v>
      </c>
      <c r="Z308" s="318">
        <f t="shared" si="228"/>
        <v>0</v>
      </c>
      <c r="AA308" s="318">
        <f t="shared" si="229"/>
        <v>0</v>
      </c>
      <c r="AB308" s="318">
        <f t="shared" si="248"/>
        <v>0</v>
      </c>
      <c r="AC308" s="318">
        <f t="shared" si="249"/>
        <v>0</v>
      </c>
      <c r="AD308" s="318">
        <f t="shared" si="230"/>
        <v>0</v>
      </c>
      <c r="AE308" s="318">
        <f t="shared" si="231"/>
        <v>0</v>
      </c>
      <c r="AF308" s="318">
        <f t="shared" si="224"/>
        <v>0</v>
      </c>
      <c r="AG308" s="318">
        <f t="shared" si="225"/>
        <v>0</v>
      </c>
      <c r="AH308" s="318">
        <f t="shared" si="250"/>
        <v>0</v>
      </c>
      <c r="AI308" s="318">
        <f t="shared" si="251"/>
        <v>0</v>
      </c>
      <c r="AJ308" s="318">
        <f t="shared" si="252"/>
        <v>0</v>
      </c>
      <c r="AK308" s="318">
        <f t="shared" si="253"/>
        <v>0</v>
      </c>
      <c r="AL308" s="318">
        <f t="shared" si="254"/>
        <v>0</v>
      </c>
      <c r="AM308" s="318">
        <f t="shared" si="255"/>
        <v>0</v>
      </c>
      <c r="AN308" s="318">
        <f t="shared" si="256"/>
        <v>0</v>
      </c>
      <c r="AO308" s="318">
        <f t="shared" si="257"/>
        <v>0</v>
      </c>
      <c r="AP308" s="318">
        <f t="shared" si="258"/>
        <v>0</v>
      </c>
      <c r="AQ308" s="318">
        <f t="shared" si="259"/>
        <v>0</v>
      </c>
      <c r="AR308" s="318">
        <f t="shared" si="232"/>
        <v>0</v>
      </c>
      <c r="AS308" s="318">
        <f t="shared" si="233"/>
        <v>0</v>
      </c>
      <c r="AT308" s="318">
        <f t="shared" si="260"/>
        <v>0</v>
      </c>
      <c r="AU308" s="318">
        <f t="shared" si="261"/>
        <v>0</v>
      </c>
      <c r="AV308" s="318">
        <f t="shared" si="262"/>
        <v>0</v>
      </c>
      <c r="AW308" s="318">
        <f t="shared" si="263"/>
        <v>0</v>
      </c>
      <c r="AX308" s="318">
        <f t="shared" si="234"/>
        <v>0</v>
      </c>
      <c r="AY308" s="318">
        <f t="shared" si="235"/>
        <v>0</v>
      </c>
      <c r="AZ308" s="318">
        <f t="shared" si="236"/>
        <v>0</v>
      </c>
      <c r="BA308" s="318">
        <f t="shared" si="237"/>
        <v>0</v>
      </c>
    </row>
    <row r="309" spans="1:53" s="315" customFormat="1" ht="16.5" customHeight="1">
      <c r="A309" s="63" t="str">
        <f t="array" ref="A309">IF(C309&lt;&gt;0,SUM(($C$11:C309&lt;&gt;0)*1),"")</f>
        <v/>
      </c>
      <c r="B309" s="316"/>
      <c r="C309" s="316"/>
      <c r="D309" s="316"/>
      <c r="E309" s="436"/>
      <c r="F309" s="372"/>
      <c r="G309" s="374"/>
      <c r="H309" s="374"/>
      <c r="I309" s="63" t="str">
        <f t="shared" si="264"/>
        <v/>
      </c>
      <c r="J309" s="318">
        <f t="shared" si="226"/>
        <v>0</v>
      </c>
      <c r="K309" s="318">
        <f t="shared" si="227"/>
        <v>0</v>
      </c>
      <c r="L309" s="318">
        <f t="shared" si="238"/>
        <v>0</v>
      </c>
      <c r="M309" s="318">
        <f t="shared" si="239"/>
        <v>0</v>
      </c>
      <c r="N309" s="318">
        <f t="shared" si="220"/>
        <v>0</v>
      </c>
      <c r="O309" s="318">
        <f t="shared" si="221"/>
        <v>0</v>
      </c>
      <c r="P309" s="318">
        <f t="shared" si="240"/>
        <v>0</v>
      </c>
      <c r="Q309" s="318">
        <f t="shared" si="241"/>
        <v>0</v>
      </c>
      <c r="R309" s="318">
        <f t="shared" si="242"/>
        <v>0</v>
      </c>
      <c r="S309" s="318">
        <f t="shared" si="243"/>
        <v>0</v>
      </c>
      <c r="T309" s="318">
        <f t="shared" si="222"/>
        <v>0</v>
      </c>
      <c r="U309" s="318">
        <f t="shared" si="223"/>
        <v>0</v>
      </c>
      <c r="V309" s="318">
        <f t="shared" si="244"/>
        <v>0</v>
      </c>
      <c r="W309" s="318">
        <f t="shared" si="245"/>
        <v>0</v>
      </c>
      <c r="X309" s="318">
        <f t="shared" si="246"/>
        <v>0</v>
      </c>
      <c r="Y309" s="318">
        <f t="shared" si="247"/>
        <v>0</v>
      </c>
      <c r="Z309" s="318">
        <f t="shared" si="228"/>
        <v>0</v>
      </c>
      <c r="AA309" s="318">
        <f t="shared" si="229"/>
        <v>0</v>
      </c>
      <c r="AB309" s="318">
        <f t="shared" si="248"/>
        <v>0</v>
      </c>
      <c r="AC309" s="318">
        <f t="shared" si="249"/>
        <v>0</v>
      </c>
      <c r="AD309" s="318">
        <f t="shared" si="230"/>
        <v>0</v>
      </c>
      <c r="AE309" s="318">
        <f t="shared" si="231"/>
        <v>0</v>
      </c>
      <c r="AF309" s="318">
        <f t="shared" si="224"/>
        <v>0</v>
      </c>
      <c r="AG309" s="318">
        <f t="shared" si="225"/>
        <v>0</v>
      </c>
      <c r="AH309" s="318">
        <f t="shared" si="250"/>
        <v>0</v>
      </c>
      <c r="AI309" s="318">
        <f t="shared" si="251"/>
        <v>0</v>
      </c>
      <c r="AJ309" s="318">
        <f t="shared" si="252"/>
        <v>0</v>
      </c>
      <c r="AK309" s="318">
        <f t="shared" si="253"/>
        <v>0</v>
      </c>
      <c r="AL309" s="318">
        <f t="shared" si="254"/>
        <v>0</v>
      </c>
      <c r="AM309" s="318">
        <f t="shared" si="255"/>
        <v>0</v>
      </c>
      <c r="AN309" s="318">
        <f t="shared" si="256"/>
        <v>0</v>
      </c>
      <c r="AO309" s="318">
        <f t="shared" si="257"/>
        <v>0</v>
      </c>
      <c r="AP309" s="318">
        <f t="shared" si="258"/>
        <v>0</v>
      </c>
      <c r="AQ309" s="318">
        <f t="shared" si="259"/>
        <v>0</v>
      </c>
      <c r="AR309" s="318">
        <f t="shared" si="232"/>
        <v>0</v>
      </c>
      <c r="AS309" s="318">
        <f t="shared" si="233"/>
        <v>0</v>
      </c>
      <c r="AT309" s="318">
        <f t="shared" si="260"/>
        <v>0</v>
      </c>
      <c r="AU309" s="318">
        <f t="shared" si="261"/>
        <v>0</v>
      </c>
      <c r="AV309" s="318">
        <f t="shared" si="262"/>
        <v>0</v>
      </c>
      <c r="AW309" s="318">
        <f t="shared" si="263"/>
        <v>0</v>
      </c>
      <c r="AX309" s="318">
        <f t="shared" si="234"/>
        <v>0</v>
      </c>
      <c r="AY309" s="318">
        <f t="shared" si="235"/>
        <v>0</v>
      </c>
      <c r="AZ309" s="318">
        <f t="shared" si="236"/>
        <v>0</v>
      </c>
      <c r="BA309" s="318">
        <f t="shared" si="237"/>
        <v>0</v>
      </c>
    </row>
    <row r="310" spans="1:53" s="315" customFormat="1" ht="16.5" customHeight="1">
      <c r="A310" s="63" t="str">
        <f t="array" ref="A310">IF(C310&lt;&gt;0,SUM(($C$11:C310&lt;&gt;0)*1),"")</f>
        <v/>
      </c>
      <c r="B310" s="316"/>
      <c r="C310" s="316"/>
      <c r="D310" s="316"/>
      <c r="E310" s="436"/>
      <c r="F310" s="372"/>
      <c r="G310" s="374"/>
      <c r="H310" s="374"/>
      <c r="I310" s="63" t="str">
        <f t="shared" si="264"/>
        <v/>
      </c>
      <c r="J310" s="318">
        <f t="shared" si="226"/>
        <v>0</v>
      </c>
      <c r="K310" s="318">
        <f t="shared" si="227"/>
        <v>0</v>
      </c>
      <c r="L310" s="318">
        <f t="shared" si="238"/>
        <v>0</v>
      </c>
      <c r="M310" s="318">
        <f t="shared" si="239"/>
        <v>0</v>
      </c>
      <c r="N310" s="318">
        <f t="shared" si="220"/>
        <v>0</v>
      </c>
      <c r="O310" s="318">
        <f t="shared" si="221"/>
        <v>0</v>
      </c>
      <c r="P310" s="318">
        <f t="shared" si="240"/>
        <v>0</v>
      </c>
      <c r="Q310" s="318">
        <f t="shared" si="241"/>
        <v>0</v>
      </c>
      <c r="R310" s="318">
        <f t="shared" si="242"/>
        <v>0</v>
      </c>
      <c r="S310" s="318">
        <f t="shared" si="243"/>
        <v>0</v>
      </c>
      <c r="T310" s="318">
        <f t="shared" si="222"/>
        <v>0</v>
      </c>
      <c r="U310" s="318">
        <f t="shared" si="223"/>
        <v>0</v>
      </c>
      <c r="V310" s="318">
        <f t="shared" si="244"/>
        <v>0</v>
      </c>
      <c r="W310" s="318">
        <f t="shared" si="245"/>
        <v>0</v>
      </c>
      <c r="X310" s="318">
        <f t="shared" si="246"/>
        <v>0</v>
      </c>
      <c r="Y310" s="318">
        <f t="shared" si="247"/>
        <v>0</v>
      </c>
      <c r="Z310" s="318">
        <f t="shared" si="228"/>
        <v>0</v>
      </c>
      <c r="AA310" s="318">
        <f t="shared" si="229"/>
        <v>0</v>
      </c>
      <c r="AB310" s="318">
        <f t="shared" si="248"/>
        <v>0</v>
      </c>
      <c r="AC310" s="318">
        <f t="shared" si="249"/>
        <v>0</v>
      </c>
      <c r="AD310" s="318">
        <f t="shared" si="230"/>
        <v>0</v>
      </c>
      <c r="AE310" s="318">
        <f t="shared" si="231"/>
        <v>0</v>
      </c>
      <c r="AF310" s="318">
        <f t="shared" si="224"/>
        <v>0</v>
      </c>
      <c r="AG310" s="318">
        <f t="shared" si="225"/>
        <v>0</v>
      </c>
      <c r="AH310" s="318">
        <f t="shared" si="250"/>
        <v>0</v>
      </c>
      <c r="AI310" s="318">
        <f t="shared" si="251"/>
        <v>0</v>
      </c>
      <c r="AJ310" s="318">
        <f t="shared" si="252"/>
        <v>0</v>
      </c>
      <c r="AK310" s="318">
        <f t="shared" si="253"/>
        <v>0</v>
      </c>
      <c r="AL310" s="318">
        <f t="shared" si="254"/>
        <v>0</v>
      </c>
      <c r="AM310" s="318">
        <f t="shared" si="255"/>
        <v>0</v>
      </c>
      <c r="AN310" s="318">
        <f t="shared" si="256"/>
        <v>0</v>
      </c>
      <c r="AO310" s="318">
        <f t="shared" si="257"/>
        <v>0</v>
      </c>
      <c r="AP310" s="318">
        <f t="shared" si="258"/>
        <v>0</v>
      </c>
      <c r="AQ310" s="318">
        <f t="shared" si="259"/>
        <v>0</v>
      </c>
      <c r="AR310" s="318">
        <f t="shared" si="232"/>
        <v>0</v>
      </c>
      <c r="AS310" s="318">
        <f t="shared" si="233"/>
        <v>0</v>
      </c>
      <c r="AT310" s="318">
        <f t="shared" si="260"/>
        <v>0</v>
      </c>
      <c r="AU310" s="318">
        <f t="shared" si="261"/>
        <v>0</v>
      </c>
      <c r="AV310" s="318">
        <f t="shared" si="262"/>
        <v>0</v>
      </c>
      <c r="AW310" s="318">
        <f t="shared" si="263"/>
        <v>0</v>
      </c>
      <c r="AX310" s="318">
        <f t="shared" si="234"/>
        <v>0</v>
      </c>
      <c r="AY310" s="318">
        <f t="shared" si="235"/>
        <v>0</v>
      </c>
      <c r="AZ310" s="318">
        <f t="shared" si="236"/>
        <v>0</v>
      </c>
      <c r="BA310" s="318">
        <f t="shared" si="237"/>
        <v>0</v>
      </c>
    </row>
    <row r="311" spans="1:53" s="315" customFormat="1" ht="16.5" customHeight="1">
      <c r="A311" s="63" t="str">
        <f t="array" ref="A311">IF(C311&lt;&gt;0,SUM(($C$11:C311&lt;&gt;0)*1),"")</f>
        <v/>
      </c>
      <c r="B311" s="316"/>
      <c r="C311" s="316"/>
      <c r="D311" s="316"/>
      <c r="E311" s="436"/>
      <c r="F311" s="372"/>
      <c r="G311" s="374"/>
      <c r="H311" s="374"/>
      <c r="I311" s="63" t="str">
        <f t="shared" si="264"/>
        <v/>
      </c>
      <c r="J311" s="318">
        <f t="shared" si="226"/>
        <v>0</v>
      </c>
      <c r="K311" s="318">
        <f t="shared" si="227"/>
        <v>0</v>
      </c>
      <c r="L311" s="318">
        <f t="shared" si="238"/>
        <v>0</v>
      </c>
      <c r="M311" s="318">
        <f t="shared" si="239"/>
        <v>0</v>
      </c>
      <c r="N311" s="318">
        <f t="shared" si="220"/>
        <v>0</v>
      </c>
      <c r="O311" s="318">
        <f t="shared" si="221"/>
        <v>0</v>
      </c>
      <c r="P311" s="318">
        <f t="shared" si="240"/>
        <v>0</v>
      </c>
      <c r="Q311" s="318">
        <f t="shared" si="241"/>
        <v>0</v>
      </c>
      <c r="R311" s="318">
        <f t="shared" si="242"/>
        <v>0</v>
      </c>
      <c r="S311" s="318">
        <f t="shared" si="243"/>
        <v>0</v>
      </c>
      <c r="T311" s="318">
        <f t="shared" si="222"/>
        <v>0</v>
      </c>
      <c r="U311" s="318">
        <f t="shared" si="223"/>
        <v>0</v>
      </c>
      <c r="V311" s="318">
        <f t="shared" si="244"/>
        <v>0</v>
      </c>
      <c r="W311" s="318">
        <f t="shared" si="245"/>
        <v>0</v>
      </c>
      <c r="X311" s="318">
        <f t="shared" si="246"/>
        <v>0</v>
      </c>
      <c r="Y311" s="318">
        <f t="shared" si="247"/>
        <v>0</v>
      </c>
      <c r="Z311" s="318">
        <f t="shared" si="228"/>
        <v>0</v>
      </c>
      <c r="AA311" s="318">
        <f t="shared" si="229"/>
        <v>0</v>
      </c>
      <c r="AB311" s="318">
        <f t="shared" si="248"/>
        <v>0</v>
      </c>
      <c r="AC311" s="318">
        <f t="shared" si="249"/>
        <v>0</v>
      </c>
      <c r="AD311" s="318">
        <f t="shared" si="230"/>
        <v>0</v>
      </c>
      <c r="AE311" s="318">
        <f t="shared" si="231"/>
        <v>0</v>
      </c>
      <c r="AF311" s="318">
        <f t="shared" si="224"/>
        <v>0</v>
      </c>
      <c r="AG311" s="318">
        <f t="shared" si="225"/>
        <v>0</v>
      </c>
      <c r="AH311" s="318">
        <f t="shared" si="250"/>
        <v>0</v>
      </c>
      <c r="AI311" s="318">
        <f t="shared" si="251"/>
        <v>0</v>
      </c>
      <c r="AJ311" s="318">
        <f t="shared" si="252"/>
        <v>0</v>
      </c>
      <c r="AK311" s="318">
        <f t="shared" si="253"/>
        <v>0</v>
      </c>
      <c r="AL311" s="318">
        <f t="shared" si="254"/>
        <v>0</v>
      </c>
      <c r="AM311" s="318">
        <f t="shared" si="255"/>
        <v>0</v>
      </c>
      <c r="AN311" s="318">
        <f t="shared" si="256"/>
        <v>0</v>
      </c>
      <c r="AO311" s="318">
        <f t="shared" si="257"/>
        <v>0</v>
      </c>
      <c r="AP311" s="318">
        <f t="shared" si="258"/>
        <v>0</v>
      </c>
      <c r="AQ311" s="318">
        <f t="shared" si="259"/>
        <v>0</v>
      </c>
      <c r="AR311" s="318">
        <f t="shared" si="232"/>
        <v>0</v>
      </c>
      <c r="AS311" s="318">
        <f t="shared" si="233"/>
        <v>0</v>
      </c>
      <c r="AT311" s="318">
        <f t="shared" si="260"/>
        <v>0</v>
      </c>
      <c r="AU311" s="318">
        <f t="shared" si="261"/>
        <v>0</v>
      </c>
      <c r="AV311" s="318">
        <f t="shared" si="262"/>
        <v>0</v>
      </c>
      <c r="AW311" s="318">
        <f t="shared" si="263"/>
        <v>0</v>
      </c>
      <c r="AX311" s="318">
        <f t="shared" si="234"/>
        <v>0</v>
      </c>
      <c r="AY311" s="318">
        <f t="shared" si="235"/>
        <v>0</v>
      </c>
      <c r="AZ311" s="318">
        <f t="shared" si="236"/>
        <v>0</v>
      </c>
      <c r="BA311" s="318">
        <f t="shared" si="237"/>
        <v>0</v>
      </c>
    </row>
    <row r="312" spans="1:53" s="315" customFormat="1" ht="16.5" customHeight="1">
      <c r="A312" s="63" t="str">
        <f t="array" ref="A312">IF(C312&lt;&gt;0,SUM(($C$11:C312&lt;&gt;0)*1),"")</f>
        <v/>
      </c>
      <c r="B312" s="316"/>
      <c r="C312" s="316"/>
      <c r="D312" s="316"/>
      <c r="E312" s="436"/>
      <c r="F312" s="372"/>
      <c r="G312" s="374"/>
      <c r="H312" s="374"/>
      <c r="I312" s="63" t="str">
        <f t="shared" si="264"/>
        <v/>
      </c>
      <c r="J312" s="318">
        <f t="shared" si="226"/>
        <v>0</v>
      </c>
      <c r="K312" s="318">
        <f t="shared" si="227"/>
        <v>0</v>
      </c>
      <c r="L312" s="318">
        <f t="shared" si="238"/>
        <v>0</v>
      </c>
      <c r="M312" s="318">
        <f t="shared" si="239"/>
        <v>0</v>
      </c>
      <c r="N312" s="318">
        <f t="shared" si="220"/>
        <v>0</v>
      </c>
      <c r="O312" s="318">
        <f t="shared" si="221"/>
        <v>0</v>
      </c>
      <c r="P312" s="318">
        <f t="shared" si="240"/>
        <v>0</v>
      </c>
      <c r="Q312" s="318">
        <f t="shared" si="241"/>
        <v>0</v>
      </c>
      <c r="R312" s="318">
        <f t="shared" si="242"/>
        <v>0</v>
      </c>
      <c r="S312" s="318">
        <f t="shared" si="243"/>
        <v>0</v>
      </c>
      <c r="T312" s="318">
        <f t="shared" si="222"/>
        <v>0</v>
      </c>
      <c r="U312" s="318">
        <f t="shared" si="223"/>
        <v>0</v>
      </c>
      <c r="V312" s="318">
        <f t="shared" si="244"/>
        <v>0</v>
      </c>
      <c r="W312" s="318">
        <f t="shared" si="245"/>
        <v>0</v>
      </c>
      <c r="X312" s="318">
        <f t="shared" si="246"/>
        <v>0</v>
      </c>
      <c r="Y312" s="318">
        <f t="shared" si="247"/>
        <v>0</v>
      </c>
      <c r="Z312" s="318">
        <f t="shared" si="228"/>
        <v>0</v>
      </c>
      <c r="AA312" s="318">
        <f t="shared" si="229"/>
        <v>0</v>
      </c>
      <c r="AB312" s="318">
        <f t="shared" si="248"/>
        <v>0</v>
      </c>
      <c r="AC312" s="318">
        <f t="shared" si="249"/>
        <v>0</v>
      </c>
      <c r="AD312" s="318">
        <f t="shared" si="230"/>
        <v>0</v>
      </c>
      <c r="AE312" s="318">
        <f t="shared" si="231"/>
        <v>0</v>
      </c>
      <c r="AF312" s="318">
        <f t="shared" si="224"/>
        <v>0</v>
      </c>
      <c r="AG312" s="318">
        <f t="shared" si="225"/>
        <v>0</v>
      </c>
      <c r="AH312" s="318">
        <f t="shared" si="250"/>
        <v>0</v>
      </c>
      <c r="AI312" s="318">
        <f t="shared" si="251"/>
        <v>0</v>
      </c>
      <c r="AJ312" s="318">
        <f t="shared" si="252"/>
        <v>0</v>
      </c>
      <c r="AK312" s="318">
        <f t="shared" si="253"/>
        <v>0</v>
      </c>
      <c r="AL312" s="318">
        <f t="shared" si="254"/>
        <v>0</v>
      </c>
      <c r="AM312" s="318">
        <f t="shared" si="255"/>
        <v>0</v>
      </c>
      <c r="AN312" s="318">
        <f t="shared" si="256"/>
        <v>0</v>
      </c>
      <c r="AO312" s="318">
        <f t="shared" si="257"/>
        <v>0</v>
      </c>
      <c r="AP312" s="318">
        <f t="shared" si="258"/>
        <v>0</v>
      </c>
      <c r="AQ312" s="318">
        <f t="shared" si="259"/>
        <v>0</v>
      </c>
      <c r="AR312" s="318">
        <f t="shared" si="232"/>
        <v>0</v>
      </c>
      <c r="AS312" s="318">
        <f t="shared" si="233"/>
        <v>0</v>
      </c>
      <c r="AT312" s="318">
        <f t="shared" si="260"/>
        <v>0</v>
      </c>
      <c r="AU312" s="318">
        <f t="shared" si="261"/>
        <v>0</v>
      </c>
      <c r="AV312" s="318">
        <f t="shared" si="262"/>
        <v>0</v>
      </c>
      <c r="AW312" s="318">
        <f t="shared" si="263"/>
        <v>0</v>
      </c>
      <c r="AX312" s="318">
        <f t="shared" si="234"/>
        <v>0</v>
      </c>
      <c r="AY312" s="318">
        <f t="shared" si="235"/>
        <v>0</v>
      </c>
      <c r="AZ312" s="318">
        <f t="shared" si="236"/>
        <v>0</v>
      </c>
      <c r="BA312" s="318">
        <f t="shared" si="237"/>
        <v>0</v>
      </c>
    </row>
    <row r="313" spans="1:53" s="315" customFormat="1" ht="16.5" customHeight="1">
      <c r="A313" s="63" t="str">
        <f t="array" ref="A313">IF(C313&lt;&gt;0,SUM(($C$11:C313&lt;&gt;0)*1),"")</f>
        <v/>
      </c>
      <c r="B313" s="316"/>
      <c r="C313" s="316"/>
      <c r="D313" s="316"/>
      <c r="E313" s="436"/>
      <c r="F313" s="372"/>
      <c r="G313" s="374"/>
      <c r="H313" s="374"/>
      <c r="I313" s="63" t="str">
        <f t="shared" si="264"/>
        <v/>
      </c>
      <c r="J313" s="318">
        <f t="shared" si="226"/>
        <v>0</v>
      </c>
      <c r="K313" s="318">
        <f t="shared" si="227"/>
        <v>0</v>
      </c>
      <c r="L313" s="318">
        <f t="shared" si="238"/>
        <v>0</v>
      </c>
      <c r="M313" s="318">
        <f t="shared" si="239"/>
        <v>0</v>
      </c>
      <c r="N313" s="318">
        <f t="shared" si="220"/>
        <v>0</v>
      </c>
      <c r="O313" s="318">
        <f t="shared" si="221"/>
        <v>0</v>
      </c>
      <c r="P313" s="318">
        <f t="shared" si="240"/>
        <v>0</v>
      </c>
      <c r="Q313" s="318">
        <f t="shared" si="241"/>
        <v>0</v>
      </c>
      <c r="R313" s="318">
        <f t="shared" si="242"/>
        <v>0</v>
      </c>
      <c r="S313" s="318">
        <f t="shared" si="243"/>
        <v>0</v>
      </c>
      <c r="T313" s="318">
        <f t="shared" si="222"/>
        <v>0</v>
      </c>
      <c r="U313" s="318">
        <f t="shared" si="223"/>
        <v>0</v>
      </c>
      <c r="V313" s="318">
        <f t="shared" si="244"/>
        <v>0</v>
      </c>
      <c r="W313" s="318">
        <f t="shared" si="245"/>
        <v>0</v>
      </c>
      <c r="X313" s="318">
        <f t="shared" si="246"/>
        <v>0</v>
      </c>
      <c r="Y313" s="318">
        <f t="shared" si="247"/>
        <v>0</v>
      </c>
      <c r="Z313" s="318">
        <f t="shared" si="228"/>
        <v>0</v>
      </c>
      <c r="AA313" s="318">
        <f t="shared" si="229"/>
        <v>0</v>
      </c>
      <c r="AB313" s="318">
        <f t="shared" si="248"/>
        <v>0</v>
      </c>
      <c r="AC313" s="318">
        <f t="shared" si="249"/>
        <v>0</v>
      </c>
      <c r="AD313" s="318">
        <f t="shared" si="230"/>
        <v>0</v>
      </c>
      <c r="AE313" s="318">
        <f t="shared" si="231"/>
        <v>0</v>
      </c>
      <c r="AF313" s="318">
        <f t="shared" si="224"/>
        <v>0</v>
      </c>
      <c r="AG313" s="318">
        <f t="shared" si="225"/>
        <v>0</v>
      </c>
      <c r="AH313" s="318">
        <f t="shared" si="250"/>
        <v>0</v>
      </c>
      <c r="AI313" s="318">
        <f t="shared" si="251"/>
        <v>0</v>
      </c>
      <c r="AJ313" s="318">
        <f t="shared" si="252"/>
        <v>0</v>
      </c>
      <c r="AK313" s="318">
        <f t="shared" si="253"/>
        <v>0</v>
      </c>
      <c r="AL313" s="318">
        <f t="shared" si="254"/>
        <v>0</v>
      </c>
      <c r="AM313" s="318">
        <f t="shared" si="255"/>
        <v>0</v>
      </c>
      <c r="AN313" s="318">
        <f t="shared" si="256"/>
        <v>0</v>
      </c>
      <c r="AO313" s="318">
        <f t="shared" si="257"/>
        <v>0</v>
      </c>
      <c r="AP313" s="318">
        <f t="shared" si="258"/>
        <v>0</v>
      </c>
      <c r="AQ313" s="318">
        <f t="shared" si="259"/>
        <v>0</v>
      </c>
      <c r="AR313" s="318">
        <f t="shared" si="232"/>
        <v>0</v>
      </c>
      <c r="AS313" s="318">
        <f t="shared" si="233"/>
        <v>0</v>
      </c>
      <c r="AT313" s="318">
        <f t="shared" si="260"/>
        <v>0</v>
      </c>
      <c r="AU313" s="318">
        <f t="shared" si="261"/>
        <v>0</v>
      </c>
      <c r="AV313" s="318">
        <f t="shared" si="262"/>
        <v>0</v>
      </c>
      <c r="AW313" s="318">
        <f t="shared" si="263"/>
        <v>0</v>
      </c>
      <c r="AX313" s="318">
        <f t="shared" si="234"/>
        <v>0</v>
      </c>
      <c r="AY313" s="318">
        <f t="shared" si="235"/>
        <v>0</v>
      </c>
      <c r="AZ313" s="318">
        <f t="shared" si="236"/>
        <v>0</v>
      </c>
      <c r="BA313" s="318">
        <f t="shared" si="237"/>
        <v>0</v>
      </c>
    </row>
    <row r="314" spans="1:53" s="315" customFormat="1" ht="16.5" customHeight="1">
      <c r="A314" s="63" t="str">
        <f t="array" ref="A314">IF(C314&lt;&gt;0,SUM(($C$11:C314&lt;&gt;0)*1),"")</f>
        <v/>
      </c>
      <c r="B314" s="316"/>
      <c r="C314" s="316"/>
      <c r="D314" s="316"/>
      <c r="E314" s="436"/>
      <c r="F314" s="372"/>
      <c r="G314" s="374"/>
      <c r="H314" s="374"/>
      <c r="I314" s="63" t="str">
        <f t="shared" si="264"/>
        <v/>
      </c>
      <c r="J314" s="318">
        <f t="shared" si="226"/>
        <v>0</v>
      </c>
      <c r="K314" s="318">
        <f t="shared" si="227"/>
        <v>0</v>
      </c>
      <c r="L314" s="318">
        <f t="shared" si="238"/>
        <v>0</v>
      </c>
      <c r="M314" s="318">
        <f t="shared" si="239"/>
        <v>0</v>
      </c>
      <c r="N314" s="318">
        <f t="shared" si="220"/>
        <v>0</v>
      </c>
      <c r="O314" s="318">
        <f t="shared" si="221"/>
        <v>0</v>
      </c>
      <c r="P314" s="318">
        <f t="shared" si="240"/>
        <v>0</v>
      </c>
      <c r="Q314" s="318">
        <f t="shared" si="241"/>
        <v>0</v>
      </c>
      <c r="R314" s="318">
        <f t="shared" si="242"/>
        <v>0</v>
      </c>
      <c r="S314" s="318">
        <f t="shared" si="243"/>
        <v>0</v>
      </c>
      <c r="T314" s="318">
        <f t="shared" si="222"/>
        <v>0</v>
      </c>
      <c r="U314" s="318">
        <f t="shared" si="223"/>
        <v>0</v>
      </c>
      <c r="V314" s="318">
        <f t="shared" si="244"/>
        <v>0</v>
      </c>
      <c r="W314" s="318">
        <f t="shared" si="245"/>
        <v>0</v>
      </c>
      <c r="X314" s="318">
        <f t="shared" si="246"/>
        <v>0</v>
      </c>
      <c r="Y314" s="318">
        <f t="shared" si="247"/>
        <v>0</v>
      </c>
      <c r="Z314" s="318">
        <f t="shared" si="228"/>
        <v>0</v>
      </c>
      <c r="AA314" s="318">
        <f t="shared" si="229"/>
        <v>0</v>
      </c>
      <c r="AB314" s="318">
        <f t="shared" si="248"/>
        <v>0</v>
      </c>
      <c r="AC314" s="318">
        <f t="shared" si="249"/>
        <v>0</v>
      </c>
      <c r="AD314" s="318">
        <f t="shared" si="230"/>
        <v>0</v>
      </c>
      <c r="AE314" s="318">
        <f t="shared" si="231"/>
        <v>0</v>
      </c>
      <c r="AF314" s="318">
        <f t="shared" si="224"/>
        <v>0</v>
      </c>
      <c r="AG314" s="318">
        <f t="shared" si="225"/>
        <v>0</v>
      </c>
      <c r="AH314" s="318">
        <f t="shared" si="250"/>
        <v>0</v>
      </c>
      <c r="AI314" s="318">
        <f t="shared" si="251"/>
        <v>0</v>
      </c>
      <c r="AJ314" s="318">
        <f t="shared" si="252"/>
        <v>0</v>
      </c>
      <c r="AK314" s="318">
        <f t="shared" si="253"/>
        <v>0</v>
      </c>
      <c r="AL314" s="318">
        <f t="shared" si="254"/>
        <v>0</v>
      </c>
      <c r="AM314" s="318">
        <f t="shared" si="255"/>
        <v>0</v>
      </c>
      <c r="AN314" s="318">
        <f t="shared" si="256"/>
        <v>0</v>
      </c>
      <c r="AO314" s="318">
        <f t="shared" si="257"/>
        <v>0</v>
      </c>
      <c r="AP314" s="318">
        <f t="shared" si="258"/>
        <v>0</v>
      </c>
      <c r="AQ314" s="318">
        <f t="shared" si="259"/>
        <v>0</v>
      </c>
      <c r="AR314" s="318">
        <f t="shared" si="232"/>
        <v>0</v>
      </c>
      <c r="AS314" s="318">
        <f t="shared" si="233"/>
        <v>0</v>
      </c>
      <c r="AT314" s="318">
        <f t="shared" si="260"/>
        <v>0</v>
      </c>
      <c r="AU314" s="318">
        <f t="shared" si="261"/>
        <v>0</v>
      </c>
      <c r="AV314" s="318">
        <f t="shared" si="262"/>
        <v>0</v>
      </c>
      <c r="AW314" s="318">
        <f t="shared" si="263"/>
        <v>0</v>
      </c>
      <c r="AX314" s="318">
        <f t="shared" si="234"/>
        <v>0</v>
      </c>
      <c r="AY314" s="318">
        <f t="shared" si="235"/>
        <v>0</v>
      </c>
      <c r="AZ314" s="318">
        <f t="shared" si="236"/>
        <v>0</v>
      </c>
      <c r="BA314" s="318">
        <f t="shared" si="237"/>
        <v>0</v>
      </c>
    </row>
    <row r="315" spans="1:53" s="315" customFormat="1" ht="16.5" customHeight="1">
      <c r="A315" s="63" t="str">
        <f t="array" ref="A315">IF(C315&lt;&gt;0,SUM(($C$11:C315&lt;&gt;0)*1),"")</f>
        <v/>
      </c>
      <c r="B315" s="316"/>
      <c r="C315" s="316"/>
      <c r="D315" s="316"/>
      <c r="E315" s="436"/>
      <c r="F315" s="372"/>
      <c r="G315" s="374"/>
      <c r="H315" s="374"/>
      <c r="I315" s="63" t="str">
        <f t="shared" si="264"/>
        <v/>
      </c>
      <c r="J315" s="318">
        <f t="shared" si="226"/>
        <v>0</v>
      </c>
      <c r="K315" s="318">
        <f t="shared" si="227"/>
        <v>0</v>
      </c>
      <c r="L315" s="318">
        <f t="shared" si="238"/>
        <v>0</v>
      </c>
      <c r="M315" s="318">
        <f t="shared" si="239"/>
        <v>0</v>
      </c>
      <c r="N315" s="318">
        <f t="shared" si="220"/>
        <v>0</v>
      </c>
      <c r="O315" s="318">
        <f t="shared" si="221"/>
        <v>0</v>
      </c>
      <c r="P315" s="318">
        <f t="shared" si="240"/>
        <v>0</v>
      </c>
      <c r="Q315" s="318">
        <f t="shared" si="241"/>
        <v>0</v>
      </c>
      <c r="R315" s="318">
        <f t="shared" si="242"/>
        <v>0</v>
      </c>
      <c r="S315" s="318">
        <f t="shared" si="243"/>
        <v>0</v>
      </c>
      <c r="T315" s="318">
        <f t="shared" si="222"/>
        <v>0</v>
      </c>
      <c r="U315" s="318">
        <f t="shared" si="223"/>
        <v>0</v>
      </c>
      <c r="V315" s="318">
        <f t="shared" si="244"/>
        <v>0</v>
      </c>
      <c r="W315" s="318">
        <f t="shared" si="245"/>
        <v>0</v>
      </c>
      <c r="X315" s="318">
        <f t="shared" si="246"/>
        <v>0</v>
      </c>
      <c r="Y315" s="318">
        <f t="shared" si="247"/>
        <v>0</v>
      </c>
      <c r="Z315" s="318">
        <f t="shared" si="228"/>
        <v>0</v>
      </c>
      <c r="AA315" s="318">
        <f t="shared" si="229"/>
        <v>0</v>
      </c>
      <c r="AB315" s="318">
        <f t="shared" si="248"/>
        <v>0</v>
      </c>
      <c r="AC315" s="318">
        <f t="shared" si="249"/>
        <v>0</v>
      </c>
      <c r="AD315" s="318">
        <f t="shared" si="230"/>
        <v>0</v>
      </c>
      <c r="AE315" s="318">
        <f t="shared" si="231"/>
        <v>0</v>
      </c>
      <c r="AF315" s="318">
        <f t="shared" si="224"/>
        <v>0</v>
      </c>
      <c r="AG315" s="318">
        <f t="shared" si="225"/>
        <v>0</v>
      </c>
      <c r="AH315" s="318">
        <f t="shared" si="250"/>
        <v>0</v>
      </c>
      <c r="AI315" s="318">
        <f t="shared" si="251"/>
        <v>0</v>
      </c>
      <c r="AJ315" s="318">
        <f t="shared" si="252"/>
        <v>0</v>
      </c>
      <c r="AK315" s="318">
        <f t="shared" si="253"/>
        <v>0</v>
      </c>
      <c r="AL315" s="318">
        <f t="shared" si="254"/>
        <v>0</v>
      </c>
      <c r="AM315" s="318">
        <f t="shared" si="255"/>
        <v>0</v>
      </c>
      <c r="AN315" s="318">
        <f t="shared" si="256"/>
        <v>0</v>
      </c>
      <c r="AO315" s="318">
        <f t="shared" si="257"/>
        <v>0</v>
      </c>
      <c r="AP315" s="318">
        <f t="shared" si="258"/>
        <v>0</v>
      </c>
      <c r="AQ315" s="318">
        <f t="shared" si="259"/>
        <v>0</v>
      </c>
      <c r="AR315" s="318">
        <f t="shared" si="232"/>
        <v>0</v>
      </c>
      <c r="AS315" s="318">
        <f t="shared" si="233"/>
        <v>0</v>
      </c>
      <c r="AT315" s="318">
        <f t="shared" si="260"/>
        <v>0</v>
      </c>
      <c r="AU315" s="318">
        <f t="shared" si="261"/>
        <v>0</v>
      </c>
      <c r="AV315" s="318">
        <f t="shared" si="262"/>
        <v>0</v>
      </c>
      <c r="AW315" s="318">
        <f t="shared" si="263"/>
        <v>0</v>
      </c>
      <c r="AX315" s="318">
        <f t="shared" si="234"/>
        <v>0</v>
      </c>
      <c r="AY315" s="318">
        <f t="shared" si="235"/>
        <v>0</v>
      </c>
      <c r="AZ315" s="318">
        <f t="shared" si="236"/>
        <v>0</v>
      </c>
      <c r="BA315" s="318">
        <f t="shared" si="237"/>
        <v>0</v>
      </c>
    </row>
    <row r="316" spans="1:53" s="315" customFormat="1" ht="16.5" customHeight="1">
      <c r="A316" s="63" t="str">
        <f t="array" ref="A316">IF(C316&lt;&gt;0,SUM(($C$11:C316&lt;&gt;0)*1),"")</f>
        <v/>
      </c>
      <c r="B316" s="316"/>
      <c r="C316" s="316"/>
      <c r="D316" s="316"/>
      <c r="E316" s="436"/>
      <c r="F316" s="372"/>
      <c r="G316" s="374"/>
      <c r="H316" s="374"/>
      <c r="I316" s="63" t="str">
        <f t="shared" si="264"/>
        <v/>
      </c>
      <c r="J316" s="318">
        <f t="shared" si="226"/>
        <v>0</v>
      </c>
      <c r="K316" s="318">
        <f t="shared" si="227"/>
        <v>0</v>
      </c>
      <c r="L316" s="318">
        <f t="shared" si="238"/>
        <v>0</v>
      </c>
      <c r="M316" s="318">
        <f t="shared" si="239"/>
        <v>0</v>
      </c>
      <c r="N316" s="318">
        <f t="shared" si="220"/>
        <v>0</v>
      </c>
      <c r="O316" s="318">
        <f t="shared" si="221"/>
        <v>0</v>
      </c>
      <c r="P316" s="318">
        <f t="shared" si="240"/>
        <v>0</v>
      </c>
      <c r="Q316" s="318">
        <f t="shared" si="241"/>
        <v>0</v>
      </c>
      <c r="R316" s="318">
        <f t="shared" si="242"/>
        <v>0</v>
      </c>
      <c r="S316" s="318">
        <f t="shared" si="243"/>
        <v>0</v>
      </c>
      <c r="T316" s="318">
        <f t="shared" si="222"/>
        <v>0</v>
      </c>
      <c r="U316" s="318">
        <f t="shared" si="223"/>
        <v>0</v>
      </c>
      <c r="V316" s="318">
        <f t="shared" si="244"/>
        <v>0</v>
      </c>
      <c r="W316" s="318">
        <f t="shared" si="245"/>
        <v>0</v>
      </c>
      <c r="X316" s="318">
        <f t="shared" si="246"/>
        <v>0</v>
      </c>
      <c r="Y316" s="318">
        <f t="shared" si="247"/>
        <v>0</v>
      </c>
      <c r="Z316" s="318">
        <f t="shared" si="228"/>
        <v>0</v>
      </c>
      <c r="AA316" s="318">
        <f t="shared" si="229"/>
        <v>0</v>
      </c>
      <c r="AB316" s="318">
        <f t="shared" si="248"/>
        <v>0</v>
      </c>
      <c r="AC316" s="318">
        <f t="shared" si="249"/>
        <v>0</v>
      </c>
      <c r="AD316" s="318">
        <f t="shared" si="230"/>
        <v>0</v>
      </c>
      <c r="AE316" s="318">
        <f t="shared" si="231"/>
        <v>0</v>
      </c>
      <c r="AF316" s="318">
        <f t="shared" si="224"/>
        <v>0</v>
      </c>
      <c r="AG316" s="318">
        <f t="shared" si="225"/>
        <v>0</v>
      </c>
      <c r="AH316" s="318">
        <f t="shared" si="250"/>
        <v>0</v>
      </c>
      <c r="AI316" s="318">
        <f t="shared" si="251"/>
        <v>0</v>
      </c>
      <c r="AJ316" s="318">
        <f t="shared" si="252"/>
        <v>0</v>
      </c>
      <c r="AK316" s="318">
        <f t="shared" si="253"/>
        <v>0</v>
      </c>
      <c r="AL316" s="318">
        <f t="shared" si="254"/>
        <v>0</v>
      </c>
      <c r="AM316" s="318">
        <f t="shared" si="255"/>
        <v>0</v>
      </c>
      <c r="AN316" s="318">
        <f t="shared" si="256"/>
        <v>0</v>
      </c>
      <c r="AO316" s="318">
        <f t="shared" si="257"/>
        <v>0</v>
      </c>
      <c r="AP316" s="318">
        <f t="shared" si="258"/>
        <v>0</v>
      </c>
      <c r="AQ316" s="318">
        <f t="shared" si="259"/>
        <v>0</v>
      </c>
      <c r="AR316" s="318">
        <f t="shared" si="232"/>
        <v>0</v>
      </c>
      <c r="AS316" s="318">
        <f t="shared" si="233"/>
        <v>0</v>
      </c>
      <c r="AT316" s="318">
        <f t="shared" si="260"/>
        <v>0</v>
      </c>
      <c r="AU316" s="318">
        <f t="shared" si="261"/>
        <v>0</v>
      </c>
      <c r="AV316" s="318">
        <f t="shared" si="262"/>
        <v>0</v>
      </c>
      <c r="AW316" s="318">
        <f t="shared" si="263"/>
        <v>0</v>
      </c>
      <c r="AX316" s="318">
        <f t="shared" si="234"/>
        <v>0</v>
      </c>
      <c r="AY316" s="318">
        <f t="shared" si="235"/>
        <v>0</v>
      </c>
      <c r="AZ316" s="318">
        <f t="shared" si="236"/>
        <v>0</v>
      </c>
      <c r="BA316" s="318">
        <f t="shared" si="237"/>
        <v>0</v>
      </c>
    </row>
    <row r="317" spans="1:53" s="315" customFormat="1" ht="16.5" customHeight="1">
      <c r="A317" s="63" t="str">
        <f t="array" ref="A317">IF(C317&lt;&gt;0,SUM(($C$11:C317&lt;&gt;0)*1),"")</f>
        <v/>
      </c>
      <c r="B317" s="316"/>
      <c r="C317" s="316"/>
      <c r="D317" s="316"/>
      <c r="E317" s="436"/>
      <c r="F317" s="372"/>
      <c r="G317" s="374"/>
      <c r="H317" s="374"/>
      <c r="I317" s="63" t="str">
        <f t="shared" si="264"/>
        <v/>
      </c>
      <c r="J317" s="318">
        <f t="shared" si="226"/>
        <v>0</v>
      </c>
      <c r="K317" s="318">
        <f t="shared" si="227"/>
        <v>0</v>
      </c>
      <c r="L317" s="318">
        <f t="shared" si="238"/>
        <v>0</v>
      </c>
      <c r="M317" s="318">
        <f t="shared" si="239"/>
        <v>0</v>
      </c>
      <c r="N317" s="318">
        <f t="shared" si="220"/>
        <v>0</v>
      </c>
      <c r="O317" s="318">
        <f t="shared" si="221"/>
        <v>0</v>
      </c>
      <c r="P317" s="318">
        <f t="shared" si="240"/>
        <v>0</v>
      </c>
      <c r="Q317" s="318">
        <f t="shared" si="241"/>
        <v>0</v>
      </c>
      <c r="R317" s="318">
        <f t="shared" si="242"/>
        <v>0</v>
      </c>
      <c r="S317" s="318">
        <f t="shared" si="243"/>
        <v>0</v>
      </c>
      <c r="T317" s="318">
        <f t="shared" si="222"/>
        <v>0</v>
      </c>
      <c r="U317" s="318">
        <f t="shared" si="223"/>
        <v>0</v>
      </c>
      <c r="V317" s="318">
        <f t="shared" si="244"/>
        <v>0</v>
      </c>
      <c r="W317" s="318">
        <f t="shared" si="245"/>
        <v>0</v>
      </c>
      <c r="X317" s="318">
        <f t="shared" si="246"/>
        <v>0</v>
      </c>
      <c r="Y317" s="318">
        <f t="shared" si="247"/>
        <v>0</v>
      </c>
      <c r="Z317" s="318">
        <f t="shared" si="228"/>
        <v>0</v>
      </c>
      <c r="AA317" s="318">
        <f t="shared" si="229"/>
        <v>0</v>
      </c>
      <c r="AB317" s="318">
        <f t="shared" si="248"/>
        <v>0</v>
      </c>
      <c r="AC317" s="318">
        <f t="shared" si="249"/>
        <v>0</v>
      </c>
      <c r="AD317" s="318">
        <f t="shared" si="230"/>
        <v>0</v>
      </c>
      <c r="AE317" s="318">
        <f t="shared" si="231"/>
        <v>0</v>
      </c>
      <c r="AF317" s="318">
        <f t="shared" si="224"/>
        <v>0</v>
      </c>
      <c r="AG317" s="318">
        <f t="shared" si="225"/>
        <v>0</v>
      </c>
      <c r="AH317" s="318">
        <f t="shared" si="250"/>
        <v>0</v>
      </c>
      <c r="AI317" s="318">
        <f t="shared" si="251"/>
        <v>0</v>
      </c>
      <c r="AJ317" s="318">
        <f t="shared" si="252"/>
        <v>0</v>
      </c>
      <c r="AK317" s="318">
        <f t="shared" si="253"/>
        <v>0</v>
      </c>
      <c r="AL317" s="318">
        <f t="shared" si="254"/>
        <v>0</v>
      </c>
      <c r="AM317" s="318">
        <f t="shared" si="255"/>
        <v>0</v>
      </c>
      <c r="AN317" s="318">
        <f t="shared" si="256"/>
        <v>0</v>
      </c>
      <c r="AO317" s="318">
        <f t="shared" si="257"/>
        <v>0</v>
      </c>
      <c r="AP317" s="318">
        <f t="shared" si="258"/>
        <v>0</v>
      </c>
      <c r="AQ317" s="318">
        <f t="shared" si="259"/>
        <v>0</v>
      </c>
      <c r="AR317" s="318">
        <f t="shared" si="232"/>
        <v>0</v>
      </c>
      <c r="AS317" s="318">
        <f t="shared" si="233"/>
        <v>0</v>
      </c>
      <c r="AT317" s="318">
        <f t="shared" si="260"/>
        <v>0</v>
      </c>
      <c r="AU317" s="318">
        <f t="shared" si="261"/>
        <v>0</v>
      </c>
      <c r="AV317" s="318">
        <f t="shared" si="262"/>
        <v>0</v>
      </c>
      <c r="AW317" s="318">
        <f t="shared" si="263"/>
        <v>0</v>
      </c>
      <c r="AX317" s="318">
        <f t="shared" si="234"/>
        <v>0</v>
      </c>
      <c r="AY317" s="318">
        <f t="shared" si="235"/>
        <v>0</v>
      </c>
      <c r="AZ317" s="318">
        <f t="shared" si="236"/>
        <v>0</v>
      </c>
      <c r="BA317" s="318">
        <f t="shared" si="237"/>
        <v>0</v>
      </c>
    </row>
    <row r="318" spans="1:53" s="315" customFormat="1" ht="16.5" customHeight="1">
      <c r="A318" s="63" t="str">
        <f t="array" ref="A318">IF(C318&lt;&gt;0,SUM(($C$11:C318&lt;&gt;0)*1),"")</f>
        <v/>
      </c>
      <c r="B318" s="316"/>
      <c r="C318" s="316"/>
      <c r="D318" s="316"/>
      <c r="E318" s="436"/>
      <c r="F318" s="372"/>
      <c r="G318" s="374"/>
      <c r="H318" s="374"/>
      <c r="I318" s="63" t="str">
        <f t="shared" si="264"/>
        <v/>
      </c>
      <c r="J318" s="318">
        <f t="shared" si="226"/>
        <v>0</v>
      </c>
      <c r="K318" s="318">
        <f t="shared" si="227"/>
        <v>0</v>
      </c>
      <c r="L318" s="318">
        <f t="shared" si="238"/>
        <v>0</v>
      </c>
      <c r="M318" s="318">
        <f t="shared" si="239"/>
        <v>0</v>
      </c>
      <c r="N318" s="318">
        <f t="shared" si="220"/>
        <v>0</v>
      </c>
      <c r="O318" s="318">
        <f t="shared" si="221"/>
        <v>0</v>
      </c>
      <c r="P318" s="318">
        <f t="shared" si="240"/>
        <v>0</v>
      </c>
      <c r="Q318" s="318">
        <f t="shared" si="241"/>
        <v>0</v>
      </c>
      <c r="R318" s="318">
        <f t="shared" si="242"/>
        <v>0</v>
      </c>
      <c r="S318" s="318">
        <f t="shared" si="243"/>
        <v>0</v>
      </c>
      <c r="T318" s="318">
        <f t="shared" si="222"/>
        <v>0</v>
      </c>
      <c r="U318" s="318">
        <f t="shared" si="223"/>
        <v>0</v>
      </c>
      <c r="V318" s="318">
        <f t="shared" si="244"/>
        <v>0</v>
      </c>
      <c r="W318" s="318">
        <f t="shared" si="245"/>
        <v>0</v>
      </c>
      <c r="X318" s="318">
        <f t="shared" si="246"/>
        <v>0</v>
      </c>
      <c r="Y318" s="318">
        <f t="shared" si="247"/>
        <v>0</v>
      </c>
      <c r="Z318" s="318">
        <f t="shared" si="228"/>
        <v>0</v>
      </c>
      <c r="AA318" s="318">
        <f t="shared" si="229"/>
        <v>0</v>
      </c>
      <c r="AB318" s="318">
        <f t="shared" si="248"/>
        <v>0</v>
      </c>
      <c r="AC318" s="318">
        <f t="shared" si="249"/>
        <v>0</v>
      </c>
      <c r="AD318" s="318">
        <f t="shared" si="230"/>
        <v>0</v>
      </c>
      <c r="AE318" s="318">
        <f t="shared" si="231"/>
        <v>0</v>
      </c>
      <c r="AF318" s="318">
        <f t="shared" si="224"/>
        <v>0</v>
      </c>
      <c r="AG318" s="318">
        <f t="shared" si="225"/>
        <v>0</v>
      </c>
      <c r="AH318" s="318">
        <f t="shared" si="250"/>
        <v>0</v>
      </c>
      <c r="AI318" s="318">
        <f t="shared" si="251"/>
        <v>0</v>
      </c>
      <c r="AJ318" s="318">
        <f t="shared" si="252"/>
        <v>0</v>
      </c>
      <c r="AK318" s="318">
        <f t="shared" si="253"/>
        <v>0</v>
      </c>
      <c r="AL318" s="318">
        <f t="shared" si="254"/>
        <v>0</v>
      </c>
      <c r="AM318" s="318">
        <f t="shared" si="255"/>
        <v>0</v>
      </c>
      <c r="AN318" s="318">
        <f t="shared" si="256"/>
        <v>0</v>
      </c>
      <c r="AO318" s="318">
        <f t="shared" si="257"/>
        <v>0</v>
      </c>
      <c r="AP318" s="318">
        <f t="shared" si="258"/>
        <v>0</v>
      </c>
      <c r="AQ318" s="318">
        <f t="shared" si="259"/>
        <v>0</v>
      </c>
      <c r="AR318" s="318">
        <f t="shared" si="232"/>
        <v>0</v>
      </c>
      <c r="AS318" s="318">
        <f t="shared" si="233"/>
        <v>0</v>
      </c>
      <c r="AT318" s="318">
        <f t="shared" si="260"/>
        <v>0</v>
      </c>
      <c r="AU318" s="318">
        <f t="shared" si="261"/>
        <v>0</v>
      </c>
      <c r="AV318" s="318">
        <f t="shared" si="262"/>
        <v>0</v>
      </c>
      <c r="AW318" s="318">
        <f t="shared" si="263"/>
        <v>0</v>
      </c>
      <c r="AX318" s="318">
        <f t="shared" si="234"/>
        <v>0</v>
      </c>
      <c r="AY318" s="318">
        <f t="shared" si="235"/>
        <v>0</v>
      </c>
      <c r="AZ318" s="318">
        <f t="shared" si="236"/>
        <v>0</v>
      </c>
      <c r="BA318" s="318">
        <f t="shared" si="237"/>
        <v>0</v>
      </c>
    </row>
    <row r="319" spans="1:53" s="315" customFormat="1" ht="16.5" customHeight="1">
      <c r="A319" s="63" t="str">
        <f t="array" ref="A319">IF(C319&lt;&gt;0,SUM(($C$11:C319&lt;&gt;0)*1),"")</f>
        <v/>
      </c>
      <c r="B319" s="316"/>
      <c r="C319" s="316"/>
      <c r="D319" s="316"/>
      <c r="E319" s="436"/>
      <c r="F319" s="372"/>
      <c r="G319" s="374"/>
      <c r="H319" s="374"/>
      <c r="I319" s="63" t="str">
        <f t="shared" si="264"/>
        <v/>
      </c>
      <c r="J319" s="318">
        <f t="shared" si="226"/>
        <v>0</v>
      </c>
      <c r="K319" s="318">
        <f t="shared" si="227"/>
        <v>0</v>
      </c>
      <c r="L319" s="318">
        <f t="shared" si="238"/>
        <v>0</v>
      </c>
      <c r="M319" s="318">
        <f t="shared" si="239"/>
        <v>0</v>
      </c>
      <c r="N319" s="318">
        <f t="shared" si="220"/>
        <v>0</v>
      </c>
      <c r="O319" s="318">
        <f t="shared" si="221"/>
        <v>0</v>
      </c>
      <c r="P319" s="318">
        <f t="shared" si="240"/>
        <v>0</v>
      </c>
      <c r="Q319" s="318">
        <f t="shared" si="241"/>
        <v>0</v>
      </c>
      <c r="R319" s="318">
        <f t="shared" si="242"/>
        <v>0</v>
      </c>
      <c r="S319" s="318">
        <f t="shared" si="243"/>
        <v>0</v>
      </c>
      <c r="T319" s="318">
        <f t="shared" si="222"/>
        <v>0</v>
      </c>
      <c r="U319" s="318">
        <f t="shared" si="223"/>
        <v>0</v>
      </c>
      <c r="V319" s="318">
        <f t="shared" si="244"/>
        <v>0</v>
      </c>
      <c r="W319" s="318">
        <f t="shared" si="245"/>
        <v>0</v>
      </c>
      <c r="X319" s="318">
        <f t="shared" si="246"/>
        <v>0</v>
      </c>
      <c r="Y319" s="318">
        <f t="shared" si="247"/>
        <v>0</v>
      </c>
      <c r="Z319" s="318">
        <f t="shared" si="228"/>
        <v>0</v>
      </c>
      <c r="AA319" s="318">
        <f t="shared" si="229"/>
        <v>0</v>
      </c>
      <c r="AB319" s="318">
        <f t="shared" si="248"/>
        <v>0</v>
      </c>
      <c r="AC319" s="318">
        <f t="shared" si="249"/>
        <v>0</v>
      </c>
      <c r="AD319" s="318">
        <f t="shared" si="230"/>
        <v>0</v>
      </c>
      <c r="AE319" s="318">
        <f t="shared" si="231"/>
        <v>0</v>
      </c>
      <c r="AF319" s="318">
        <f t="shared" si="224"/>
        <v>0</v>
      </c>
      <c r="AG319" s="318">
        <f t="shared" si="225"/>
        <v>0</v>
      </c>
      <c r="AH319" s="318">
        <f t="shared" si="250"/>
        <v>0</v>
      </c>
      <c r="AI319" s="318">
        <f t="shared" si="251"/>
        <v>0</v>
      </c>
      <c r="AJ319" s="318">
        <f t="shared" si="252"/>
        <v>0</v>
      </c>
      <c r="AK319" s="318">
        <f t="shared" si="253"/>
        <v>0</v>
      </c>
      <c r="AL319" s="318">
        <f t="shared" si="254"/>
        <v>0</v>
      </c>
      <c r="AM319" s="318">
        <f t="shared" si="255"/>
        <v>0</v>
      </c>
      <c r="AN319" s="318">
        <f t="shared" si="256"/>
        <v>0</v>
      </c>
      <c r="AO319" s="318">
        <f t="shared" si="257"/>
        <v>0</v>
      </c>
      <c r="AP319" s="318">
        <f t="shared" si="258"/>
        <v>0</v>
      </c>
      <c r="AQ319" s="318">
        <f t="shared" si="259"/>
        <v>0</v>
      </c>
      <c r="AR319" s="318">
        <f t="shared" si="232"/>
        <v>0</v>
      </c>
      <c r="AS319" s="318">
        <f t="shared" si="233"/>
        <v>0</v>
      </c>
      <c r="AT319" s="318">
        <f t="shared" si="260"/>
        <v>0</v>
      </c>
      <c r="AU319" s="318">
        <f t="shared" si="261"/>
        <v>0</v>
      </c>
      <c r="AV319" s="318">
        <f t="shared" si="262"/>
        <v>0</v>
      </c>
      <c r="AW319" s="318">
        <f t="shared" si="263"/>
        <v>0</v>
      </c>
      <c r="AX319" s="318">
        <f t="shared" si="234"/>
        <v>0</v>
      </c>
      <c r="AY319" s="318">
        <f t="shared" si="235"/>
        <v>0</v>
      </c>
      <c r="AZ319" s="318">
        <f t="shared" si="236"/>
        <v>0</v>
      </c>
      <c r="BA319" s="318">
        <f t="shared" si="237"/>
        <v>0</v>
      </c>
    </row>
    <row r="320" spans="1:53" s="315" customFormat="1" ht="16.5" customHeight="1">
      <c r="A320" s="63" t="str">
        <f t="array" ref="A320">IF(C320&lt;&gt;0,SUM(($C$11:C320&lt;&gt;0)*1),"")</f>
        <v/>
      </c>
      <c r="B320" s="316"/>
      <c r="C320" s="316"/>
      <c r="D320" s="316"/>
      <c r="E320" s="436"/>
      <c r="F320" s="372"/>
      <c r="G320" s="374"/>
      <c r="H320" s="374"/>
      <c r="I320" s="63" t="str">
        <f t="shared" si="264"/>
        <v/>
      </c>
      <c r="J320" s="318">
        <f t="shared" si="226"/>
        <v>0</v>
      </c>
      <c r="K320" s="318">
        <f t="shared" si="227"/>
        <v>0</v>
      </c>
      <c r="L320" s="318">
        <f t="shared" si="238"/>
        <v>0</v>
      </c>
      <c r="M320" s="318">
        <f t="shared" si="239"/>
        <v>0</v>
      </c>
      <c r="N320" s="318">
        <f t="shared" si="220"/>
        <v>0</v>
      </c>
      <c r="O320" s="318">
        <f t="shared" si="221"/>
        <v>0</v>
      </c>
      <c r="P320" s="318">
        <f t="shared" si="240"/>
        <v>0</v>
      </c>
      <c r="Q320" s="318">
        <f t="shared" si="241"/>
        <v>0</v>
      </c>
      <c r="R320" s="318">
        <f t="shared" si="242"/>
        <v>0</v>
      </c>
      <c r="S320" s="318">
        <f t="shared" si="243"/>
        <v>0</v>
      </c>
      <c r="T320" s="318">
        <f t="shared" si="222"/>
        <v>0</v>
      </c>
      <c r="U320" s="318">
        <f t="shared" si="223"/>
        <v>0</v>
      </c>
      <c r="V320" s="318">
        <f t="shared" si="244"/>
        <v>0</v>
      </c>
      <c r="W320" s="318">
        <f t="shared" si="245"/>
        <v>0</v>
      </c>
      <c r="X320" s="318">
        <f t="shared" si="246"/>
        <v>0</v>
      </c>
      <c r="Y320" s="318">
        <f t="shared" si="247"/>
        <v>0</v>
      </c>
      <c r="Z320" s="318">
        <f t="shared" si="228"/>
        <v>0</v>
      </c>
      <c r="AA320" s="318">
        <f t="shared" si="229"/>
        <v>0</v>
      </c>
      <c r="AB320" s="318">
        <f t="shared" si="248"/>
        <v>0</v>
      </c>
      <c r="AC320" s="318">
        <f t="shared" si="249"/>
        <v>0</v>
      </c>
      <c r="AD320" s="318">
        <f t="shared" si="230"/>
        <v>0</v>
      </c>
      <c r="AE320" s="318">
        <f t="shared" si="231"/>
        <v>0</v>
      </c>
      <c r="AF320" s="318">
        <f t="shared" si="224"/>
        <v>0</v>
      </c>
      <c r="AG320" s="318">
        <f t="shared" si="225"/>
        <v>0</v>
      </c>
      <c r="AH320" s="318">
        <f t="shared" si="250"/>
        <v>0</v>
      </c>
      <c r="AI320" s="318">
        <f t="shared" si="251"/>
        <v>0</v>
      </c>
      <c r="AJ320" s="318">
        <f t="shared" si="252"/>
        <v>0</v>
      </c>
      <c r="AK320" s="318">
        <f t="shared" si="253"/>
        <v>0</v>
      </c>
      <c r="AL320" s="318">
        <f t="shared" si="254"/>
        <v>0</v>
      </c>
      <c r="AM320" s="318">
        <f t="shared" si="255"/>
        <v>0</v>
      </c>
      <c r="AN320" s="318">
        <f t="shared" si="256"/>
        <v>0</v>
      </c>
      <c r="AO320" s="318">
        <f t="shared" si="257"/>
        <v>0</v>
      </c>
      <c r="AP320" s="318">
        <f t="shared" si="258"/>
        <v>0</v>
      </c>
      <c r="AQ320" s="318">
        <f t="shared" si="259"/>
        <v>0</v>
      </c>
      <c r="AR320" s="318">
        <f t="shared" si="232"/>
        <v>0</v>
      </c>
      <c r="AS320" s="318">
        <f t="shared" si="233"/>
        <v>0</v>
      </c>
      <c r="AT320" s="318">
        <f t="shared" si="260"/>
        <v>0</v>
      </c>
      <c r="AU320" s="318">
        <f t="shared" si="261"/>
        <v>0</v>
      </c>
      <c r="AV320" s="318">
        <f t="shared" si="262"/>
        <v>0</v>
      </c>
      <c r="AW320" s="318">
        <f t="shared" si="263"/>
        <v>0</v>
      </c>
      <c r="AX320" s="318">
        <f t="shared" si="234"/>
        <v>0</v>
      </c>
      <c r="AY320" s="318">
        <f t="shared" si="235"/>
        <v>0</v>
      </c>
      <c r="AZ320" s="318">
        <f t="shared" si="236"/>
        <v>0</v>
      </c>
      <c r="BA320" s="318">
        <f t="shared" si="237"/>
        <v>0</v>
      </c>
    </row>
    <row r="321" spans="1:53" s="315" customFormat="1" ht="16.5" customHeight="1">
      <c r="A321" s="63" t="str">
        <f t="array" ref="A321">IF(C321&lt;&gt;0,SUM(($C$11:C321&lt;&gt;0)*1),"")</f>
        <v/>
      </c>
      <c r="B321" s="316"/>
      <c r="C321" s="316"/>
      <c r="D321" s="316"/>
      <c r="E321" s="436"/>
      <c r="F321" s="372"/>
      <c r="G321" s="374"/>
      <c r="H321" s="374"/>
      <c r="I321" s="63" t="str">
        <f t="shared" si="264"/>
        <v/>
      </c>
      <c r="J321" s="318">
        <f t="shared" si="226"/>
        <v>0</v>
      </c>
      <c r="K321" s="318">
        <f t="shared" si="227"/>
        <v>0</v>
      </c>
      <c r="L321" s="318">
        <f t="shared" si="238"/>
        <v>0</v>
      </c>
      <c r="M321" s="318">
        <f t="shared" si="239"/>
        <v>0</v>
      </c>
      <c r="N321" s="318">
        <f t="shared" si="220"/>
        <v>0</v>
      </c>
      <c r="O321" s="318">
        <f t="shared" si="221"/>
        <v>0</v>
      </c>
      <c r="P321" s="318">
        <f t="shared" si="240"/>
        <v>0</v>
      </c>
      <c r="Q321" s="318">
        <f t="shared" si="241"/>
        <v>0</v>
      </c>
      <c r="R321" s="318">
        <f t="shared" si="242"/>
        <v>0</v>
      </c>
      <c r="S321" s="318">
        <f t="shared" si="243"/>
        <v>0</v>
      </c>
      <c r="T321" s="318">
        <f t="shared" si="222"/>
        <v>0</v>
      </c>
      <c r="U321" s="318">
        <f t="shared" si="223"/>
        <v>0</v>
      </c>
      <c r="V321" s="318">
        <f t="shared" si="244"/>
        <v>0</v>
      </c>
      <c r="W321" s="318">
        <f t="shared" si="245"/>
        <v>0</v>
      </c>
      <c r="X321" s="318">
        <f t="shared" si="246"/>
        <v>0</v>
      </c>
      <c r="Y321" s="318">
        <f t="shared" si="247"/>
        <v>0</v>
      </c>
      <c r="Z321" s="318">
        <f t="shared" si="228"/>
        <v>0</v>
      </c>
      <c r="AA321" s="318">
        <f t="shared" si="229"/>
        <v>0</v>
      </c>
      <c r="AB321" s="318">
        <f t="shared" si="248"/>
        <v>0</v>
      </c>
      <c r="AC321" s="318">
        <f t="shared" si="249"/>
        <v>0</v>
      </c>
      <c r="AD321" s="318">
        <f t="shared" si="230"/>
        <v>0</v>
      </c>
      <c r="AE321" s="318">
        <f t="shared" si="231"/>
        <v>0</v>
      </c>
      <c r="AF321" s="318">
        <f t="shared" si="224"/>
        <v>0</v>
      </c>
      <c r="AG321" s="318">
        <f t="shared" si="225"/>
        <v>0</v>
      </c>
      <c r="AH321" s="318">
        <f t="shared" si="250"/>
        <v>0</v>
      </c>
      <c r="AI321" s="318">
        <f t="shared" si="251"/>
        <v>0</v>
      </c>
      <c r="AJ321" s="318">
        <f t="shared" si="252"/>
        <v>0</v>
      </c>
      <c r="AK321" s="318">
        <f t="shared" si="253"/>
        <v>0</v>
      </c>
      <c r="AL321" s="318">
        <f t="shared" si="254"/>
        <v>0</v>
      </c>
      <c r="AM321" s="318">
        <f t="shared" si="255"/>
        <v>0</v>
      </c>
      <c r="AN321" s="318">
        <f t="shared" si="256"/>
        <v>0</v>
      </c>
      <c r="AO321" s="318">
        <f t="shared" si="257"/>
        <v>0</v>
      </c>
      <c r="AP321" s="318">
        <f t="shared" si="258"/>
        <v>0</v>
      </c>
      <c r="AQ321" s="318">
        <f t="shared" si="259"/>
        <v>0</v>
      </c>
      <c r="AR321" s="318">
        <f t="shared" si="232"/>
        <v>0</v>
      </c>
      <c r="AS321" s="318">
        <f t="shared" si="233"/>
        <v>0</v>
      </c>
      <c r="AT321" s="318">
        <f t="shared" si="260"/>
        <v>0</v>
      </c>
      <c r="AU321" s="318">
        <f t="shared" si="261"/>
        <v>0</v>
      </c>
      <c r="AV321" s="318">
        <f t="shared" si="262"/>
        <v>0</v>
      </c>
      <c r="AW321" s="318">
        <f t="shared" si="263"/>
        <v>0</v>
      </c>
      <c r="AX321" s="318">
        <f t="shared" si="234"/>
        <v>0</v>
      </c>
      <c r="AY321" s="318">
        <f t="shared" si="235"/>
        <v>0</v>
      </c>
      <c r="AZ321" s="318">
        <f t="shared" si="236"/>
        <v>0</v>
      </c>
      <c r="BA321" s="318">
        <f t="shared" si="237"/>
        <v>0</v>
      </c>
    </row>
    <row r="322" spans="1:53" s="315" customFormat="1" ht="16.5" customHeight="1">
      <c r="A322" s="63" t="str">
        <f t="array" ref="A322">IF(C322&lt;&gt;0,SUM(($C$11:C322&lt;&gt;0)*1),"")</f>
        <v/>
      </c>
      <c r="B322" s="316"/>
      <c r="C322" s="316"/>
      <c r="D322" s="316"/>
      <c r="E322" s="436"/>
      <c r="F322" s="372"/>
      <c r="G322" s="374"/>
      <c r="H322" s="374"/>
      <c r="I322" s="63" t="str">
        <f t="shared" si="264"/>
        <v/>
      </c>
      <c r="J322" s="318">
        <f t="shared" si="226"/>
        <v>0</v>
      </c>
      <c r="K322" s="318">
        <f t="shared" si="227"/>
        <v>0</v>
      </c>
      <c r="L322" s="318">
        <f t="shared" si="238"/>
        <v>0</v>
      </c>
      <c r="M322" s="318">
        <f t="shared" si="239"/>
        <v>0</v>
      </c>
      <c r="N322" s="318">
        <f t="shared" si="220"/>
        <v>0</v>
      </c>
      <c r="O322" s="318">
        <f t="shared" si="221"/>
        <v>0</v>
      </c>
      <c r="P322" s="318">
        <f t="shared" si="240"/>
        <v>0</v>
      </c>
      <c r="Q322" s="318">
        <f t="shared" si="241"/>
        <v>0</v>
      </c>
      <c r="R322" s="318">
        <f t="shared" si="242"/>
        <v>0</v>
      </c>
      <c r="S322" s="318">
        <f t="shared" si="243"/>
        <v>0</v>
      </c>
      <c r="T322" s="318">
        <f t="shared" si="222"/>
        <v>0</v>
      </c>
      <c r="U322" s="318">
        <f t="shared" si="223"/>
        <v>0</v>
      </c>
      <c r="V322" s="318">
        <f t="shared" si="244"/>
        <v>0</v>
      </c>
      <c r="W322" s="318">
        <f t="shared" si="245"/>
        <v>0</v>
      </c>
      <c r="X322" s="318">
        <f t="shared" si="246"/>
        <v>0</v>
      </c>
      <c r="Y322" s="318">
        <f t="shared" si="247"/>
        <v>0</v>
      </c>
      <c r="Z322" s="318">
        <f t="shared" si="228"/>
        <v>0</v>
      </c>
      <c r="AA322" s="318">
        <f t="shared" si="229"/>
        <v>0</v>
      </c>
      <c r="AB322" s="318">
        <f t="shared" si="248"/>
        <v>0</v>
      </c>
      <c r="AC322" s="318">
        <f t="shared" si="249"/>
        <v>0</v>
      </c>
      <c r="AD322" s="318">
        <f t="shared" si="230"/>
        <v>0</v>
      </c>
      <c r="AE322" s="318">
        <f t="shared" si="231"/>
        <v>0</v>
      </c>
      <c r="AF322" s="318">
        <f t="shared" si="224"/>
        <v>0</v>
      </c>
      <c r="AG322" s="318">
        <f t="shared" si="225"/>
        <v>0</v>
      </c>
      <c r="AH322" s="318">
        <f t="shared" si="250"/>
        <v>0</v>
      </c>
      <c r="AI322" s="318">
        <f t="shared" si="251"/>
        <v>0</v>
      </c>
      <c r="AJ322" s="318">
        <f t="shared" si="252"/>
        <v>0</v>
      </c>
      <c r="AK322" s="318">
        <f t="shared" si="253"/>
        <v>0</v>
      </c>
      <c r="AL322" s="318">
        <f t="shared" si="254"/>
        <v>0</v>
      </c>
      <c r="AM322" s="318">
        <f t="shared" si="255"/>
        <v>0</v>
      </c>
      <c r="AN322" s="318">
        <f t="shared" si="256"/>
        <v>0</v>
      </c>
      <c r="AO322" s="318">
        <f t="shared" si="257"/>
        <v>0</v>
      </c>
      <c r="AP322" s="318">
        <f t="shared" si="258"/>
        <v>0</v>
      </c>
      <c r="AQ322" s="318">
        <f t="shared" si="259"/>
        <v>0</v>
      </c>
      <c r="AR322" s="318">
        <f t="shared" si="232"/>
        <v>0</v>
      </c>
      <c r="AS322" s="318">
        <f t="shared" si="233"/>
        <v>0</v>
      </c>
      <c r="AT322" s="318">
        <f t="shared" si="260"/>
        <v>0</v>
      </c>
      <c r="AU322" s="318">
        <f t="shared" si="261"/>
        <v>0</v>
      </c>
      <c r="AV322" s="318">
        <f t="shared" si="262"/>
        <v>0</v>
      </c>
      <c r="AW322" s="318">
        <f t="shared" si="263"/>
        <v>0</v>
      </c>
      <c r="AX322" s="318">
        <f t="shared" si="234"/>
        <v>0</v>
      </c>
      <c r="AY322" s="318">
        <f t="shared" si="235"/>
        <v>0</v>
      </c>
      <c r="AZ322" s="318">
        <f t="shared" si="236"/>
        <v>0</v>
      </c>
      <c r="BA322" s="318">
        <f t="shared" si="237"/>
        <v>0</v>
      </c>
    </row>
    <row r="323" spans="1:53" s="315" customFormat="1" ht="16.5" customHeight="1">
      <c r="A323" s="63" t="str">
        <f t="array" ref="A323">IF(C323&lt;&gt;0,SUM(($C$11:C323&lt;&gt;0)*1),"")</f>
        <v/>
      </c>
      <c r="B323" s="316"/>
      <c r="C323" s="316"/>
      <c r="D323" s="316"/>
      <c r="E323" s="436"/>
      <c r="F323" s="372"/>
      <c r="G323" s="374"/>
      <c r="H323" s="374"/>
      <c r="I323" s="63" t="str">
        <f t="shared" si="264"/>
        <v/>
      </c>
      <c r="J323" s="318">
        <f t="shared" si="226"/>
        <v>0</v>
      </c>
      <c r="K323" s="318">
        <f t="shared" si="227"/>
        <v>0</v>
      </c>
      <c r="L323" s="318">
        <f t="shared" si="238"/>
        <v>0</v>
      </c>
      <c r="M323" s="318">
        <f t="shared" si="239"/>
        <v>0</v>
      </c>
      <c r="N323" s="318">
        <f t="shared" si="220"/>
        <v>0</v>
      </c>
      <c r="O323" s="318">
        <f t="shared" si="221"/>
        <v>0</v>
      </c>
      <c r="P323" s="318">
        <f t="shared" si="240"/>
        <v>0</v>
      </c>
      <c r="Q323" s="318">
        <f t="shared" si="241"/>
        <v>0</v>
      </c>
      <c r="R323" s="318">
        <f t="shared" si="242"/>
        <v>0</v>
      </c>
      <c r="S323" s="318">
        <f t="shared" si="243"/>
        <v>0</v>
      </c>
      <c r="T323" s="318">
        <f t="shared" si="222"/>
        <v>0</v>
      </c>
      <c r="U323" s="318">
        <f t="shared" si="223"/>
        <v>0</v>
      </c>
      <c r="V323" s="318">
        <f t="shared" si="244"/>
        <v>0</v>
      </c>
      <c r="W323" s="318">
        <f t="shared" si="245"/>
        <v>0</v>
      </c>
      <c r="X323" s="318">
        <f t="shared" si="246"/>
        <v>0</v>
      </c>
      <c r="Y323" s="318">
        <f t="shared" si="247"/>
        <v>0</v>
      </c>
      <c r="Z323" s="318">
        <f t="shared" si="228"/>
        <v>0</v>
      </c>
      <c r="AA323" s="318">
        <f t="shared" si="229"/>
        <v>0</v>
      </c>
      <c r="AB323" s="318">
        <f t="shared" si="248"/>
        <v>0</v>
      </c>
      <c r="AC323" s="318">
        <f t="shared" si="249"/>
        <v>0</v>
      </c>
      <c r="AD323" s="318">
        <f t="shared" si="230"/>
        <v>0</v>
      </c>
      <c r="AE323" s="318">
        <f t="shared" si="231"/>
        <v>0</v>
      </c>
      <c r="AF323" s="318">
        <f t="shared" si="224"/>
        <v>0</v>
      </c>
      <c r="AG323" s="318">
        <f t="shared" si="225"/>
        <v>0</v>
      </c>
      <c r="AH323" s="318">
        <f t="shared" si="250"/>
        <v>0</v>
      </c>
      <c r="AI323" s="318">
        <f t="shared" si="251"/>
        <v>0</v>
      </c>
      <c r="AJ323" s="318">
        <f t="shared" si="252"/>
        <v>0</v>
      </c>
      <c r="AK323" s="318">
        <f t="shared" si="253"/>
        <v>0</v>
      </c>
      <c r="AL323" s="318">
        <f t="shared" si="254"/>
        <v>0</v>
      </c>
      <c r="AM323" s="318">
        <f t="shared" si="255"/>
        <v>0</v>
      </c>
      <c r="AN323" s="318">
        <f t="shared" si="256"/>
        <v>0</v>
      </c>
      <c r="AO323" s="318">
        <f t="shared" si="257"/>
        <v>0</v>
      </c>
      <c r="AP323" s="318">
        <f t="shared" si="258"/>
        <v>0</v>
      </c>
      <c r="AQ323" s="318">
        <f t="shared" si="259"/>
        <v>0</v>
      </c>
      <c r="AR323" s="318">
        <f t="shared" si="232"/>
        <v>0</v>
      </c>
      <c r="AS323" s="318">
        <f t="shared" si="233"/>
        <v>0</v>
      </c>
      <c r="AT323" s="318">
        <f t="shared" si="260"/>
        <v>0</v>
      </c>
      <c r="AU323" s="318">
        <f t="shared" si="261"/>
        <v>0</v>
      </c>
      <c r="AV323" s="318">
        <f t="shared" si="262"/>
        <v>0</v>
      </c>
      <c r="AW323" s="318">
        <f t="shared" si="263"/>
        <v>0</v>
      </c>
      <c r="AX323" s="318">
        <f t="shared" si="234"/>
        <v>0</v>
      </c>
      <c r="AY323" s="318">
        <f t="shared" si="235"/>
        <v>0</v>
      </c>
      <c r="AZ323" s="318">
        <f t="shared" si="236"/>
        <v>0</v>
      </c>
      <c r="BA323" s="318">
        <f t="shared" si="237"/>
        <v>0</v>
      </c>
    </row>
    <row r="324" spans="1:53" s="315" customFormat="1" ht="16.5" customHeight="1">
      <c r="A324" s="63" t="str">
        <f t="array" ref="A324">IF(C324&lt;&gt;0,SUM(($C$11:C324&lt;&gt;0)*1),"")</f>
        <v/>
      </c>
      <c r="B324" s="316"/>
      <c r="C324" s="316"/>
      <c r="D324" s="316"/>
      <c r="E324" s="436"/>
      <c r="F324" s="372"/>
      <c r="G324" s="374"/>
      <c r="H324" s="374"/>
      <c r="I324" s="63" t="str">
        <f t="shared" si="264"/>
        <v/>
      </c>
      <c r="J324" s="318">
        <f t="shared" si="226"/>
        <v>0</v>
      </c>
      <c r="K324" s="318">
        <f t="shared" si="227"/>
        <v>0</v>
      </c>
      <c r="L324" s="318">
        <f t="shared" si="238"/>
        <v>0</v>
      </c>
      <c r="M324" s="318">
        <f t="shared" si="239"/>
        <v>0</v>
      </c>
      <c r="N324" s="318">
        <f t="shared" si="220"/>
        <v>0</v>
      </c>
      <c r="O324" s="318">
        <f t="shared" si="221"/>
        <v>0</v>
      </c>
      <c r="P324" s="318">
        <f t="shared" si="240"/>
        <v>0</v>
      </c>
      <c r="Q324" s="318">
        <f t="shared" si="241"/>
        <v>0</v>
      </c>
      <c r="R324" s="318">
        <f t="shared" si="242"/>
        <v>0</v>
      </c>
      <c r="S324" s="318">
        <f t="shared" si="243"/>
        <v>0</v>
      </c>
      <c r="T324" s="318">
        <f t="shared" si="222"/>
        <v>0</v>
      </c>
      <c r="U324" s="318">
        <f t="shared" si="223"/>
        <v>0</v>
      </c>
      <c r="V324" s="318">
        <f t="shared" si="244"/>
        <v>0</v>
      </c>
      <c r="W324" s="318">
        <f t="shared" si="245"/>
        <v>0</v>
      </c>
      <c r="X324" s="318">
        <f t="shared" si="246"/>
        <v>0</v>
      </c>
      <c r="Y324" s="318">
        <f t="shared" si="247"/>
        <v>0</v>
      </c>
      <c r="Z324" s="318">
        <f t="shared" si="228"/>
        <v>0</v>
      </c>
      <c r="AA324" s="318">
        <f t="shared" si="229"/>
        <v>0</v>
      </c>
      <c r="AB324" s="318">
        <f t="shared" si="248"/>
        <v>0</v>
      </c>
      <c r="AC324" s="318">
        <f t="shared" si="249"/>
        <v>0</v>
      </c>
      <c r="AD324" s="318">
        <f t="shared" si="230"/>
        <v>0</v>
      </c>
      <c r="AE324" s="318">
        <f t="shared" si="231"/>
        <v>0</v>
      </c>
      <c r="AF324" s="318">
        <f t="shared" si="224"/>
        <v>0</v>
      </c>
      <c r="AG324" s="318">
        <f t="shared" si="225"/>
        <v>0</v>
      </c>
      <c r="AH324" s="318">
        <f t="shared" si="250"/>
        <v>0</v>
      </c>
      <c r="AI324" s="318">
        <f t="shared" si="251"/>
        <v>0</v>
      </c>
      <c r="AJ324" s="318">
        <f t="shared" si="252"/>
        <v>0</v>
      </c>
      <c r="AK324" s="318">
        <f t="shared" si="253"/>
        <v>0</v>
      </c>
      <c r="AL324" s="318">
        <f t="shared" si="254"/>
        <v>0</v>
      </c>
      <c r="AM324" s="318">
        <f t="shared" si="255"/>
        <v>0</v>
      </c>
      <c r="AN324" s="318">
        <f t="shared" si="256"/>
        <v>0</v>
      </c>
      <c r="AO324" s="318">
        <f t="shared" si="257"/>
        <v>0</v>
      </c>
      <c r="AP324" s="318">
        <f t="shared" si="258"/>
        <v>0</v>
      </c>
      <c r="AQ324" s="318">
        <f t="shared" si="259"/>
        <v>0</v>
      </c>
      <c r="AR324" s="318">
        <f t="shared" si="232"/>
        <v>0</v>
      </c>
      <c r="AS324" s="318">
        <f t="shared" si="233"/>
        <v>0</v>
      </c>
      <c r="AT324" s="318">
        <f t="shared" si="260"/>
        <v>0</v>
      </c>
      <c r="AU324" s="318">
        <f t="shared" si="261"/>
        <v>0</v>
      </c>
      <c r="AV324" s="318">
        <f t="shared" si="262"/>
        <v>0</v>
      </c>
      <c r="AW324" s="318">
        <f t="shared" si="263"/>
        <v>0</v>
      </c>
      <c r="AX324" s="318">
        <f t="shared" si="234"/>
        <v>0</v>
      </c>
      <c r="AY324" s="318">
        <f t="shared" si="235"/>
        <v>0</v>
      </c>
      <c r="AZ324" s="318">
        <f t="shared" si="236"/>
        <v>0</v>
      </c>
      <c r="BA324" s="318">
        <f t="shared" si="237"/>
        <v>0</v>
      </c>
    </row>
    <row r="325" spans="1:53" s="315" customFormat="1" ht="16.5" customHeight="1">
      <c r="A325" s="63" t="str">
        <f t="array" ref="A325">IF(C325&lt;&gt;0,SUM(($C$11:C325&lt;&gt;0)*1),"")</f>
        <v/>
      </c>
      <c r="B325" s="316"/>
      <c r="C325" s="316"/>
      <c r="D325" s="316"/>
      <c r="E325" s="436"/>
      <c r="F325" s="372"/>
      <c r="G325" s="374"/>
      <c r="H325" s="374"/>
      <c r="I325" s="63" t="str">
        <f t="shared" si="264"/>
        <v/>
      </c>
      <c r="J325" s="318">
        <f t="shared" si="226"/>
        <v>0</v>
      </c>
      <c r="K325" s="318">
        <f t="shared" si="227"/>
        <v>0</v>
      </c>
      <c r="L325" s="318">
        <f t="shared" si="238"/>
        <v>0</v>
      </c>
      <c r="M325" s="318">
        <f t="shared" si="239"/>
        <v>0</v>
      </c>
      <c r="N325" s="318">
        <f t="shared" si="220"/>
        <v>0</v>
      </c>
      <c r="O325" s="318">
        <f t="shared" si="221"/>
        <v>0</v>
      </c>
      <c r="P325" s="318">
        <f t="shared" si="240"/>
        <v>0</v>
      </c>
      <c r="Q325" s="318">
        <f t="shared" si="241"/>
        <v>0</v>
      </c>
      <c r="R325" s="318">
        <f t="shared" si="242"/>
        <v>0</v>
      </c>
      <c r="S325" s="318">
        <f t="shared" si="243"/>
        <v>0</v>
      </c>
      <c r="T325" s="318">
        <f t="shared" si="222"/>
        <v>0</v>
      </c>
      <c r="U325" s="318">
        <f t="shared" si="223"/>
        <v>0</v>
      </c>
      <c r="V325" s="318">
        <f t="shared" si="244"/>
        <v>0</v>
      </c>
      <c r="W325" s="318">
        <f t="shared" si="245"/>
        <v>0</v>
      </c>
      <c r="X325" s="318">
        <f t="shared" si="246"/>
        <v>0</v>
      </c>
      <c r="Y325" s="318">
        <f t="shared" si="247"/>
        <v>0</v>
      </c>
      <c r="Z325" s="318">
        <f t="shared" si="228"/>
        <v>0</v>
      </c>
      <c r="AA325" s="318">
        <f t="shared" si="229"/>
        <v>0</v>
      </c>
      <c r="AB325" s="318">
        <f t="shared" si="248"/>
        <v>0</v>
      </c>
      <c r="AC325" s="318">
        <f t="shared" si="249"/>
        <v>0</v>
      </c>
      <c r="AD325" s="318">
        <f t="shared" si="230"/>
        <v>0</v>
      </c>
      <c r="AE325" s="318">
        <f t="shared" si="231"/>
        <v>0</v>
      </c>
      <c r="AF325" s="318">
        <f t="shared" si="224"/>
        <v>0</v>
      </c>
      <c r="AG325" s="318">
        <f t="shared" si="225"/>
        <v>0</v>
      </c>
      <c r="AH325" s="318">
        <f t="shared" si="250"/>
        <v>0</v>
      </c>
      <c r="AI325" s="318">
        <f t="shared" si="251"/>
        <v>0</v>
      </c>
      <c r="AJ325" s="318">
        <f t="shared" si="252"/>
        <v>0</v>
      </c>
      <c r="AK325" s="318">
        <f t="shared" si="253"/>
        <v>0</v>
      </c>
      <c r="AL325" s="318">
        <f t="shared" si="254"/>
        <v>0</v>
      </c>
      <c r="AM325" s="318">
        <f t="shared" si="255"/>
        <v>0</v>
      </c>
      <c r="AN325" s="318">
        <f t="shared" si="256"/>
        <v>0</v>
      </c>
      <c r="AO325" s="318">
        <f t="shared" si="257"/>
        <v>0</v>
      </c>
      <c r="AP325" s="318">
        <f t="shared" si="258"/>
        <v>0</v>
      </c>
      <c r="AQ325" s="318">
        <f t="shared" si="259"/>
        <v>0</v>
      </c>
      <c r="AR325" s="318">
        <f t="shared" si="232"/>
        <v>0</v>
      </c>
      <c r="AS325" s="318">
        <f t="shared" si="233"/>
        <v>0</v>
      </c>
      <c r="AT325" s="318">
        <f t="shared" si="260"/>
        <v>0</v>
      </c>
      <c r="AU325" s="318">
        <f t="shared" si="261"/>
        <v>0</v>
      </c>
      <c r="AV325" s="318">
        <f t="shared" si="262"/>
        <v>0</v>
      </c>
      <c r="AW325" s="318">
        <f t="shared" si="263"/>
        <v>0</v>
      </c>
      <c r="AX325" s="318">
        <f t="shared" si="234"/>
        <v>0</v>
      </c>
      <c r="AY325" s="318">
        <f t="shared" si="235"/>
        <v>0</v>
      </c>
      <c r="AZ325" s="318">
        <f t="shared" si="236"/>
        <v>0</v>
      </c>
      <c r="BA325" s="318">
        <f t="shared" si="237"/>
        <v>0</v>
      </c>
    </row>
    <row r="326" spans="1:53" s="315" customFormat="1" ht="16.5" customHeight="1">
      <c r="A326" s="63" t="str">
        <f t="array" ref="A326">IF(C326&lt;&gt;0,SUM(($C$11:C326&lt;&gt;0)*1),"")</f>
        <v/>
      </c>
      <c r="B326" s="316"/>
      <c r="C326" s="316"/>
      <c r="D326" s="316"/>
      <c r="E326" s="436"/>
      <c r="F326" s="372"/>
      <c r="G326" s="374"/>
      <c r="H326" s="374"/>
      <c r="I326" s="63" t="str">
        <f t="shared" si="264"/>
        <v/>
      </c>
      <c r="J326" s="318">
        <f t="shared" si="226"/>
        <v>0</v>
      </c>
      <c r="K326" s="318">
        <f t="shared" si="227"/>
        <v>0</v>
      </c>
      <c r="L326" s="318">
        <f t="shared" si="238"/>
        <v>0</v>
      </c>
      <c r="M326" s="318">
        <f t="shared" si="239"/>
        <v>0</v>
      </c>
      <c r="N326" s="318">
        <f t="shared" si="220"/>
        <v>0</v>
      </c>
      <c r="O326" s="318">
        <f t="shared" si="221"/>
        <v>0</v>
      </c>
      <c r="P326" s="318">
        <f t="shared" si="240"/>
        <v>0</v>
      </c>
      <c r="Q326" s="318">
        <f t="shared" si="241"/>
        <v>0</v>
      </c>
      <c r="R326" s="318">
        <f t="shared" si="242"/>
        <v>0</v>
      </c>
      <c r="S326" s="318">
        <f t="shared" si="243"/>
        <v>0</v>
      </c>
      <c r="T326" s="318">
        <f t="shared" si="222"/>
        <v>0</v>
      </c>
      <c r="U326" s="318">
        <f t="shared" si="223"/>
        <v>0</v>
      </c>
      <c r="V326" s="318">
        <f t="shared" si="244"/>
        <v>0</v>
      </c>
      <c r="W326" s="318">
        <f t="shared" si="245"/>
        <v>0</v>
      </c>
      <c r="X326" s="318">
        <f t="shared" si="246"/>
        <v>0</v>
      </c>
      <c r="Y326" s="318">
        <f t="shared" si="247"/>
        <v>0</v>
      </c>
      <c r="Z326" s="318">
        <f t="shared" si="228"/>
        <v>0</v>
      </c>
      <c r="AA326" s="318">
        <f t="shared" si="229"/>
        <v>0</v>
      </c>
      <c r="AB326" s="318">
        <f t="shared" si="248"/>
        <v>0</v>
      </c>
      <c r="AC326" s="318">
        <f t="shared" si="249"/>
        <v>0</v>
      </c>
      <c r="AD326" s="318">
        <f t="shared" si="230"/>
        <v>0</v>
      </c>
      <c r="AE326" s="318">
        <f t="shared" si="231"/>
        <v>0</v>
      </c>
      <c r="AF326" s="318">
        <f t="shared" si="224"/>
        <v>0</v>
      </c>
      <c r="AG326" s="318">
        <f t="shared" si="225"/>
        <v>0</v>
      </c>
      <c r="AH326" s="318">
        <f t="shared" si="250"/>
        <v>0</v>
      </c>
      <c r="AI326" s="318">
        <f t="shared" si="251"/>
        <v>0</v>
      </c>
      <c r="AJ326" s="318">
        <f t="shared" si="252"/>
        <v>0</v>
      </c>
      <c r="AK326" s="318">
        <f t="shared" si="253"/>
        <v>0</v>
      </c>
      <c r="AL326" s="318">
        <f t="shared" si="254"/>
        <v>0</v>
      </c>
      <c r="AM326" s="318">
        <f t="shared" si="255"/>
        <v>0</v>
      </c>
      <c r="AN326" s="318">
        <f t="shared" si="256"/>
        <v>0</v>
      </c>
      <c r="AO326" s="318">
        <f t="shared" si="257"/>
        <v>0</v>
      </c>
      <c r="AP326" s="318">
        <f t="shared" si="258"/>
        <v>0</v>
      </c>
      <c r="AQ326" s="318">
        <f t="shared" si="259"/>
        <v>0</v>
      </c>
      <c r="AR326" s="318">
        <f t="shared" si="232"/>
        <v>0</v>
      </c>
      <c r="AS326" s="318">
        <f t="shared" si="233"/>
        <v>0</v>
      </c>
      <c r="AT326" s="318">
        <f t="shared" si="260"/>
        <v>0</v>
      </c>
      <c r="AU326" s="318">
        <f t="shared" si="261"/>
        <v>0</v>
      </c>
      <c r="AV326" s="318">
        <f t="shared" si="262"/>
        <v>0</v>
      </c>
      <c r="AW326" s="318">
        <f t="shared" si="263"/>
        <v>0</v>
      </c>
      <c r="AX326" s="318">
        <f t="shared" si="234"/>
        <v>0</v>
      </c>
      <c r="AY326" s="318">
        <f t="shared" si="235"/>
        <v>0</v>
      </c>
      <c r="AZ326" s="318">
        <f t="shared" si="236"/>
        <v>0</v>
      </c>
      <c r="BA326" s="318">
        <f t="shared" si="237"/>
        <v>0</v>
      </c>
    </row>
    <row r="327" spans="1:53" s="315" customFormat="1" ht="16.5" customHeight="1">
      <c r="A327" s="63" t="str">
        <f t="array" ref="A327">IF(C327&lt;&gt;0,SUM(($C$11:C327&lt;&gt;0)*1),"")</f>
        <v/>
      </c>
      <c r="B327" s="316"/>
      <c r="C327" s="316"/>
      <c r="D327" s="316"/>
      <c r="E327" s="436"/>
      <c r="F327" s="372"/>
      <c r="G327" s="374"/>
      <c r="H327" s="374"/>
      <c r="I327" s="63" t="str">
        <f t="shared" si="264"/>
        <v/>
      </c>
      <c r="J327" s="318">
        <f t="shared" si="226"/>
        <v>0</v>
      </c>
      <c r="K327" s="318">
        <f t="shared" si="227"/>
        <v>0</v>
      </c>
      <c r="L327" s="318">
        <f t="shared" si="238"/>
        <v>0</v>
      </c>
      <c r="M327" s="318">
        <f t="shared" si="239"/>
        <v>0</v>
      </c>
      <c r="N327" s="318">
        <f t="shared" si="220"/>
        <v>0</v>
      </c>
      <c r="O327" s="318">
        <f t="shared" si="221"/>
        <v>0</v>
      </c>
      <c r="P327" s="318">
        <f t="shared" si="240"/>
        <v>0</v>
      </c>
      <c r="Q327" s="318">
        <f t="shared" si="241"/>
        <v>0</v>
      </c>
      <c r="R327" s="318">
        <f t="shared" si="242"/>
        <v>0</v>
      </c>
      <c r="S327" s="318">
        <f t="shared" si="243"/>
        <v>0</v>
      </c>
      <c r="T327" s="318">
        <f t="shared" si="222"/>
        <v>0</v>
      </c>
      <c r="U327" s="318">
        <f t="shared" si="223"/>
        <v>0</v>
      </c>
      <c r="V327" s="318">
        <f t="shared" si="244"/>
        <v>0</v>
      </c>
      <c r="W327" s="318">
        <f t="shared" si="245"/>
        <v>0</v>
      </c>
      <c r="X327" s="318">
        <f t="shared" si="246"/>
        <v>0</v>
      </c>
      <c r="Y327" s="318">
        <f t="shared" si="247"/>
        <v>0</v>
      </c>
      <c r="Z327" s="318">
        <f t="shared" si="228"/>
        <v>0</v>
      </c>
      <c r="AA327" s="318">
        <f t="shared" si="229"/>
        <v>0</v>
      </c>
      <c r="AB327" s="318">
        <f t="shared" si="248"/>
        <v>0</v>
      </c>
      <c r="AC327" s="318">
        <f t="shared" si="249"/>
        <v>0</v>
      </c>
      <c r="AD327" s="318">
        <f t="shared" si="230"/>
        <v>0</v>
      </c>
      <c r="AE327" s="318">
        <f t="shared" si="231"/>
        <v>0</v>
      </c>
      <c r="AF327" s="318">
        <f t="shared" si="224"/>
        <v>0</v>
      </c>
      <c r="AG327" s="318">
        <f t="shared" si="225"/>
        <v>0</v>
      </c>
      <c r="AH327" s="318">
        <f t="shared" si="250"/>
        <v>0</v>
      </c>
      <c r="AI327" s="318">
        <f t="shared" si="251"/>
        <v>0</v>
      </c>
      <c r="AJ327" s="318">
        <f t="shared" si="252"/>
        <v>0</v>
      </c>
      <c r="AK327" s="318">
        <f t="shared" si="253"/>
        <v>0</v>
      </c>
      <c r="AL327" s="318">
        <f t="shared" si="254"/>
        <v>0</v>
      </c>
      <c r="AM327" s="318">
        <f t="shared" si="255"/>
        <v>0</v>
      </c>
      <c r="AN327" s="318">
        <f t="shared" si="256"/>
        <v>0</v>
      </c>
      <c r="AO327" s="318">
        <f t="shared" si="257"/>
        <v>0</v>
      </c>
      <c r="AP327" s="318">
        <f t="shared" si="258"/>
        <v>0</v>
      </c>
      <c r="AQ327" s="318">
        <f t="shared" si="259"/>
        <v>0</v>
      </c>
      <c r="AR327" s="318">
        <f t="shared" si="232"/>
        <v>0</v>
      </c>
      <c r="AS327" s="318">
        <f t="shared" si="233"/>
        <v>0</v>
      </c>
      <c r="AT327" s="318">
        <f t="shared" si="260"/>
        <v>0</v>
      </c>
      <c r="AU327" s="318">
        <f t="shared" si="261"/>
        <v>0</v>
      </c>
      <c r="AV327" s="318">
        <f t="shared" si="262"/>
        <v>0</v>
      </c>
      <c r="AW327" s="318">
        <f t="shared" si="263"/>
        <v>0</v>
      </c>
      <c r="AX327" s="318">
        <f t="shared" si="234"/>
        <v>0</v>
      </c>
      <c r="AY327" s="318">
        <f t="shared" si="235"/>
        <v>0</v>
      </c>
      <c r="AZ327" s="318">
        <f t="shared" si="236"/>
        <v>0</v>
      </c>
      <c r="BA327" s="318">
        <f t="shared" si="237"/>
        <v>0</v>
      </c>
    </row>
    <row r="328" spans="1:53" s="315" customFormat="1" ht="16.5" customHeight="1">
      <c r="A328" s="63" t="str">
        <f t="array" ref="A328">IF(C328&lt;&gt;0,SUM(($C$11:C328&lt;&gt;0)*1),"")</f>
        <v/>
      </c>
      <c r="B328" s="316"/>
      <c r="C328" s="316"/>
      <c r="D328" s="316"/>
      <c r="E328" s="436"/>
      <c r="F328" s="372"/>
      <c r="G328" s="374"/>
      <c r="H328" s="374"/>
      <c r="I328" s="63" t="str">
        <f t="shared" si="264"/>
        <v/>
      </c>
      <c r="J328" s="318">
        <f t="shared" si="226"/>
        <v>0</v>
      </c>
      <c r="K328" s="318">
        <f t="shared" si="227"/>
        <v>0</v>
      </c>
      <c r="L328" s="318">
        <f t="shared" si="238"/>
        <v>0</v>
      </c>
      <c r="M328" s="318">
        <f t="shared" si="239"/>
        <v>0</v>
      </c>
      <c r="N328" s="318">
        <f t="shared" si="220"/>
        <v>0</v>
      </c>
      <c r="O328" s="318">
        <f t="shared" si="221"/>
        <v>0</v>
      </c>
      <c r="P328" s="318">
        <f t="shared" si="240"/>
        <v>0</v>
      </c>
      <c r="Q328" s="318">
        <f t="shared" si="241"/>
        <v>0</v>
      </c>
      <c r="R328" s="318">
        <f t="shared" si="242"/>
        <v>0</v>
      </c>
      <c r="S328" s="318">
        <f t="shared" si="243"/>
        <v>0</v>
      </c>
      <c r="T328" s="318">
        <f t="shared" si="222"/>
        <v>0</v>
      </c>
      <c r="U328" s="318">
        <f t="shared" si="223"/>
        <v>0</v>
      </c>
      <c r="V328" s="318">
        <f t="shared" si="244"/>
        <v>0</v>
      </c>
      <c r="W328" s="318">
        <f t="shared" si="245"/>
        <v>0</v>
      </c>
      <c r="X328" s="318">
        <f t="shared" si="246"/>
        <v>0</v>
      </c>
      <c r="Y328" s="318">
        <f t="shared" si="247"/>
        <v>0</v>
      </c>
      <c r="Z328" s="318">
        <f t="shared" si="228"/>
        <v>0</v>
      </c>
      <c r="AA328" s="318">
        <f t="shared" si="229"/>
        <v>0</v>
      </c>
      <c r="AB328" s="318">
        <f t="shared" si="248"/>
        <v>0</v>
      </c>
      <c r="AC328" s="318">
        <f t="shared" si="249"/>
        <v>0</v>
      </c>
      <c r="AD328" s="318">
        <f t="shared" si="230"/>
        <v>0</v>
      </c>
      <c r="AE328" s="318">
        <f t="shared" si="231"/>
        <v>0</v>
      </c>
      <c r="AF328" s="318">
        <f t="shared" si="224"/>
        <v>0</v>
      </c>
      <c r="AG328" s="318">
        <f t="shared" si="225"/>
        <v>0</v>
      </c>
      <c r="AH328" s="318">
        <f t="shared" si="250"/>
        <v>0</v>
      </c>
      <c r="AI328" s="318">
        <f t="shared" si="251"/>
        <v>0</v>
      </c>
      <c r="AJ328" s="318">
        <f t="shared" si="252"/>
        <v>0</v>
      </c>
      <c r="AK328" s="318">
        <f t="shared" si="253"/>
        <v>0</v>
      </c>
      <c r="AL328" s="318">
        <f t="shared" si="254"/>
        <v>0</v>
      </c>
      <c r="AM328" s="318">
        <f t="shared" si="255"/>
        <v>0</v>
      </c>
      <c r="AN328" s="318">
        <f t="shared" si="256"/>
        <v>0</v>
      </c>
      <c r="AO328" s="318">
        <f t="shared" si="257"/>
        <v>0</v>
      </c>
      <c r="AP328" s="318">
        <f t="shared" si="258"/>
        <v>0</v>
      </c>
      <c r="AQ328" s="318">
        <f t="shared" si="259"/>
        <v>0</v>
      </c>
      <c r="AR328" s="318">
        <f t="shared" si="232"/>
        <v>0</v>
      </c>
      <c r="AS328" s="318">
        <f t="shared" si="233"/>
        <v>0</v>
      </c>
      <c r="AT328" s="318">
        <f t="shared" si="260"/>
        <v>0</v>
      </c>
      <c r="AU328" s="318">
        <f t="shared" si="261"/>
        <v>0</v>
      </c>
      <c r="AV328" s="318">
        <f t="shared" si="262"/>
        <v>0</v>
      </c>
      <c r="AW328" s="318">
        <f t="shared" si="263"/>
        <v>0</v>
      </c>
      <c r="AX328" s="318">
        <f t="shared" si="234"/>
        <v>0</v>
      </c>
      <c r="AY328" s="318">
        <f t="shared" si="235"/>
        <v>0</v>
      </c>
      <c r="AZ328" s="318">
        <f t="shared" si="236"/>
        <v>0</v>
      </c>
      <c r="BA328" s="318">
        <f t="shared" si="237"/>
        <v>0</v>
      </c>
    </row>
    <row r="329" spans="1:53" s="315" customFormat="1" ht="16.5" customHeight="1">
      <c r="A329" s="63" t="str">
        <f t="array" ref="A329">IF(C329&lt;&gt;0,SUM(($C$11:C329&lt;&gt;0)*1),"")</f>
        <v/>
      </c>
      <c r="B329" s="316"/>
      <c r="C329" s="316"/>
      <c r="D329" s="316"/>
      <c r="E329" s="436"/>
      <c r="F329" s="372"/>
      <c r="G329" s="374"/>
      <c r="H329" s="374"/>
      <c r="I329" s="63" t="str">
        <f t="shared" si="264"/>
        <v/>
      </c>
      <c r="J329" s="318">
        <f t="shared" si="226"/>
        <v>0</v>
      </c>
      <c r="K329" s="318">
        <f t="shared" si="227"/>
        <v>0</v>
      </c>
      <c r="L329" s="318">
        <f t="shared" si="238"/>
        <v>0</v>
      </c>
      <c r="M329" s="318">
        <f t="shared" si="239"/>
        <v>0</v>
      </c>
      <c r="N329" s="318">
        <f t="shared" si="220"/>
        <v>0</v>
      </c>
      <c r="O329" s="318">
        <f t="shared" si="221"/>
        <v>0</v>
      </c>
      <c r="P329" s="318">
        <f t="shared" si="240"/>
        <v>0</v>
      </c>
      <c r="Q329" s="318">
        <f t="shared" si="241"/>
        <v>0</v>
      </c>
      <c r="R329" s="318">
        <f t="shared" si="242"/>
        <v>0</v>
      </c>
      <c r="S329" s="318">
        <f t="shared" si="243"/>
        <v>0</v>
      </c>
      <c r="T329" s="318">
        <f t="shared" si="222"/>
        <v>0</v>
      </c>
      <c r="U329" s="318">
        <f t="shared" si="223"/>
        <v>0</v>
      </c>
      <c r="V329" s="318">
        <f t="shared" si="244"/>
        <v>0</v>
      </c>
      <c r="W329" s="318">
        <f t="shared" si="245"/>
        <v>0</v>
      </c>
      <c r="X329" s="318">
        <f t="shared" si="246"/>
        <v>0</v>
      </c>
      <c r="Y329" s="318">
        <f t="shared" si="247"/>
        <v>0</v>
      </c>
      <c r="Z329" s="318">
        <f t="shared" si="228"/>
        <v>0</v>
      </c>
      <c r="AA329" s="318">
        <f t="shared" si="229"/>
        <v>0</v>
      </c>
      <c r="AB329" s="318">
        <f t="shared" si="248"/>
        <v>0</v>
      </c>
      <c r="AC329" s="318">
        <f t="shared" si="249"/>
        <v>0</v>
      </c>
      <c r="AD329" s="318">
        <f t="shared" si="230"/>
        <v>0</v>
      </c>
      <c r="AE329" s="318">
        <f t="shared" si="231"/>
        <v>0</v>
      </c>
      <c r="AF329" s="318">
        <f t="shared" si="224"/>
        <v>0</v>
      </c>
      <c r="AG329" s="318">
        <f t="shared" si="225"/>
        <v>0</v>
      </c>
      <c r="AH329" s="318">
        <f t="shared" si="250"/>
        <v>0</v>
      </c>
      <c r="AI329" s="318">
        <f t="shared" si="251"/>
        <v>0</v>
      </c>
      <c r="AJ329" s="318">
        <f t="shared" si="252"/>
        <v>0</v>
      </c>
      <c r="AK329" s="318">
        <f t="shared" si="253"/>
        <v>0</v>
      </c>
      <c r="AL329" s="318">
        <f t="shared" si="254"/>
        <v>0</v>
      </c>
      <c r="AM329" s="318">
        <f t="shared" si="255"/>
        <v>0</v>
      </c>
      <c r="AN329" s="318">
        <f t="shared" si="256"/>
        <v>0</v>
      </c>
      <c r="AO329" s="318">
        <f t="shared" si="257"/>
        <v>0</v>
      </c>
      <c r="AP329" s="318">
        <f t="shared" si="258"/>
        <v>0</v>
      </c>
      <c r="AQ329" s="318">
        <f t="shared" si="259"/>
        <v>0</v>
      </c>
      <c r="AR329" s="318">
        <f t="shared" si="232"/>
        <v>0</v>
      </c>
      <c r="AS329" s="318">
        <f t="shared" si="233"/>
        <v>0</v>
      </c>
      <c r="AT329" s="318">
        <f t="shared" si="260"/>
        <v>0</v>
      </c>
      <c r="AU329" s="318">
        <f t="shared" si="261"/>
        <v>0</v>
      </c>
      <c r="AV329" s="318">
        <f t="shared" si="262"/>
        <v>0</v>
      </c>
      <c r="AW329" s="318">
        <f t="shared" si="263"/>
        <v>0</v>
      </c>
      <c r="AX329" s="318">
        <f t="shared" si="234"/>
        <v>0</v>
      </c>
      <c r="AY329" s="318">
        <f t="shared" si="235"/>
        <v>0</v>
      </c>
      <c r="AZ329" s="318">
        <f t="shared" si="236"/>
        <v>0</v>
      </c>
      <c r="BA329" s="318">
        <f t="shared" si="237"/>
        <v>0</v>
      </c>
    </row>
    <row r="330" spans="1:53" s="315" customFormat="1" ht="16.5" customHeight="1">
      <c r="A330" s="63" t="str">
        <f t="array" ref="A330">IF(C330&lt;&gt;0,SUM(($C$11:C330&lt;&gt;0)*1),"")</f>
        <v/>
      </c>
      <c r="B330" s="316"/>
      <c r="C330" s="316"/>
      <c r="D330" s="316"/>
      <c r="E330" s="436"/>
      <c r="F330" s="372"/>
      <c r="G330" s="374"/>
      <c r="H330" s="374"/>
      <c r="I330" s="63" t="str">
        <f t="shared" si="264"/>
        <v/>
      </c>
      <c r="J330" s="318">
        <f t="shared" si="226"/>
        <v>0</v>
      </c>
      <c r="K330" s="318">
        <f t="shared" si="227"/>
        <v>0</v>
      </c>
      <c r="L330" s="318">
        <f t="shared" si="238"/>
        <v>0</v>
      </c>
      <c r="M330" s="318">
        <f t="shared" si="239"/>
        <v>0</v>
      </c>
      <c r="N330" s="318">
        <f t="shared" si="220"/>
        <v>0</v>
      </c>
      <c r="O330" s="318">
        <f t="shared" si="221"/>
        <v>0</v>
      </c>
      <c r="P330" s="318">
        <f t="shared" si="240"/>
        <v>0</v>
      </c>
      <c r="Q330" s="318">
        <f t="shared" si="241"/>
        <v>0</v>
      </c>
      <c r="R330" s="318">
        <f t="shared" si="242"/>
        <v>0</v>
      </c>
      <c r="S330" s="318">
        <f t="shared" si="243"/>
        <v>0</v>
      </c>
      <c r="T330" s="318">
        <f t="shared" si="222"/>
        <v>0</v>
      </c>
      <c r="U330" s="318">
        <f t="shared" si="223"/>
        <v>0</v>
      </c>
      <c r="V330" s="318">
        <f t="shared" si="244"/>
        <v>0</v>
      </c>
      <c r="W330" s="318">
        <f t="shared" si="245"/>
        <v>0</v>
      </c>
      <c r="X330" s="318">
        <f t="shared" si="246"/>
        <v>0</v>
      </c>
      <c r="Y330" s="318">
        <f t="shared" si="247"/>
        <v>0</v>
      </c>
      <c r="Z330" s="318">
        <f t="shared" si="228"/>
        <v>0</v>
      </c>
      <c r="AA330" s="318">
        <f t="shared" si="229"/>
        <v>0</v>
      </c>
      <c r="AB330" s="318">
        <f t="shared" si="248"/>
        <v>0</v>
      </c>
      <c r="AC330" s="318">
        <f t="shared" si="249"/>
        <v>0</v>
      </c>
      <c r="AD330" s="318">
        <f t="shared" si="230"/>
        <v>0</v>
      </c>
      <c r="AE330" s="318">
        <f t="shared" si="231"/>
        <v>0</v>
      </c>
      <c r="AF330" s="318">
        <f t="shared" si="224"/>
        <v>0</v>
      </c>
      <c r="AG330" s="318">
        <f t="shared" si="225"/>
        <v>0</v>
      </c>
      <c r="AH330" s="318">
        <f t="shared" si="250"/>
        <v>0</v>
      </c>
      <c r="AI330" s="318">
        <f t="shared" si="251"/>
        <v>0</v>
      </c>
      <c r="AJ330" s="318">
        <f t="shared" si="252"/>
        <v>0</v>
      </c>
      <c r="AK330" s="318">
        <f t="shared" si="253"/>
        <v>0</v>
      </c>
      <c r="AL330" s="318">
        <f t="shared" si="254"/>
        <v>0</v>
      </c>
      <c r="AM330" s="318">
        <f t="shared" si="255"/>
        <v>0</v>
      </c>
      <c r="AN330" s="318">
        <f t="shared" si="256"/>
        <v>0</v>
      </c>
      <c r="AO330" s="318">
        <f t="shared" si="257"/>
        <v>0</v>
      </c>
      <c r="AP330" s="318">
        <f t="shared" si="258"/>
        <v>0</v>
      </c>
      <c r="AQ330" s="318">
        <f t="shared" si="259"/>
        <v>0</v>
      </c>
      <c r="AR330" s="318">
        <f t="shared" si="232"/>
        <v>0</v>
      </c>
      <c r="AS330" s="318">
        <f t="shared" si="233"/>
        <v>0</v>
      </c>
      <c r="AT330" s="318">
        <f t="shared" si="260"/>
        <v>0</v>
      </c>
      <c r="AU330" s="318">
        <f t="shared" si="261"/>
        <v>0</v>
      </c>
      <c r="AV330" s="318">
        <f t="shared" si="262"/>
        <v>0</v>
      </c>
      <c r="AW330" s="318">
        <f t="shared" si="263"/>
        <v>0</v>
      </c>
      <c r="AX330" s="318">
        <f t="shared" si="234"/>
        <v>0</v>
      </c>
      <c r="AY330" s="318">
        <f t="shared" si="235"/>
        <v>0</v>
      </c>
      <c r="AZ330" s="318">
        <f t="shared" si="236"/>
        <v>0</v>
      </c>
      <c r="BA330" s="318">
        <f t="shared" si="237"/>
        <v>0</v>
      </c>
    </row>
    <row r="331" spans="1:53" s="315" customFormat="1" ht="16.5" customHeight="1">
      <c r="A331" s="63" t="str">
        <f t="array" ref="A331">IF(C331&lt;&gt;0,SUM(($C$11:C331&lt;&gt;0)*1),"")</f>
        <v/>
      </c>
      <c r="B331" s="316"/>
      <c r="C331" s="316"/>
      <c r="D331" s="316"/>
      <c r="E331" s="436"/>
      <c r="F331" s="372"/>
      <c r="G331" s="374"/>
      <c r="H331" s="374"/>
      <c r="I331" s="63" t="str">
        <f t="shared" si="264"/>
        <v/>
      </c>
      <c r="J331" s="318">
        <f t="shared" si="226"/>
        <v>0</v>
      </c>
      <c r="K331" s="318">
        <f t="shared" si="227"/>
        <v>0</v>
      </c>
      <c r="L331" s="318">
        <f t="shared" si="238"/>
        <v>0</v>
      </c>
      <c r="M331" s="318">
        <f t="shared" si="239"/>
        <v>0</v>
      </c>
      <c r="N331" s="318">
        <f t="shared" si="220"/>
        <v>0</v>
      </c>
      <c r="O331" s="318">
        <f t="shared" si="221"/>
        <v>0</v>
      </c>
      <c r="P331" s="318">
        <f t="shared" si="240"/>
        <v>0</v>
      </c>
      <c r="Q331" s="318">
        <f t="shared" si="241"/>
        <v>0</v>
      </c>
      <c r="R331" s="318">
        <f t="shared" si="242"/>
        <v>0</v>
      </c>
      <c r="S331" s="318">
        <f t="shared" si="243"/>
        <v>0</v>
      </c>
      <c r="T331" s="318">
        <f t="shared" si="222"/>
        <v>0</v>
      </c>
      <c r="U331" s="318">
        <f t="shared" si="223"/>
        <v>0</v>
      </c>
      <c r="V331" s="318">
        <f t="shared" si="244"/>
        <v>0</v>
      </c>
      <c r="W331" s="318">
        <f t="shared" si="245"/>
        <v>0</v>
      </c>
      <c r="X331" s="318">
        <f t="shared" si="246"/>
        <v>0</v>
      </c>
      <c r="Y331" s="318">
        <f t="shared" si="247"/>
        <v>0</v>
      </c>
      <c r="Z331" s="318">
        <f t="shared" si="228"/>
        <v>0</v>
      </c>
      <c r="AA331" s="318">
        <f t="shared" si="229"/>
        <v>0</v>
      </c>
      <c r="AB331" s="318">
        <f t="shared" si="248"/>
        <v>0</v>
      </c>
      <c r="AC331" s="318">
        <f t="shared" si="249"/>
        <v>0</v>
      </c>
      <c r="AD331" s="318">
        <f t="shared" si="230"/>
        <v>0</v>
      </c>
      <c r="AE331" s="318">
        <f t="shared" si="231"/>
        <v>0</v>
      </c>
      <c r="AF331" s="318">
        <f t="shared" si="224"/>
        <v>0</v>
      </c>
      <c r="AG331" s="318">
        <f t="shared" si="225"/>
        <v>0</v>
      </c>
      <c r="AH331" s="318">
        <f t="shared" si="250"/>
        <v>0</v>
      </c>
      <c r="AI331" s="318">
        <f t="shared" si="251"/>
        <v>0</v>
      </c>
      <c r="AJ331" s="318">
        <f t="shared" si="252"/>
        <v>0</v>
      </c>
      <c r="AK331" s="318">
        <f t="shared" si="253"/>
        <v>0</v>
      </c>
      <c r="AL331" s="318">
        <f t="shared" si="254"/>
        <v>0</v>
      </c>
      <c r="AM331" s="318">
        <f t="shared" si="255"/>
        <v>0</v>
      </c>
      <c r="AN331" s="318">
        <f t="shared" si="256"/>
        <v>0</v>
      </c>
      <c r="AO331" s="318">
        <f t="shared" si="257"/>
        <v>0</v>
      </c>
      <c r="AP331" s="318">
        <f t="shared" si="258"/>
        <v>0</v>
      </c>
      <c r="AQ331" s="318">
        <f t="shared" si="259"/>
        <v>0</v>
      </c>
      <c r="AR331" s="318">
        <f t="shared" si="232"/>
        <v>0</v>
      </c>
      <c r="AS331" s="318">
        <f t="shared" si="233"/>
        <v>0</v>
      </c>
      <c r="AT331" s="318">
        <f t="shared" si="260"/>
        <v>0</v>
      </c>
      <c r="AU331" s="318">
        <f t="shared" si="261"/>
        <v>0</v>
      </c>
      <c r="AV331" s="318">
        <f t="shared" si="262"/>
        <v>0</v>
      </c>
      <c r="AW331" s="318">
        <f t="shared" si="263"/>
        <v>0</v>
      </c>
      <c r="AX331" s="318">
        <f t="shared" si="234"/>
        <v>0</v>
      </c>
      <c r="AY331" s="318">
        <f t="shared" si="235"/>
        <v>0</v>
      </c>
      <c r="AZ331" s="318">
        <f t="shared" si="236"/>
        <v>0</v>
      </c>
      <c r="BA331" s="318">
        <f t="shared" si="237"/>
        <v>0</v>
      </c>
    </row>
    <row r="332" spans="1:53" s="315" customFormat="1" ht="16.5" customHeight="1">
      <c r="A332" s="63" t="str">
        <f t="array" ref="A332">IF(C332&lt;&gt;0,SUM(($C$11:C332&lt;&gt;0)*1),"")</f>
        <v/>
      </c>
      <c r="B332" s="316"/>
      <c r="C332" s="316"/>
      <c r="D332" s="316"/>
      <c r="E332" s="436"/>
      <c r="F332" s="372"/>
      <c r="G332" s="374"/>
      <c r="H332" s="374"/>
      <c r="I332" s="63" t="str">
        <f t="shared" si="264"/>
        <v/>
      </c>
      <c r="J332" s="318">
        <f t="shared" si="226"/>
        <v>0</v>
      </c>
      <c r="K332" s="318">
        <f t="shared" si="227"/>
        <v>0</v>
      </c>
      <c r="L332" s="318">
        <f t="shared" si="238"/>
        <v>0</v>
      </c>
      <c r="M332" s="318">
        <f t="shared" si="239"/>
        <v>0</v>
      </c>
      <c r="N332" s="318">
        <f t="shared" ref="N332:N355" si="265">IF($G332="1122",$F332,0)</f>
        <v>0</v>
      </c>
      <c r="O332" s="318">
        <f t="shared" ref="O332:O355" si="266">IF($H332="1122",$F332,0)</f>
        <v>0</v>
      </c>
      <c r="P332" s="318">
        <f t="shared" si="240"/>
        <v>0</v>
      </c>
      <c r="Q332" s="318">
        <f t="shared" si="241"/>
        <v>0</v>
      </c>
      <c r="R332" s="318">
        <f t="shared" si="242"/>
        <v>0</v>
      </c>
      <c r="S332" s="318">
        <f t="shared" si="243"/>
        <v>0</v>
      </c>
      <c r="T332" s="318">
        <f t="shared" si="222"/>
        <v>0</v>
      </c>
      <c r="U332" s="318">
        <f t="shared" si="223"/>
        <v>0</v>
      </c>
      <c r="V332" s="318">
        <f t="shared" si="244"/>
        <v>0</v>
      </c>
      <c r="W332" s="318">
        <f t="shared" si="245"/>
        <v>0</v>
      </c>
      <c r="X332" s="318">
        <f t="shared" si="246"/>
        <v>0</v>
      </c>
      <c r="Y332" s="318">
        <f t="shared" si="247"/>
        <v>0</v>
      </c>
      <c r="Z332" s="318">
        <f t="shared" si="228"/>
        <v>0</v>
      </c>
      <c r="AA332" s="318">
        <f t="shared" si="229"/>
        <v>0</v>
      </c>
      <c r="AB332" s="318">
        <f t="shared" si="248"/>
        <v>0</v>
      </c>
      <c r="AC332" s="318">
        <f t="shared" si="249"/>
        <v>0</v>
      </c>
      <c r="AD332" s="318">
        <f t="shared" si="230"/>
        <v>0</v>
      </c>
      <c r="AE332" s="318">
        <f t="shared" si="231"/>
        <v>0</v>
      </c>
      <c r="AF332" s="318">
        <f t="shared" ref="AF332:AF355" si="267">IF($G332="3412",$F332,0)</f>
        <v>0</v>
      </c>
      <c r="AG332" s="318">
        <f t="shared" ref="AG332:AG355" si="268">IF($H332="3412",$F332,0)</f>
        <v>0</v>
      </c>
      <c r="AH332" s="318">
        <f t="shared" si="250"/>
        <v>0</v>
      </c>
      <c r="AI332" s="318">
        <f t="shared" si="251"/>
        <v>0</v>
      </c>
      <c r="AJ332" s="318">
        <f t="shared" si="252"/>
        <v>0</v>
      </c>
      <c r="AK332" s="318">
        <f t="shared" si="253"/>
        <v>0</v>
      </c>
      <c r="AL332" s="318">
        <f t="shared" si="254"/>
        <v>0</v>
      </c>
      <c r="AM332" s="318">
        <f t="shared" si="255"/>
        <v>0</v>
      </c>
      <c r="AN332" s="318">
        <f t="shared" si="256"/>
        <v>0</v>
      </c>
      <c r="AO332" s="318">
        <f t="shared" si="257"/>
        <v>0</v>
      </c>
      <c r="AP332" s="318">
        <f t="shared" si="258"/>
        <v>0</v>
      </c>
      <c r="AQ332" s="318">
        <f t="shared" si="259"/>
        <v>0</v>
      </c>
      <c r="AR332" s="318">
        <f t="shared" si="232"/>
        <v>0</v>
      </c>
      <c r="AS332" s="318">
        <f t="shared" si="233"/>
        <v>0</v>
      </c>
      <c r="AT332" s="318">
        <f t="shared" si="260"/>
        <v>0</v>
      </c>
      <c r="AU332" s="318">
        <f t="shared" si="261"/>
        <v>0</v>
      </c>
      <c r="AV332" s="318">
        <f t="shared" si="262"/>
        <v>0</v>
      </c>
      <c r="AW332" s="318">
        <f t="shared" si="263"/>
        <v>0</v>
      </c>
      <c r="AX332" s="318">
        <f t="shared" si="234"/>
        <v>0</v>
      </c>
      <c r="AY332" s="318">
        <f t="shared" si="235"/>
        <v>0</v>
      </c>
      <c r="AZ332" s="318">
        <f t="shared" si="236"/>
        <v>0</v>
      </c>
      <c r="BA332" s="318">
        <f t="shared" si="237"/>
        <v>0</v>
      </c>
    </row>
    <row r="333" spans="1:53" s="315" customFormat="1" ht="16.5" customHeight="1">
      <c r="A333" s="63" t="str">
        <f t="array" ref="A333">IF(C333&lt;&gt;0,SUM(($C$11:C333&lt;&gt;0)*1),"")</f>
        <v/>
      </c>
      <c r="B333" s="316"/>
      <c r="C333" s="316"/>
      <c r="D333" s="316"/>
      <c r="E333" s="436"/>
      <c r="F333" s="372"/>
      <c r="G333" s="374"/>
      <c r="H333" s="374"/>
      <c r="I333" s="63" t="str">
        <f t="shared" si="264"/>
        <v/>
      </c>
      <c r="J333" s="318">
        <f t="shared" si="226"/>
        <v>0</v>
      </c>
      <c r="K333" s="318">
        <f t="shared" si="227"/>
        <v>0</v>
      </c>
      <c r="L333" s="318">
        <f t="shared" si="238"/>
        <v>0</v>
      </c>
      <c r="M333" s="318">
        <f t="shared" si="239"/>
        <v>0</v>
      </c>
      <c r="N333" s="318">
        <f t="shared" si="265"/>
        <v>0</v>
      </c>
      <c r="O333" s="318">
        <f t="shared" si="266"/>
        <v>0</v>
      </c>
      <c r="P333" s="318">
        <f t="shared" si="240"/>
        <v>0</v>
      </c>
      <c r="Q333" s="318">
        <f t="shared" si="241"/>
        <v>0</v>
      </c>
      <c r="R333" s="318">
        <f t="shared" si="242"/>
        <v>0</v>
      </c>
      <c r="S333" s="318">
        <f t="shared" si="243"/>
        <v>0</v>
      </c>
      <c r="T333" s="318">
        <f t="shared" si="222"/>
        <v>0</v>
      </c>
      <c r="U333" s="318">
        <f t="shared" si="223"/>
        <v>0</v>
      </c>
      <c r="V333" s="318">
        <f t="shared" si="244"/>
        <v>0</v>
      </c>
      <c r="W333" s="318">
        <f t="shared" si="245"/>
        <v>0</v>
      </c>
      <c r="X333" s="318">
        <f t="shared" si="246"/>
        <v>0</v>
      </c>
      <c r="Y333" s="318">
        <f t="shared" si="247"/>
        <v>0</v>
      </c>
      <c r="Z333" s="318">
        <f t="shared" si="228"/>
        <v>0</v>
      </c>
      <c r="AA333" s="318">
        <f t="shared" si="229"/>
        <v>0</v>
      </c>
      <c r="AB333" s="318">
        <f t="shared" si="248"/>
        <v>0</v>
      </c>
      <c r="AC333" s="318">
        <f t="shared" si="249"/>
        <v>0</v>
      </c>
      <c r="AD333" s="318">
        <f t="shared" si="230"/>
        <v>0</v>
      </c>
      <c r="AE333" s="318">
        <f t="shared" si="231"/>
        <v>0</v>
      </c>
      <c r="AF333" s="318">
        <f t="shared" si="267"/>
        <v>0</v>
      </c>
      <c r="AG333" s="318">
        <f t="shared" si="268"/>
        <v>0</v>
      </c>
      <c r="AH333" s="318">
        <f t="shared" si="250"/>
        <v>0</v>
      </c>
      <c r="AI333" s="318">
        <f t="shared" si="251"/>
        <v>0</v>
      </c>
      <c r="AJ333" s="318">
        <f t="shared" si="252"/>
        <v>0</v>
      </c>
      <c r="AK333" s="318">
        <f t="shared" si="253"/>
        <v>0</v>
      </c>
      <c r="AL333" s="318">
        <f t="shared" si="254"/>
        <v>0</v>
      </c>
      <c r="AM333" s="318">
        <f t="shared" si="255"/>
        <v>0</v>
      </c>
      <c r="AN333" s="318">
        <f t="shared" si="256"/>
        <v>0</v>
      </c>
      <c r="AO333" s="318">
        <f t="shared" si="257"/>
        <v>0</v>
      </c>
      <c r="AP333" s="318">
        <f t="shared" si="258"/>
        <v>0</v>
      </c>
      <c r="AQ333" s="318">
        <f t="shared" si="259"/>
        <v>0</v>
      </c>
      <c r="AR333" s="318">
        <f t="shared" si="232"/>
        <v>0</v>
      </c>
      <c r="AS333" s="318">
        <f t="shared" si="233"/>
        <v>0</v>
      </c>
      <c r="AT333" s="318">
        <f t="shared" si="260"/>
        <v>0</v>
      </c>
      <c r="AU333" s="318">
        <f t="shared" si="261"/>
        <v>0</v>
      </c>
      <c r="AV333" s="318">
        <f t="shared" si="262"/>
        <v>0</v>
      </c>
      <c r="AW333" s="318">
        <f t="shared" si="263"/>
        <v>0</v>
      </c>
      <c r="AX333" s="318">
        <f t="shared" si="234"/>
        <v>0</v>
      </c>
      <c r="AY333" s="318">
        <f t="shared" si="235"/>
        <v>0</v>
      </c>
      <c r="AZ333" s="318">
        <f t="shared" si="236"/>
        <v>0</v>
      </c>
      <c r="BA333" s="318">
        <f t="shared" si="237"/>
        <v>0</v>
      </c>
    </row>
    <row r="334" spans="1:53" s="315" customFormat="1" ht="16.5" customHeight="1">
      <c r="A334" s="63" t="str">
        <f t="array" ref="A334">IF(C334&lt;&gt;0,SUM(($C$11:C334&lt;&gt;0)*1),"")</f>
        <v/>
      </c>
      <c r="B334" s="316"/>
      <c r="C334" s="316"/>
      <c r="D334" s="316"/>
      <c r="E334" s="436"/>
      <c r="F334" s="372"/>
      <c r="G334" s="374"/>
      <c r="H334" s="374"/>
      <c r="I334" s="63" t="str">
        <f t="shared" si="264"/>
        <v/>
      </c>
      <c r="J334" s="318">
        <f t="shared" si="226"/>
        <v>0</v>
      </c>
      <c r="K334" s="318">
        <f t="shared" si="227"/>
        <v>0</v>
      </c>
      <c r="L334" s="318">
        <f t="shared" si="238"/>
        <v>0</v>
      </c>
      <c r="M334" s="318">
        <f t="shared" si="239"/>
        <v>0</v>
      </c>
      <c r="N334" s="318">
        <f t="shared" si="265"/>
        <v>0</v>
      </c>
      <c r="O334" s="318">
        <f t="shared" si="266"/>
        <v>0</v>
      </c>
      <c r="P334" s="318">
        <f t="shared" si="240"/>
        <v>0</v>
      </c>
      <c r="Q334" s="318">
        <f t="shared" si="241"/>
        <v>0</v>
      </c>
      <c r="R334" s="318">
        <f t="shared" si="242"/>
        <v>0</v>
      </c>
      <c r="S334" s="318">
        <f t="shared" si="243"/>
        <v>0</v>
      </c>
      <c r="T334" s="318">
        <f t="shared" si="222"/>
        <v>0</v>
      </c>
      <c r="U334" s="318">
        <f t="shared" si="223"/>
        <v>0</v>
      </c>
      <c r="V334" s="318">
        <f t="shared" si="244"/>
        <v>0</v>
      </c>
      <c r="W334" s="318">
        <f t="shared" si="245"/>
        <v>0</v>
      </c>
      <c r="X334" s="318">
        <f t="shared" si="246"/>
        <v>0</v>
      </c>
      <c r="Y334" s="318">
        <f t="shared" si="247"/>
        <v>0</v>
      </c>
      <c r="Z334" s="318">
        <f t="shared" si="228"/>
        <v>0</v>
      </c>
      <c r="AA334" s="318">
        <f t="shared" si="229"/>
        <v>0</v>
      </c>
      <c r="AB334" s="318">
        <f t="shared" si="248"/>
        <v>0</v>
      </c>
      <c r="AC334" s="318">
        <f t="shared" si="249"/>
        <v>0</v>
      </c>
      <c r="AD334" s="318">
        <f t="shared" si="230"/>
        <v>0</v>
      </c>
      <c r="AE334" s="318">
        <f t="shared" si="231"/>
        <v>0</v>
      </c>
      <c r="AF334" s="318">
        <f t="shared" si="267"/>
        <v>0</v>
      </c>
      <c r="AG334" s="318">
        <f t="shared" si="268"/>
        <v>0</v>
      </c>
      <c r="AH334" s="318">
        <f t="shared" si="250"/>
        <v>0</v>
      </c>
      <c r="AI334" s="318">
        <f t="shared" si="251"/>
        <v>0</v>
      </c>
      <c r="AJ334" s="318">
        <f t="shared" si="252"/>
        <v>0</v>
      </c>
      <c r="AK334" s="318">
        <f t="shared" si="253"/>
        <v>0</v>
      </c>
      <c r="AL334" s="318">
        <f t="shared" si="254"/>
        <v>0</v>
      </c>
      <c r="AM334" s="318">
        <f t="shared" si="255"/>
        <v>0</v>
      </c>
      <c r="AN334" s="318">
        <f t="shared" si="256"/>
        <v>0</v>
      </c>
      <c r="AO334" s="318">
        <f t="shared" si="257"/>
        <v>0</v>
      </c>
      <c r="AP334" s="318">
        <f t="shared" si="258"/>
        <v>0</v>
      </c>
      <c r="AQ334" s="318">
        <f t="shared" si="259"/>
        <v>0</v>
      </c>
      <c r="AR334" s="318">
        <f t="shared" si="232"/>
        <v>0</v>
      </c>
      <c r="AS334" s="318">
        <f t="shared" si="233"/>
        <v>0</v>
      </c>
      <c r="AT334" s="318">
        <f t="shared" si="260"/>
        <v>0</v>
      </c>
      <c r="AU334" s="318">
        <f t="shared" si="261"/>
        <v>0</v>
      </c>
      <c r="AV334" s="318">
        <f t="shared" si="262"/>
        <v>0</v>
      </c>
      <c r="AW334" s="318">
        <f t="shared" si="263"/>
        <v>0</v>
      </c>
      <c r="AX334" s="318">
        <f t="shared" si="234"/>
        <v>0</v>
      </c>
      <c r="AY334" s="318">
        <f t="shared" si="235"/>
        <v>0</v>
      </c>
      <c r="AZ334" s="318">
        <f t="shared" si="236"/>
        <v>0</v>
      </c>
      <c r="BA334" s="318">
        <f t="shared" si="237"/>
        <v>0</v>
      </c>
    </row>
    <row r="335" spans="1:53" s="315" customFormat="1" ht="16.5" customHeight="1">
      <c r="A335" s="63" t="str">
        <f t="array" ref="A335">IF(C335&lt;&gt;0,SUM(($C$11:C335&lt;&gt;0)*1),"")</f>
        <v/>
      </c>
      <c r="B335" s="316"/>
      <c r="C335" s="316"/>
      <c r="D335" s="316"/>
      <c r="E335" s="436"/>
      <c r="F335" s="372"/>
      <c r="G335" s="374"/>
      <c r="H335" s="374"/>
      <c r="I335" s="63" t="str">
        <f t="shared" si="264"/>
        <v/>
      </c>
      <c r="J335" s="318">
        <f t="shared" si="226"/>
        <v>0</v>
      </c>
      <c r="K335" s="318">
        <f t="shared" si="227"/>
        <v>0</v>
      </c>
      <c r="L335" s="318">
        <f t="shared" si="238"/>
        <v>0</v>
      </c>
      <c r="M335" s="318">
        <f t="shared" si="239"/>
        <v>0</v>
      </c>
      <c r="N335" s="318">
        <f t="shared" si="265"/>
        <v>0</v>
      </c>
      <c r="O335" s="318">
        <f t="shared" si="266"/>
        <v>0</v>
      </c>
      <c r="P335" s="318">
        <f t="shared" si="240"/>
        <v>0</v>
      </c>
      <c r="Q335" s="318">
        <f t="shared" si="241"/>
        <v>0</v>
      </c>
      <c r="R335" s="318">
        <f t="shared" si="242"/>
        <v>0</v>
      </c>
      <c r="S335" s="318">
        <f t="shared" si="243"/>
        <v>0</v>
      </c>
      <c r="T335" s="318">
        <f t="shared" si="222"/>
        <v>0</v>
      </c>
      <c r="U335" s="318">
        <f t="shared" si="223"/>
        <v>0</v>
      </c>
      <c r="V335" s="318">
        <f t="shared" si="244"/>
        <v>0</v>
      </c>
      <c r="W335" s="318">
        <f t="shared" si="245"/>
        <v>0</v>
      </c>
      <c r="X335" s="318">
        <f t="shared" si="246"/>
        <v>0</v>
      </c>
      <c r="Y335" s="318">
        <f t="shared" si="247"/>
        <v>0</v>
      </c>
      <c r="Z335" s="318">
        <f t="shared" si="228"/>
        <v>0</v>
      </c>
      <c r="AA335" s="318">
        <f t="shared" si="229"/>
        <v>0</v>
      </c>
      <c r="AB335" s="318">
        <f t="shared" si="248"/>
        <v>0</v>
      </c>
      <c r="AC335" s="318">
        <f t="shared" si="249"/>
        <v>0</v>
      </c>
      <c r="AD335" s="318">
        <f t="shared" si="230"/>
        <v>0</v>
      </c>
      <c r="AE335" s="318">
        <f t="shared" si="231"/>
        <v>0</v>
      </c>
      <c r="AF335" s="318">
        <f t="shared" si="267"/>
        <v>0</v>
      </c>
      <c r="AG335" s="318">
        <f t="shared" si="268"/>
        <v>0</v>
      </c>
      <c r="AH335" s="318">
        <f t="shared" si="250"/>
        <v>0</v>
      </c>
      <c r="AI335" s="318">
        <f t="shared" si="251"/>
        <v>0</v>
      </c>
      <c r="AJ335" s="318">
        <f t="shared" si="252"/>
        <v>0</v>
      </c>
      <c r="AK335" s="318">
        <f t="shared" si="253"/>
        <v>0</v>
      </c>
      <c r="AL335" s="318">
        <f t="shared" si="254"/>
        <v>0</v>
      </c>
      <c r="AM335" s="318">
        <f t="shared" si="255"/>
        <v>0</v>
      </c>
      <c r="AN335" s="318">
        <f t="shared" si="256"/>
        <v>0</v>
      </c>
      <c r="AO335" s="318">
        <f t="shared" si="257"/>
        <v>0</v>
      </c>
      <c r="AP335" s="318">
        <f t="shared" si="258"/>
        <v>0</v>
      </c>
      <c r="AQ335" s="318">
        <f t="shared" si="259"/>
        <v>0</v>
      </c>
      <c r="AR335" s="318">
        <f t="shared" si="232"/>
        <v>0</v>
      </c>
      <c r="AS335" s="318">
        <f t="shared" si="233"/>
        <v>0</v>
      </c>
      <c r="AT335" s="318">
        <f t="shared" si="260"/>
        <v>0</v>
      </c>
      <c r="AU335" s="318">
        <f t="shared" si="261"/>
        <v>0</v>
      </c>
      <c r="AV335" s="318">
        <f t="shared" si="262"/>
        <v>0</v>
      </c>
      <c r="AW335" s="318">
        <f t="shared" si="263"/>
        <v>0</v>
      </c>
      <c r="AX335" s="318">
        <f t="shared" si="234"/>
        <v>0</v>
      </c>
      <c r="AY335" s="318">
        <f t="shared" si="235"/>
        <v>0</v>
      </c>
      <c r="AZ335" s="318">
        <f t="shared" si="236"/>
        <v>0</v>
      </c>
      <c r="BA335" s="318">
        <f t="shared" si="237"/>
        <v>0</v>
      </c>
    </row>
    <row r="336" spans="1:53" s="315" customFormat="1" ht="16.5" customHeight="1">
      <c r="A336" s="63" t="str">
        <f t="array" ref="A336">IF(C336&lt;&gt;0,SUM(($C$11:C336&lt;&gt;0)*1),"")</f>
        <v/>
      </c>
      <c r="B336" s="316"/>
      <c r="C336" s="316"/>
      <c r="D336" s="316"/>
      <c r="E336" s="436"/>
      <c r="F336" s="372"/>
      <c r="G336" s="374"/>
      <c r="H336" s="374"/>
      <c r="I336" s="63" t="str">
        <f t="shared" si="264"/>
        <v/>
      </c>
      <c r="J336" s="318">
        <f t="shared" si="226"/>
        <v>0</v>
      </c>
      <c r="K336" s="318">
        <f t="shared" si="227"/>
        <v>0</v>
      </c>
      <c r="L336" s="318">
        <f t="shared" si="238"/>
        <v>0</v>
      </c>
      <c r="M336" s="318">
        <f t="shared" si="239"/>
        <v>0</v>
      </c>
      <c r="N336" s="318">
        <f t="shared" si="265"/>
        <v>0</v>
      </c>
      <c r="O336" s="318">
        <f t="shared" si="266"/>
        <v>0</v>
      </c>
      <c r="P336" s="318">
        <f t="shared" si="240"/>
        <v>0</v>
      </c>
      <c r="Q336" s="318">
        <f t="shared" si="241"/>
        <v>0</v>
      </c>
      <c r="R336" s="318">
        <f t="shared" si="242"/>
        <v>0</v>
      </c>
      <c r="S336" s="318">
        <f t="shared" si="243"/>
        <v>0</v>
      </c>
      <c r="T336" s="318">
        <f t="shared" si="222"/>
        <v>0</v>
      </c>
      <c r="U336" s="318">
        <f t="shared" si="223"/>
        <v>0</v>
      </c>
      <c r="V336" s="318">
        <f t="shared" si="244"/>
        <v>0</v>
      </c>
      <c r="W336" s="318">
        <f t="shared" si="245"/>
        <v>0</v>
      </c>
      <c r="X336" s="318">
        <f t="shared" si="246"/>
        <v>0</v>
      </c>
      <c r="Y336" s="318">
        <f t="shared" si="247"/>
        <v>0</v>
      </c>
      <c r="Z336" s="318">
        <f t="shared" si="228"/>
        <v>0</v>
      </c>
      <c r="AA336" s="318">
        <f t="shared" si="229"/>
        <v>0</v>
      </c>
      <c r="AB336" s="318">
        <f t="shared" si="248"/>
        <v>0</v>
      </c>
      <c r="AC336" s="318">
        <f t="shared" si="249"/>
        <v>0</v>
      </c>
      <c r="AD336" s="318">
        <f t="shared" si="230"/>
        <v>0</v>
      </c>
      <c r="AE336" s="318">
        <f t="shared" si="231"/>
        <v>0</v>
      </c>
      <c r="AF336" s="318">
        <f t="shared" si="267"/>
        <v>0</v>
      </c>
      <c r="AG336" s="318">
        <f t="shared" si="268"/>
        <v>0</v>
      </c>
      <c r="AH336" s="318">
        <f t="shared" si="250"/>
        <v>0</v>
      </c>
      <c r="AI336" s="318">
        <f t="shared" si="251"/>
        <v>0</v>
      </c>
      <c r="AJ336" s="318">
        <f t="shared" si="252"/>
        <v>0</v>
      </c>
      <c r="AK336" s="318">
        <f t="shared" si="253"/>
        <v>0</v>
      </c>
      <c r="AL336" s="318">
        <f t="shared" si="254"/>
        <v>0</v>
      </c>
      <c r="AM336" s="318">
        <f t="shared" si="255"/>
        <v>0</v>
      </c>
      <c r="AN336" s="318">
        <f t="shared" si="256"/>
        <v>0</v>
      </c>
      <c r="AO336" s="318">
        <f t="shared" si="257"/>
        <v>0</v>
      </c>
      <c r="AP336" s="318">
        <f t="shared" si="258"/>
        <v>0</v>
      </c>
      <c r="AQ336" s="318">
        <f t="shared" si="259"/>
        <v>0</v>
      </c>
      <c r="AR336" s="318">
        <f t="shared" si="232"/>
        <v>0</v>
      </c>
      <c r="AS336" s="318">
        <f t="shared" si="233"/>
        <v>0</v>
      </c>
      <c r="AT336" s="318">
        <f t="shared" si="260"/>
        <v>0</v>
      </c>
      <c r="AU336" s="318">
        <f t="shared" si="261"/>
        <v>0</v>
      </c>
      <c r="AV336" s="318">
        <f t="shared" si="262"/>
        <v>0</v>
      </c>
      <c r="AW336" s="318">
        <f t="shared" si="263"/>
        <v>0</v>
      </c>
      <c r="AX336" s="318">
        <f t="shared" si="234"/>
        <v>0</v>
      </c>
      <c r="AY336" s="318">
        <f t="shared" si="235"/>
        <v>0</v>
      </c>
      <c r="AZ336" s="318">
        <f t="shared" si="236"/>
        <v>0</v>
      </c>
      <c r="BA336" s="318">
        <f t="shared" si="237"/>
        <v>0</v>
      </c>
    </row>
    <row r="337" spans="1:53" s="315" customFormat="1" ht="16.5" customHeight="1">
      <c r="A337" s="63" t="str">
        <f t="array" ref="A337">IF(C337&lt;&gt;0,SUM(($C$11:C337&lt;&gt;0)*1),"")</f>
        <v/>
      </c>
      <c r="B337" s="316"/>
      <c r="C337" s="316"/>
      <c r="D337" s="316"/>
      <c r="E337" s="436"/>
      <c r="F337" s="372"/>
      <c r="G337" s="374"/>
      <c r="H337" s="374"/>
      <c r="I337" s="63" t="str">
        <f t="shared" si="264"/>
        <v/>
      </c>
      <c r="J337" s="318">
        <f t="shared" si="226"/>
        <v>0</v>
      </c>
      <c r="K337" s="318">
        <f t="shared" si="227"/>
        <v>0</v>
      </c>
      <c r="L337" s="318">
        <f t="shared" si="238"/>
        <v>0</v>
      </c>
      <c r="M337" s="318">
        <f t="shared" si="239"/>
        <v>0</v>
      </c>
      <c r="N337" s="318">
        <f t="shared" si="265"/>
        <v>0</v>
      </c>
      <c r="O337" s="318">
        <f t="shared" si="266"/>
        <v>0</v>
      </c>
      <c r="P337" s="318">
        <f t="shared" si="240"/>
        <v>0</v>
      </c>
      <c r="Q337" s="318">
        <f t="shared" si="241"/>
        <v>0</v>
      </c>
      <c r="R337" s="318">
        <f t="shared" si="242"/>
        <v>0</v>
      </c>
      <c r="S337" s="318">
        <f t="shared" si="243"/>
        <v>0</v>
      </c>
      <c r="T337" s="318">
        <f t="shared" si="222"/>
        <v>0</v>
      </c>
      <c r="U337" s="318">
        <f t="shared" si="223"/>
        <v>0</v>
      </c>
      <c r="V337" s="318">
        <f t="shared" si="244"/>
        <v>0</v>
      </c>
      <c r="W337" s="318">
        <f t="shared" si="245"/>
        <v>0</v>
      </c>
      <c r="X337" s="318">
        <f t="shared" si="246"/>
        <v>0</v>
      </c>
      <c r="Y337" s="318">
        <f t="shared" si="247"/>
        <v>0</v>
      </c>
      <c r="Z337" s="318">
        <f t="shared" si="228"/>
        <v>0</v>
      </c>
      <c r="AA337" s="318">
        <f t="shared" si="229"/>
        <v>0</v>
      </c>
      <c r="AB337" s="318">
        <f t="shared" si="248"/>
        <v>0</v>
      </c>
      <c r="AC337" s="318">
        <f t="shared" si="249"/>
        <v>0</v>
      </c>
      <c r="AD337" s="318">
        <f t="shared" si="230"/>
        <v>0</v>
      </c>
      <c r="AE337" s="318">
        <f t="shared" si="231"/>
        <v>0</v>
      </c>
      <c r="AF337" s="318">
        <f t="shared" si="267"/>
        <v>0</v>
      </c>
      <c r="AG337" s="318">
        <f t="shared" si="268"/>
        <v>0</v>
      </c>
      <c r="AH337" s="318">
        <f t="shared" si="250"/>
        <v>0</v>
      </c>
      <c r="AI337" s="318">
        <f t="shared" si="251"/>
        <v>0</v>
      </c>
      <c r="AJ337" s="318">
        <f t="shared" si="252"/>
        <v>0</v>
      </c>
      <c r="AK337" s="318">
        <f t="shared" si="253"/>
        <v>0</v>
      </c>
      <c r="AL337" s="318">
        <f t="shared" si="254"/>
        <v>0</v>
      </c>
      <c r="AM337" s="318">
        <f t="shared" si="255"/>
        <v>0</v>
      </c>
      <c r="AN337" s="318">
        <f t="shared" si="256"/>
        <v>0</v>
      </c>
      <c r="AO337" s="318">
        <f t="shared" si="257"/>
        <v>0</v>
      </c>
      <c r="AP337" s="318">
        <f t="shared" si="258"/>
        <v>0</v>
      </c>
      <c r="AQ337" s="318">
        <f t="shared" si="259"/>
        <v>0</v>
      </c>
      <c r="AR337" s="318">
        <f t="shared" si="232"/>
        <v>0</v>
      </c>
      <c r="AS337" s="318">
        <f t="shared" si="233"/>
        <v>0</v>
      </c>
      <c r="AT337" s="318">
        <f t="shared" si="260"/>
        <v>0</v>
      </c>
      <c r="AU337" s="318">
        <f t="shared" si="261"/>
        <v>0</v>
      </c>
      <c r="AV337" s="318">
        <f t="shared" si="262"/>
        <v>0</v>
      </c>
      <c r="AW337" s="318">
        <f t="shared" si="263"/>
        <v>0</v>
      </c>
      <c r="AX337" s="318">
        <f t="shared" si="234"/>
        <v>0</v>
      </c>
      <c r="AY337" s="318">
        <f t="shared" si="235"/>
        <v>0</v>
      </c>
      <c r="AZ337" s="318">
        <f t="shared" si="236"/>
        <v>0</v>
      </c>
      <c r="BA337" s="318">
        <f t="shared" si="237"/>
        <v>0</v>
      </c>
    </row>
    <row r="338" spans="1:53" s="315" customFormat="1" ht="16.5" customHeight="1">
      <c r="A338" s="63" t="str">
        <f t="array" ref="A338">IF(C338&lt;&gt;0,SUM(($C$11:C338&lt;&gt;0)*1),"")</f>
        <v/>
      </c>
      <c r="B338" s="316"/>
      <c r="C338" s="316"/>
      <c r="D338" s="316"/>
      <c r="E338" s="436"/>
      <c r="F338" s="372"/>
      <c r="G338" s="374"/>
      <c r="H338" s="374"/>
      <c r="I338" s="63" t="str">
        <f t="shared" si="264"/>
        <v/>
      </c>
      <c r="J338" s="318">
        <f t="shared" si="226"/>
        <v>0</v>
      </c>
      <c r="K338" s="318">
        <f t="shared" si="227"/>
        <v>0</v>
      </c>
      <c r="L338" s="318">
        <f t="shared" si="238"/>
        <v>0</v>
      </c>
      <c r="M338" s="318">
        <f t="shared" si="239"/>
        <v>0</v>
      </c>
      <c r="N338" s="318">
        <f t="shared" si="265"/>
        <v>0</v>
      </c>
      <c r="O338" s="318">
        <f t="shared" si="266"/>
        <v>0</v>
      </c>
      <c r="P338" s="318">
        <f t="shared" si="240"/>
        <v>0</v>
      </c>
      <c r="Q338" s="318">
        <f t="shared" si="241"/>
        <v>0</v>
      </c>
      <c r="R338" s="318">
        <f t="shared" si="242"/>
        <v>0</v>
      </c>
      <c r="S338" s="318">
        <f t="shared" si="243"/>
        <v>0</v>
      </c>
      <c r="T338" s="318">
        <f t="shared" si="222"/>
        <v>0</v>
      </c>
      <c r="U338" s="318">
        <f t="shared" si="223"/>
        <v>0</v>
      </c>
      <c r="V338" s="318">
        <f t="shared" si="244"/>
        <v>0</v>
      </c>
      <c r="W338" s="318">
        <f t="shared" si="245"/>
        <v>0</v>
      </c>
      <c r="X338" s="318">
        <f t="shared" si="246"/>
        <v>0</v>
      </c>
      <c r="Y338" s="318">
        <f t="shared" si="247"/>
        <v>0</v>
      </c>
      <c r="Z338" s="318">
        <f t="shared" si="228"/>
        <v>0</v>
      </c>
      <c r="AA338" s="318">
        <f t="shared" si="229"/>
        <v>0</v>
      </c>
      <c r="AB338" s="318">
        <f t="shared" si="248"/>
        <v>0</v>
      </c>
      <c r="AC338" s="318">
        <f t="shared" si="249"/>
        <v>0</v>
      </c>
      <c r="AD338" s="318">
        <f t="shared" si="230"/>
        <v>0</v>
      </c>
      <c r="AE338" s="318">
        <f t="shared" si="231"/>
        <v>0</v>
      </c>
      <c r="AF338" s="318">
        <f t="shared" si="267"/>
        <v>0</v>
      </c>
      <c r="AG338" s="318">
        <f t="shared" si="268"/>
        <v>0</v>
      </c>
      <c r="AH338" s="318">
        <f t="shared" si="250"/>
        <v>0</v>
      </c>
      <c r="AI338" s="318">
        <f t="shared" si="251"/>
        <v>0</v>
      </c>
      <c r="AJ338" s="318">
        <f t="shared" si="252"/>
        <v>0</v>
      </c>
      <c r="AK338" s="318">
        <f t="shared" si="253"/>
        <v>0</v>
      </c>
      <c r="AL338" s="318">
        <f t="shared" si="254"/>
        <v>0</v>
      </c>
      <c r="AM338" s="318">
        <f t="shared" si="255"/>
        <v>0</v>
      </c>
      <c r="AN338" s="318">
        <f t="shared" si="256"/>
        <v>0</v>
      </c>
      <c r="AO338" s="318">
        <f t="shared" si="257"/>
        <v>0</v>
      </c>
      <c r="AP338" s="318">
        <f t="shared" si="258"/>
        <v>0</v>
      </c>
      <c r="AQ338" s="318">
        <f t="shared" si="259"/>
        <v>0</v>
      </c>
      <c r="AR338" s="318">
        <f t="shared" si="232"/>
        <v>0</v>
      </c>
      <c r="AS338" s="318">
        <f t="shared" si="233"/>
        <v>0</v>
      </c>
      <c r="AT338" s="318">
        <f t="shared" si="260"/>
        <v>0</v>
      </c>
      <c r="AU338" s="318">
        <f t="shared" si="261"/>
        <v>0</v>
      </c>
      <c r="AV338" s="318">
        <f t="shared" si="262"/>
        <v>0</v>
      </c>
      <c r="AW338" s="318">
        <f t="shared" si="263"/>
        <v>0</v>
      </c>
      <c r="AX338" s="318">
        <f t="shared" si="234"/>
        <v>0</v>
      </c>
      <c r="AY338" s="318">
        <f t="shared" si="235"/>
        <v>0</v>
      </c>
      <c r="AZ338" s="318">
        <f t="shared" si="236"/>
        <v>0</v>
      </c>
      <c r="BA338" s="318">
        <f t="shared" si="237"/>
        <v>0</v>
      </c>
    </row>
    <row r="339" spans="1:53" s="315" customFormat="1" ht="16.5" customHeight="1">
      <c r="A339" s="63" t="str">
        <f t="array" ref="A339">IF(C339&lt;&gt;0,SUM(($C$11:C339&lt;&gt;0)*1),"")</f>
        <v/>
      </c>
      <c r="B339" s="316"/>
      <c r="C339" s="316"/>
      <c r="D339" s="316"/>
      <c r="E339" s="436"/>
      <c r="F339" s="372"/>
      <c r="G339" s="374"/>
      <c r="H339" s="374"/>
      <c r="I339" s="63" t="str">
        <f t="shared" si="264"/>
        <v/>
      </c>
      <c r="J339" s="318">
        <f t="shared" si="226"/>
        <v>0</v>
      </c>
      <c r="K339" s="318">
        <f t="shared" si="227"/>
        <v>0</v>
      </c>
      <c r="L339" s="318">
        <f t="shared" si="238"/>
        <v>0</v>
      </c>
      <c r="M339" s="318">
        <f t="shared" si="239"/>
        <v>0</v>
      </c>
      <c r="N339" s="318">
        <f t="shared" si="265"/>
        <v>0</v>
      </c>
      <c r="O339" s="318">
        <f t="shared" si="266"/>
        <v>0</v>
      </c>
      <c r="P339" s="318">
        <f t="shared" si="240"/>
        <v>0</v>
      </c>
      <c r="Q339" s="318">
        <f t="shared" si="241"/>
        <v>0</v>
      </c>
      <c r="R339" s="318">
        <f t="shared" si="242"/>
        <v>0</v>
      </c>
      <c r="S339" s="318">
        <f t="shared" si="243"/>
        <v>0</v>
      </c>
      <c r="T339" s="318">
        <f t="shared" si="222"/>
        <v>0</v>
      </c>
      <c r="U339" s="318">
        <f t="shared" si="223"/>
        <v>0</v>
      </c>
      <c r="V339" s="318">
        <f t="shared" si="244"/>
        <v>0</v>
      </c>
      <c r="W339" s="318">
        <f t="shared" si="245"/>
        <v>0</v>
      </c>
      <c r="X339" s="318">
        <f t="shared" si="246"/>
        <v>0</v>
      </c>
      <c r="Y339" s="318">
        <f t="shared" si="247"/>
        <v>0</v>
      </c>
      <c r="Z339" s="318">
        <f t="shared" si="228"/>
        <v>0</v>
      </c>
      <c r="AA339" s="318">
        <f t="shared" si="229"/>
        <v>0</v>
      </c>
      <c r="AB339" s="318">
        <f t="shared" si="248"/>
        <v>0</v>
      </c>
      <c r="AC339" s="318">
        <f t="shared" si="249"/>
        <v>0</v>
      </c>
      <c r="AD339" s="318">
        <f t="shared" si="230"/>
        <v>0</v>
      </c>
      <c r="AE339" s="318">
        <f t="shared" si="231"/>
        <v>0</v>
      </c>
      <c r="AF339" s="318">
        <f t="shared" si="267"/>
        <v>0</v>
      </c>
      <c r="AG339" s="318">
        <f t="shared" si="268"/>
        <v>0</v>
      </c>
      <c r="AH339" s="318">
        <f t="shared" si="250"/>
        <v>0</v>
      </c>
      <c r="AI339" s="318">
        <f t="shared" si="251"/>
        <v>0</v>
      </c>
      <c r="AJ339" s="318">
        <f t="shared" si="252"/>
        <v>0</v>
      </c>
      <c r="AK339" s="318">
        <f t="shared" si="253"/>
        <v>0</v>
      </c>
      <c r="AL339" s="318">
        <f t="shared" si="254"/>
        <v>0</v>
      </c>
      <c r="AM339" s="318">
        <f t="shared" si="255"/>
        <v>0</v>
      </c>
      <c r="AN339" s="318">
        <f t="shared" si="256"/>
        <v>0</v>
      </c>
      <c r="AO339" s="318">
        <f t="shared" si="257"/>
        <v>0</v>
      </c>
      <c r="AP339" s="318">
        <f t="shared" si="258"/>
        <v>0</v>
      </c>
      <c r="AQ339" s="318">
        <f t="shared" si="259"/>
        <v>0</v>
      </c>
      <c r="AR339" s="318">
        <f t="shared" si="232"/>
        <v>0</v>
      </c>
      <c r="AS339" s="318">
        <f t="shared" si="233"/>
        <v>0</v>
      </c>
      <c r="AT339" s="318">
        <f t="shared" si="260"/>
        <v>0</v>
      </c>
      <c r="AU339" s="318">
        <f t="shared" si="261"/>
        <v>0</v>
      </c>
      <c r="AV339" s="318">
        <f t="shared" si="262"/>
        <v>0</v>
      </c>
      <c r="AW339" s="318">
        <f t="shared" si="263"/>
        <v>0</v>
      </c>
      <c r="AX339" s="318">
        <f t="shared" si="234"/>
        <v>0</v>
      </c>
      <c r="AY339" s="318">
        <f t="shared" si="235"/>
        <v>0</v>
      </c>
      <c r="AZ339" s="318">
        <f t="shared" si="236"/>
        <v>0</v>
      </c>
      <c r="BA339" s="318">
        <f t="shared" si="237"/>
        <v>0</v>
      </c>
    </row>
    <row r="340" spans="1:53" s="315" customFormat="1" ht="16.5" customHeight="1">
      <c r="A340" s="63" t="str">
        <f t="array" ref="A340">IF(C340&lt;&gt;0,SUM(($C$11:C340&lt;&gt;0)*1),"")</f>
        <v/>
      </c>
      <c r="B340" s="316"/>
      <c r="C340" s="316"/>
      <c r="D340" s="316"/>
      <c r="E340" s="436"/>
      <c r="F340" s="372"/>
      <c r="G340" s="374"/>
      <c r="H340" s="374"/>
      <c r="I340" s="63" t="str">
        <f t="shared" si="264"/>
        <v/>
      </c>
      <c r="J340" s="318">
        <f t="shared" si="226"/>
        <v>0</v>
      </c>
      <c r="K340" s="318">
        <f t="shared" si="227"/>
        <v>0</v>
      </c>
      <c r="L340" s="318">
        <f t="shared" si="238"/>
        <v>0</v>
      </c>
      <c r="M340" s="318">
        <f t="shared" si="239"/>
        <v>0</v>
      </c>
      <c r="N340" s="318">
        <f t="shared" si="265"/>
        <v>0</v>
      </c>
      <c r="O340" s="318">
        <f t="shared" si="266"/>
        <v>0</v>
      </c>
      <c r="P340" s="318">
        <f t="shared" si="240"/>
        <v>0</v>
      </c>
      <c r="Q340" s="318">
        <f t="shared" si="241"/>
        <v>0</v>
      </c>
      <c r="R340" s="318">
        <f t="shared" si="242"/>
        <v>0</v>
      </c>
      <c r="S340" s="318">
        <f t="shared" si="243"/>
        <v>0</v>
      </c>
      <c r="T340" s="318">
        <f t="shared" si="222"/>
        <v>0</v>
      </c>
      <c r="U340" s="318">
        <f t="shared" si="223"/>
        <v>0</v>
      </c>
      <c r="V340" s="318">
        <f t="shared" si="244"/>
        <v>0</v>
      </c>
      <c r="W340" s="318">
        <f t="shared" si="245"/>
        <v>0</v>
      </c>
      <c r="X340" s="318">
        <f t="shared" si="246"/>
        <v>0</v>
      </c>
      <c r="Y340" s="318">
        <f t="shared" si="247"/>
        <v>0</v>
      </c>
      <c r="Z340" s="318">
        <f t="shared" si="228"/>
        <v>0</v>
      </c>
      <c r="AA340" s="318">
        <f t="shared" si="229"/>
        <v>0</v>
      </c>
      <c r="AB340" s="318">
        <f t="shared" si="248"/>
        <v>0</v>
      </c>
      <c r="AC340" s="318">
        <f t="shared" si="249"/>
        <v>0</v>
      </c>
      <c r="AD340" s="318">
        <f t="shared" si="230"/>
        <v>0</v>
      </c>
      <c r="AE340" s="318">
        <f t="shared" si="231"/>
        <v>0</v>
      </c>
      <c r="AF340" s="318">
        <f t="shared" si="267"/>
        <v>0</v>
      </c>
      <c r="AG340" s="318">
        <f t="shared" si="268"/>
        <v>0</v>
      </c>
      <c r="AH340" s="318">
        <f t="shared" si="250"/>
        <v>0</v>
      </c>
      <c r="AI340" s="318">
        <f t="shared" si="251"/>
        <v>0</v>
      </c>
      <c r="AJ340" s="318">
        <f t="shared" si="252"/>
        <v>0</v>
      </c>
      <c r="AK340" s="318">
        <f t="shared" si="253"/>
        <v>0</v>
      </c>
      <c r="AL340" s="318">
        <f t="shared" si="254"/>
        <v>0</v>
      </c>
      <c r="AM340" s="318">
        <f t="shared" si="255"/>
        <v>0</v>
      </c>
      <c r="AN340" s="318">
        <f t="shared" si="256"/>
        <v>0</v>
      </c>
      <c r="AO340" s="318">
        <f t="shared" si="257"/>
        <v>0</v>
      </c>
      <c r="AP340" s="318">
        <f t="shared" si="258"/>
        <v>0</v>
      </c>
      <c r="AQ340" s="318">
        <f t="shared" si="259"/>
        <v>0</v>
      </c>
      <c r="AR340" s="318">
        <f t="shared" si="232"/>
        <v>0</v>
      </c>
      <c r="AS340" s="318">
        <f t="shared" si="233"/>
        <v>0</v>
      </c>
      <c r="AT340" s="318">
        <f t="shared" si="260"/>
        <v>0</v>
      </c>
      <c r="AU340" s="318">
        <f t="shared" si="261"/>
        <v>0</v>
      </c>
      <c r="AV340" s="318">
        <f t="shared" si="262"/>
        <v>0</v>
      </c>
      <c r="AW340" s="318">
        <f t="shared" si="263"/>
        <v>0</v>
      </c>
      <c r="AX340" s="318">
        <f t="shared" si="234"/>
        <v>0</v>
      </c>
      <c r="AY340" s="318">
        <f t="shared" si="235"/>
        <v>0</v>
      </c>
      <c r="AZ340" s="318">
        <f t="shared" si="236"/>
        <v>0</v>
      </c>
      <c r="BA340" s="318">
        <f t="shared" si="237"/>
        <v>0</v>
      </c>
    </row>
    <row r="341" spans="1:53" s="315" customFormat="1" ht="16.5" customHeight="1">
      <c r="A341" s="63" t="str">
        <f t="array" ref="A341">IF(C341&lt;&gt;0,SUM(($C$11:C341&lt;&gt;0)*1),"")</f>
        <v/>
      </c>
      <c r="B341" s="316"/>
      <c r="C341" s="316"/>
      <c r="D341" s="316"/>
      <c r="E341" s="436"/>
      <c r="F341" s="372"/>
      <c r="G341" s="374"/>
      <c r="H341" s="374"/>
      <c r="I341" s="63" t="str">
        <f t="shared" si="264"/>
        <v/>
      </c>
      <c r="J341" s="318">
        <f t="shared" si="226"/>
        <v>0</v>
      </c>
      <c r="K341" s="318">
        <f t="shared" si="227"/>
        <v>0</v>
      </c>
      <c r="L341" s="318">
        <f t="shared" si="238"/>
        <v>0</v>
      </c>
      <c r="M341" s="318">
        <f t="shared" si="239"/>
        <v>0</v>
      </c>
      <c r="N341" s="318">
        <f t="shared" si="265"/>
        <v>0</v>
      </c>
      <c r="O341" s="318">
        <f t="shared" si="266"/>
        <v>0</v>
      </c>
      <c r="P341" s="318">
        <f t="shared" si="240"/>
        <v>0</v>
      </c>
      <c r="Q341" s="318">
        <f t="shared" si="241"/>
        <v>0</v>
      </c>
      <c r="R341" s="318">
        <f t="shared" si="242"/>
        <v>0</v>
      </c>
      <c r="S341" s="318">
        <f t="shared" si="243"/>
        <v>0</v>
      </c>
      <c r="T341" s="318">
        <f t="shared" si="222"/>
        <v>0</v>
      </c>
      <c r="U341" s="318">
        <f t="shared" si="223"/>
        <v>0</v>
      </c>
      <c r="V341" s="318">
        <f t="shared" si="244"/>
        <v>0</v>
      </c>
      <c r="W341" s="318">
        <f t="shared" si="245"/>
        <v>0</v>
      </c>
      <c r="X341" s="318">
        <f t="shared" si="246"/>
        <v>0</v>
      </c>
      <c r="Y341" s="318">
        <f t="shared" si="247"/>
        <v>0</v>
      </c>
      <c r="Z341" s="318">
        <f t="shared" si="228"/>
        <v>0</v>
      </c>
      <c r="AA341" s="318">
        <f t="shared" si="229"/>
        <v>0</v>
      </c>
      <c r="AB341" s="318">
        <f t="shared" si="248"/>
        <v>0</v>
      </c>
      <c r="AC341" s="318">
        <f t="shared" si="249"/>
        <v>0</v>
      </c>
      <c r="AD341" s="318">
        <f t="shared" si="230"/>
        <v>0</v>
      </c>
      <c r="AE341" s="318">
        <f t="shared" si="231"/>
        <v>0</v>
      </c>
      <c r="AF341" s="318">
        <f t="shared" si="267"/>
        <v>0</v>
      </c>
      <c r="AG341" s="318">
        <f t="shared" si="268"/>
        <v>0</v>
      </c>
      <c r="AH341" s="318">
        <f t="shared" si="250"/>
        <v>0</v>
      </c>
      <c r="AI341" s="318">
        <f t="shared" si="251"/>
        <v>0</v>
      </c>
      <c r="AJ341" s="318">
        <f t="shared" si="252"/>
        <v>0</v>
      </c>
      <c r="AK341" s="318">
        <f t="shared" si="253"/>
        <v>0</v>
      </c>
      <c r="AL341" s="318">
        <f t="shared" si="254"/>
        <v>0</v>
      </c>
      <c r="AM341" s="318">
        <f t="shared" si="255"/>
        <v>0</v>
      </c>
      <c r="AN341" s="318">
        <f t="shared" si="256"/>
        <v>0</v>
      </c>
      <c r="AO341" s="318">
        <f t="shared" si="257"/>
        <v>0</v>
      </c>
      <c r="AP341" s="318">
        <f t="shared" si="258"/>
        <v>0</v>
      </c>
      <c r="AQ341" s="318">
        <f t="shared" si="259"/>
        <v>0</v>
      </c>
      <c r="AR341" s="318">
        <f t="shared" si="232"/>
        <v>0</v>
      </c>
      <c r="AS341" s="318">
        <f t="shared" si="233"/>
        <v>0</v>
      </c>
      <c r="AT341" s="318">
        <f t="shared" si="260"/>
        <v>0</v>
      </c>
      <c r="AU341" s="318">
        <f t="shared" si="261"/>
        <v>0</v>
      </c>
      <c r="AV341" s="318">
        <f t="shared" si="262"/>
        <v>0</v>
      </c>
      <c r="AW341" s="318">
        <f t="shared" si="263"/>
        <v>0</v>
      </c>
      <c r="AX341" s="318">
        <f t="shared" si="234"/>
        <v>0</v>
      </c>
      <c r="AY341" s="318">
        <f t="shared" si="235"/>
        <v>0</v>
      </c>
      <c r="AZ341" s="318">
        <f t="shared" si="236"/>
        <v>0</v>
      </c>
      <c r="BA341" s="318">
        <f t="shared" si="237"/>
        <v>0</v>
      </c>
    </row>
    <row r="342" spans="1:53" s="315" customFormat="1" ht="16.5" customHeight="1">
      <c r="A342" s="63" t="str">
        <f t="array" ref="A342">IF(C342&lt;&gt;0,SUM(($C$11:C342&lt;&gt;0)*1),"")</f>
        <v/>
      </c>
      <c r="B342" s="316"/>
      <c r="C342" s="316"/>
      <c r="D342" s="316"/>
      <c r="E342" s="436"/>
      <c r="F342" s="372"/>
      <c r="G342" s="374"/>
      <c r="H342" s="374"/>
      <c r="I342" s="63" t="str">
        <f t="shared" si="264"/>
        <v/>
      </c>
      <c r="J342" s="318">
        <f t="shared" si="226"/>
        <v>0</v>
      </c>
      <c r="K342" s="318">
        <f t="shared" si="227"/>
        <v>0</v>
      </c>
      <c r="L342" s="318">
        <f t="shared" si="238"/>
        <v>0</v>
      </c>
      <c r="M342" s="318">
        <f t="shared" si="239"/>
        <v>0</v>
      </c>
      <c r="N342" s="318">
        <f t="shared" si="265"/>
        <v>0</v>
      </c>
      <c r="O342" s="318">
        <f t="shared" si="266"/>
        <v>0</v>
      </c>
      <c r="P342" s="318">
        <f t="shared" si="240"/>
        <v>0</v>
      </c>
      <c r="Q342" s="318">
        <f t="shared" si="241"/>
        <v>0</v>
      </c>
      <c r="R342" s="318">
        <f t="shared" si="242"/>
        <v>0</v>
      </c>
      <c r="S342" s="318">
        <f t="shared" si="243"/>
        <v>0</v>
      </c>
      <c r="T342" s="318">
        <f t="shared" si="222"/>
        <v>0</v>
      </c>
      <c r="U342" s="318">
        <f t="shared" si="223"/>
        <v>0</v>
      </c>
      <c r="V342" s="318">
        <f t="shared" si="244"/>
        <v>0</v>
      </c>
      <c r="W342" s="318">
        <f t="shared" si="245"/>
        <v>0</v>
      </c>
      <c r="X342" s="318">
        <f t="shared" si="246"/>
        <v>0</v>
      </c>
      <c r="Y342" s="318">
        <f t="shared" si="247"/>
        <v>0</v>
      </c>
      <c r="Z342" s="318">
        <f t="shared" si="228"/>
        <v>0</v>
      </c>
      <c r="AA342" s="318">
        <f t="shared" si="229"/>
        <v>0</v>
      </c>
      <c r="AB342" s="318">
        <f t="shared" si="248"/>
        <v>0</v>
      </c>
      <c r="AC342" s="318">
        <f t="shared" si="249"/>
        <v>0</v>
      </c>
      <c r="AD342" s="318">
        <f t="shared" si="230"/>
        <v>0</v>
      </c>
      <c r="AE342" s="318">
        <f t="shared" si="231"/>
        <v>0</v>
      </c>
      <c r="AF342" s="318">
        <f t="shared" si="267"/>
        <v>0</v>
      </c>
      <c r="AG342" s="318">
        <f t="shared" si="268"/>
        <v>0</v>
      </c>
      <c r="AH342" s="318">
        <f t="shared" si="250"/>
        <v>0</v>
      </c>
      <c r="AI342" s="318">
        <f t="shared" si="251"/>
        <v>0</v>
      </c>
      <c r="AJ342" s="318">
        <f t="shared" si="252"/>
        <v>0</v>
      </c>
      <c r="AK342" s="318">
        <f t="shared" si="253"/>
        <v>0</v>
      </c>
      <c r="AL342" s="318">
        <f t="shared" si="254"/>
        <v>0</v>
      </c>
      <c r="AM342" s="318">
        <f t="shared" si="255"/>
        <v>0</v>
      </c>
      <c r="AN342" s="318">
        <f t="shared" si="256"/>
        <v>0</v>
      </c>
      <c r="AO342" s="318">
        <f t="shared" si="257"/>
        <v>0</v>
      </c>
      <c r="AP342" s="318">
        <f t="shared" si="258"/>
        <v>0</v>
      </c>
      <c r="AQ342" s="318">
        <f t="shared" si="259"/>
        <v>0</v>
      </c>
      <c r="AR342" s="318">
        <f t="shared" si="232"/>
        <v>0</v>
      </c>
      <c r="AS342" s="318">
        <f t="shared" si="233"/>
        <v>0</v>
      </c>
      <c r="AT342" s="318">
        <f t="shared" si="260"/>
        <v>0</v>
      </c>
      <c r="AU342" s="318">
        <f t="shared" si="261"/>
        <v>0</v>
      </c>
      <c r="AV342" s="318">
        <f t="shared" si="262"/>
        <v>0</v>
      </c>
      <c r="AW342" s="318">
        <f t="shared" si="263"/>
        <v>0</v>
      </c>
      <c r="AX342" s="318">
        <f t="shared" si="234"/>
        <v>0</v>
      </c>
      <c r="AY342" s="318">
        <f t="shared" si="235"/>
        <v>0</v>
      </c>
      <c r="AZ342" s="318">
        <f t="shared" si="236"/>
        <v>0</v>
      </c>
      <c r="BA342" s="318">
        <f t="shared" si="237"/>
        <v>0</v>
      </c>
    </row>
    <row r="343" spans="1:53" s="315" customFormat="1" ht="16.5" customHeight="1">
      <c r="A343" s="63" t="str">
        <f t="array" ref="A343">IF(C343&lt;&gt;0,SUM(($C$11:C343&lt;&gt;0)*1),"")</f>
        <v/>
      </c>
      <c r="B343" s="316"/>
      <c r="C343" s="316"/>
      <c r="D343" s="316"/>
      <c r="E343" s="436"/>
      <c r="F343" s="372"/>
      <c r="G343" s="374"/>
      <c r="H343" s="374"/>
      <c r="I343" s="63" t="str">
        <f t="shared" si="264"/>
        <v/>
      </c>
      <c r="J343" s="318">
        <f t="shared" si="226"/>
        <v>0</v>
      </c>
      <c r="K343" s="318">
        <f t="shared" si="227"/>
        <v>0</v>
      </c>
      <c r="L343" s="318">
        <f t="shared" si="238"/>
        <v>0</v>
      </c>
      <c r="M343" s="318">
        <f t="shared" si="239"/>
        <v>0</v>
      </c>
      <c r="N343" s="318">
        <f t="shared" si="265"/>
        <v>0</v>
      </c>
      <c r="O343" s="318">
        <f t="shared" si="266"/>
        <v>0</v>
      </c>
      <c r="P343" s="318">
        <f t="shared" si="240"/>
        <v>0</v>
      </c>
      <c r="Q343" s="318">
        <f t="shared" si="241"/>
        <v>0</v>
      </c>
      <c r="R343" s="318">
        <f t="shared" si="242"/>
        <v>0</v>
      </c>
      <c r="S343" s="318">
        <f t="shared" si="243"/>
        <v>0</v>
      </c>
      <c r="T343" s="318">
        <f t="shared" si="222"/>
        <v>0</v>
      </c>
      <c r="U343" s="318">
        <f t="shared" si="223"/>
        <v>0</v>
      </c>
      <c r="V343" s="318">
        <f t="shared" si="244"/>
        <v>0</v>
      </c>
      <c r="W343" s="318">
        <f t="shared" si="245"/>
        <v>0</v>
      </c>
      <c r="X343" s="318">
        <f t="shared" si="246"/>
        <v>0</v>
      </c>
      <c r="Y343" s="318">
        <f t="shared" si="247"/>
        <v>0</v>
      </c>
      <c r="Z343" s="318">
        <f t="shared" si="228"/>
        <v>0</v>
      </c>
      <c r="AA343" s="318">
        <f t="shared" si="229"/>
        <v>0</v>
      </c>
      <c r="AB343" s="318">
        <f t="shared" si="248"/>
        <v>0</v>
      </c>
      <c r="AC343" s="318">
        <f t="shared" si="249"/>
        <v>0</v>
      </c>
      <c r="AD343" s="318">
        <f t="shared" si="230"/>
        <v>0</v>
      </c>
      <c r="AE343" s="318">
        <f t="shared" si="231"/>
        <v>0</v>
      </c>
      <c r="AF343" s="318">
        <f t="shared" si="267"/>
        <v>0</v>
      </c>
      <c r="AG343" s="318">
        <f t="shared" si="268"/>
        <v>0</v>
      </c>
      <c r="AH343" s="318">
        <f t="shared" si="250"/>
        <v>0</v>
      </c>
      <c r="AI343" s="318">
        <f t="shared" si="251"/>
        <v>0</v>
      </c>
      <c r="AJ343" s="318">
        <f t="shared" si="252"/>
        <v>0</v>
      </c>
      <c r="AK343" s="318">
        <f t="shared" si="253"/>
        <v>0</v>
      </c>
      <c r="AL343" s="318">
        <f t="shared" si="254"/>
        <v>0</v>
      </c>
      <c r="AM343" s="318">
        <f t="shared" si="255"/>
        <v>0</v>
      </c>
      <c r="AN343" s="318">
        <f t="shared" si="256"/>
        <v>0</v>
      </c>
      <c r="AO343" s="318">
        <f t="shared" si="257"/>
        <v>0</v>
      </c>
      <c r="AP343" s="318">
        <f t="shared" si="258"/>
        <v>0</v>
      </c>
      <c r="AQ343" s="318">
        <f t="shared" si="259"/>
        <v>0</v>
      </c>
      <c r="AR343" s="318">
        <f t="shared" si="232"/>
        <v>0</v>
      </c>
      <c r="AS343" s="318">
        <f t="shared" si="233"/>
        <v>0</v>
      </c>
      <c r="AT343" s="318">
        <f t="shared" si="260"/>
        <v>0</v>
      </c>
      <c r="AU343" s="318">
        <f t="shared" si="261"/>
        <v>0</v>
      </c>
      <c r="AV343" s="318">
        <f t="shared" si="262"/>
        <v>0</v>
      </c>
      <c r="AW343" s="318">
        <f t="shared" si="263"/>
        <v>0</v>
      </c>
      <c r="AX343" s="318">
        <f t="shared" si="234"/>
        <v>0</v>
      </c>
      <c r="AY343" s="318">
        <f t="shared" si="235"/>
        <v>0</v>
      </c>
      <c r="AZ343" s="318">
        <f t="shared" si="236"/>
        <v>0</v>
      </c>
      <c r="BA343" s="318">
        <f t="shared" si="237"/>
        <v>0</v>
      </c>
    </row>
    <row r="344" spans="1:53" s="315" customFormat="1" ht="16.5" customHeight="1">
      <c r="A344" s="63" t="str">
        <f t="array" ref="A344">IF(C344&lt;&gt;0,SUM(($C$11:C344&lt;&gt;0)*1),"")</f>
        <v/>
      </c>
      <c r="B344" s="316"/>
      <c r="C344" s="316"/>
      <c r="D344" s="316"/>
      <c r="E344" s="436"/>
      <c r="F344" s="372"/>
      <c r="G344" s="374"/>
      <c r="H344" s="374"/>
      <c r="I344" s="63" t="str">
        <f t="shared" si="264"/>
        <v/>
      </c>
      <c r="J344" s="318">
        <f t="shared" si="226"/>
        <v>0</v>
      </c>
      <c r="K344" s="318">
        <f t="shared" si="227"/>
        <v>0</v>
      </c>
      <c r="L344" s="318">
        <f t="shared" si="238"/>
        <v>0</v>
      </c>
      <c r="M344" s="318">
        <f t="shared" si="239"/>
        <v>0</v>
      </c>
      <c r="N344" s="318">
        <f t="shared" si="265"/>
        <v>0</v>
      </c>
      <c r="O344" s="318">
        <f t="shared" si="266"/>
        <v>0</v>
      </c>
      <c r="P344" s="318">
        <f t="shared" si="240"/>
        <v>0</v>
      </c>
      <c r="Q344" s="318">
        <f t="shared" si="241"/>
        <v>0</v>
      </c>
      <c r="R344" s="318">
        <f t="shared" si="242"/>
        <v>0</v>
      </c>
      <c r="S344" s="318">
        <f t="shared" si="243"/>
        <v>0</v>
      </c>
      <c r="T344" s="318">
        <f t="shared" si="222"/>
        <v>0</v>
      </c>
      <c r="U344" s="318">
        <f t="shared" si="223"/>
        <v>0</v>
      </c>
      <c r="V344" s="318">
        <f t="shared" si="244"/>
        <v>0</v>
      </c>
      <c r="W344" s="318">
        <f t="shared" si="245"/>
        <v>0</v>
      </c>
      <c r="X344" s="318">
        <f t="shared" si="246"/>
        <v>0</v>
      </c>
      <c r="Y344" s="318">
        <f t="shared" si="247"/>
        <v>0</v>
      </c>
      <c r="Z344" s="318">
        <f t="shared" si="228"/>
        <v>0</v>
      </c>
      <c r="AA344" s="318">
        <f t="shared" si="229"/>
        <v>0</v>
      </c>
      <c r="AB344" s="318">
        <f t="shared" si="248"/>
        <v>0</v>
      </c>
      <c r="AC344" s="318">
        <f t="shared" si="249"/>
        <v>0</v>
      </c>
      <c r="AD344" s="318">
        <f t="shared" si="230"/>
        <v>0</v>
      </c>
      <c r="AE344" s="318">
        <f t="shared" si="231"/>
        <v>0</v>
      </c>
      <c r="AF344" s="318">
        <f t="shared" si="267"/>
        <v>0</v>
      </c>
      <c r="AG344" s="318">
        <f t="shared" si="268"/>
        <v>0</v>
      </c>
      <c r="AH344" s="318">
        <f t="shared" si="250"/>
        <v>0</v>
      </c>
      <c r="AI344" s="318">
        <f t="shared" si="251"/>
        <v>0</v>
      </c>
      <c r="AJ344" s="318">
        <f t="shared" si="252"/>
        <v>0</v>
      </c>
      <c r="AK344" s="318">
        <f t="shared" si="253"/>
        <v>0</v>
      </c>
      <c r="AL344" s="318">
        <f t="shared" si="254"/>
        <v>0</v>
      </c>
      <c r="AM344" s="318">
        <f t="shared" si="255"/>
        <v>0</v>
      </c>
      <c r="AN344" s="318">
        <f t="shared" si="256"/>
        <v>0</v>
      </c>
      <c r="AO344" s="318">
        <f t="shared" si="257"/>
        <v>0</v>
      </c>
      <c r="AP344" s="318">
        <f t="shared" si="258"/>
        <v>0</v>
      </c>
      <c r="AQ344" s="318">
        <f t="shared" si="259"/>
        <v>0</v>
      </c>
      <c r="AR344" s="318">
        <f t="shared" si="232"/>
        <v>0</v>
      </c>
      <c r="AS344" s="318">
        <f t="shared" si="233"/>
        <v>0</v>
      </c>
      <c r="AT344" s="318">
        <f t="shared" si="260"/>
        <v>0</v>
      </c>
      <c r="AU344" s="318">
        <f t="shared" si="261"/>
        <v>0</v>
      </c>
      <c r="AV344" s="318">
        <f t="shared" si="262"/>
        <v>0</v>
      </c>
      <c r="AW344" s="318">
        <f t="shared" si="263"/>
        <v>0</v>
      </c>
      <c r="AX344" s="318">
        <f t="shared" si="234"/>
        <v>0</v>
      </c>
      <c r="AY344" s="318">
        <f t="shared" si="235"/>
        <v>0</v>
      </c>
      <c r="AZ344" s="318">
        <f t="shared" si="236"/>
        <v>0</v>
      </c>
      <c r="BA344" s="318">
        <f t="shared" si="237"/>
        <v>0</v>
      </c>
    </row>
    <row r="345" spans="1:53" s="315" customFormat="1" ht="16.5" customHeight="1">
      <c r="A345" s="63" t="str">
        <f t="array" ref="A345">IF(C345&lt;&gt;0,SUM(($C$11:C345&lt;&gt;0)*1),"")</f>
        <v/>
      </c>
      <c r="B345" s="316"/>
      <c r="C345" s="316"/>
      <c r="D345" s="316"/>
      <c r="E345" s="436"/>
      <c r="F345" s="372"/>
      <c r="G345" s="374"/>
      <c r="H345" s="374"/>
      <c r="I345" s="63" t="str">
        <f t="shared" si="264"/>
        <v/>
      </c>
      <c r="J345" s="318">
        <f t="shared" si="226"/>
        <v>0</v>
      </c>
      <c r="K345" s="318">
        <f t="shared" si="227"/>
        <v>0</v>
      </c>
      <c r="L345" s="318">
        <f t="shared" si="238"/>
        <v>0</v>
      </c>
      <c r="M345" s="318">
        <f t="shared" si="239"/>
        <v>0</v>
      </c>
      <c r="N345" s="318">
        <f t="shared" si="265"/>
        <v>0</v>
      </c>
      <c r="O345" s="318">
        <f t="shared" si="266"/>
        <v>0</v>
      </c>
      <c r="P345" s="318">
        <f t="shared" si="240"/>
        <v>0</v>
      </c>
      <c r="Q345" s="318">
        <f t="shared" si="241"/>
        <v>0</v>
      </c>
      <c r="R345" s="318">
        <f t="shared" si="242"/>
        <v>0</v>
      </c>
      <c r="S345" s="318">
        <f t="shared" si="243"/>
        <v>0</v>
      </c>
      <c r="T345" s="318">
        <f t="shared" si="222"/>
        <v>0</v>
      </c>
      <c r="U345" s="318">
        <f t="shared" si="223"/>
        <v>0</v>
      </c>
      <c r="V345" s="318">
        <f t="shared" si="244"/>
        <v>0</v>
      </c>
      <c r="W345" s="318">
        <f t="shared" si="245"/>
        <v>0</v>
      </c>
      <c r="X345" s="318">
        <f t="shared" si="246"/>
        <v>0</v>
      </c>
      <c r="Y345" s="318">
        <f t="shared" si="247"/>
        <v>0</v>
      </c>
      <c r="Z345" s="318">
        <f t="shared" si="228"/>
        <v>0</v>
      </c>
      <c r="AA345" s="318">
        <f t="shared" si="229"/>
        <v>0</v>
      </c>
      <c r="AB345" s="318">
        <f t="shared" si="248"/>
        <v>0</v>
      </c>
      <c r="AC345" s="318">
        <f t="shared" si="249"/>
        <v>0</v>
      </c>
      <c r="AD345" s="318">
        <f t="shared" si="230"/>
        <v>0</v>
      </c>
      <c r="AE345" s="318">
        <f t="shared" si="231"/>
        <v>0</v>
      </c>
      <c r="AF345" s="318">
        <f t="shared" si="267"/>
        <v>0</v>
      </c>
      <c r="AG345" s="318">
        <f t="shared" si="268"/>
        <v>0</v>
      </c>
      <c r="AH345" s="318">
        <f t="shared" si="250"/>
        <v>0</v>
      </c>
      <c r="AI345" s="318">
        <f t="shared" si="251"/>
        <v>0</v>
      </c>
      <c r="AJ345" s="318">
        <f t="shared" si="252"/>
        <v>0</v>
      </c>
      <c r="AK345" s="318">
        <f t="shared" si="253"/>
        <v>0</v>
      </c>
      <c r="AL345" s="318">
        <f t="shared" si="254"/>
        <v>0</v>
      </c>
      <c r="AM345" s="318">
        <f t="shared" si="255"/>
        <v>0</v>
      </c>
      <c r="AN345" s="318">
        <f t="shared" si="256"/>
        <v>0</v>
      </c>
      <c r="AO345" s="318">
        <f t="shared" si="257"/>
        <v>0</v>
      </c>
      <c r="AP345" s="318">
        <f t="shared" si="258"/>
        <v>0</v>
      </c>
      <c r="AQ345" s="318">
        <f t="shared" si="259"/>
        <v>0</v>
      </c>
      <c r="AR345" s="318">
        <f t="shared" si="232"/>
        <v>0</v>
      </c>
      <c r="AS345" s="318">
        <f t="shared" si="233"/>
        <v>0</v>
      </c>
      <c r="AT345" s="318">
        <f t="shared" si="260"/>
        <v>0</v>
      </c>
      <c r="AU345" s="318">
        <f t="shared" si="261"/>
        <v>0</v>
      </c>
      <c r="AV345" s="318">
        <f t="shared" si="262"/>
        <v>0</v>
      </c>
      <c r="AW345" s="318">
        <f t="shared" si="263"/>
        <v>0</v>
      </c>
      <c r="AX345" s="318">
        <f t="shared" si="234"/>
        <v>0</v>
      </c>
      <c r="AY345" s="318">
        <f t="shared" si="235"/>
        <v>0</v>
      </c>
      <c r="AZ345" s="318">
        <f t="shared" si="236"/>
        <v>0</v>
      </c>
      <c r="BA345" s="318">
        <f t="shared" si="237"/>
        <v>0</v>
      </c>
    </row>
    <row r="346" spans="1:53" s="315" customFormat="1" ht="16.5" customHeight="1">
      <c r="A346" s="63" t="str">
        <f t="array" ref="A346">IF(C346&lt;&gt;0,SUM(($C$11:C346&lt;&gt;0)*1),"")</f>
        <v/>
      </c>
      <c r="B346" s="316"/>
      <c r="C346" s="316"/>
      <c r="D346" s="316"/>
      <c r="E346" s="436"/>
      <c r="F346" s="372"/>
      <c r="G346" s="374"/>
      <c r="H346" s="374"/>
      <c r="I346" s="63" t="str">
        <f t="shared" si="264"/>
        <v/>
      </c>
      <c r="J346" s="318">
        <f t="shared" si="226"/>
        <v>0</v>
      </c>
      <c r="K346" s="318">
        <f t="shared" si="227"/>
        <v>0</v>
      </c>
      <c r="L346" s="318">
        <f t="shared" si="238"/>
        <v>0</v>
      </c>
      <c r="M346" s="318">
        <f t="shared" si="239"/>
        <v>0</v>
      </c>
      <c r="N346" s="318">
        <f t="shared" si="265"/>
        <v>0</v>
      </c>
      <c r="O346" s="318">
        <f t="shared" si="266"/>
        <v>0</v>
      </c>
      <c r="P346" s="318">
        <f t="shared" si="240"/>
        <v>0</v>
      </c>
      <c r="Q346" s="318">
        <f t="shared" si="241"/>
        <v>0</v>
      </c>
      <c r="R346" s="318">
        <f t="shared" si="242"/>
        <v>0</v>
      </c>
      <c r="S346" s="318">
        <f t="shared" si="243"/>
        <v>0</v>
      </c>
      <c r="T346" s="318">
        <f t="shared" si="222"/>
        <v>0</v>
      </c>
      <c r="U346" s="318">
        <f t="shared" si="223"/>
        <v>0</v>
      </c>
      <c r="V346" s="318">
        <f t="shared" si="244"/>
        <v>0</v>
      </c>
      <c r="W346" s="318">
        <f t="shared" si="245"/>
        <v>0</v>
      </c>
      <c r="X346" s="318">
        <f t="shared" si="246"/>
        <v>0</v>
      </c>
      <c r="Y346" s="318">
        <f t="shared" si="247"/>
        <v>0</v>
      </c>
      <c r="Z346" s="318">
        <f t="shared" si="228"/>
        <v>0</v>
      </c>
      <c r="AA346" s="318">
        <f t="shared" si="229"/>
        <v>0</v>
      </c>
      <c r="AB346" s="318">
        <f t="shared" si="248"/>
        <v>0</v>
      </c>
      <c r="AC346" s="318">
        <f t="shared" si="249"/>
        <v>0</v>
      </c>
      <c r="AD346" s="318">
        <f t="shared" si="230"/>
        <v>0</v>
      </c>
      <c r="AE346" s="318">
        <f t="shared" si="231"/>
        <v>0</v>
      </c>
      <c r="AF346" s="318">
        <f t="shared" si="267"/>
        <v>0</v>
      </c>
      <c r="AG346" s="318">
        <f t="shared" si="268"/>
        <v>0</v>
      </c>
      <c r="AH346" s="318">
        <f t="shared" si="250"/>
        <v>0</v>
      </c>
      <c r="AI346" s="318">
        <f t="shared" si="251"/>
        <v>0</v>
      </c>
      <c r="AJ346" s="318">
        <f t="shared" si="252"/>
        <v>0</v>
      </c>
      <c r="AK346" s="318">
        <f t="shared" si="253"/>
        <v>0</v>
      </c>
      <c r="AL346" s="318">
        <f t="shared" si="254"/>
        <v>0</v>
      </c>
      <c r="AM346" s="318">
        <f t="shared" si="255"/>
        <v>0</v>
      </c>
      <c r="AN346" s="318">
        <f t="shared" si="256"/>
        <v>0</v>
      </c>
      <c r="AO346" s="318">
        <f t="shared" si="257"/>
        <v>0</v>
      </c>
      <c r="AP346" s="318">
        <f t="shared" si="258"/>
        <v>0</v>
      </c>
      <c r="AQ346" s="318">
        <f t="shared" si="259"/>
        <v>0</v>
      </c>
      <c r="AR346" s="318">
        <f t="shared" si="232"/>
        <v>0</v>
      </c>
      <c r="AS346" s="318">
        <f t="shared" si="233"/>
        <v>0</v>
      </c>
      <c r="AT346" s="318">
        <f t="shared" si="260"/>
        <v>0</v>
      </c>
      <c r="AU346" s="318">
        <f t="shared" si="261"/>
        <v>0</v>
      </c>
      <c r="AV346" s="318">
        <f t="shared" si="262"/>
        <v>0</v>
      </c>
      <c r="AW346" s="318">
        <f t="shared" si="263"/>
        <v>0</v>
      </c>
      <c r="AX346" s="318">
        <f t="shared" si="234"/>
        <v>0</v>
      </c>
      <c r="AY346" s="318">
        <f t="shared" si="235"/>
        <v>0</v>
      </c>
      <c r="AZ346" s="318">
        <f t="shared" si="236"/>
        <v>0</v>
      </c>
      <c r="BA346" s="318">
        <f t="shared" si="237"/>
        <v>0</v>
      </c>
    </row>
    <row r="347" spans="1:53" s="315" customFormat="1" ht="16.5" customHeight="1">
      <c r="A347" s="63" t="str">
        <f t="array" ref="A347">IF(C347&lt;&gt;0,SUM(($C$11:C347&lt;&gt;0)*1),"")</f>
        <v/>
      </c>
      <c r="B347" s="316"/>
      <c r="C347" s="316"/>
      <c r="D347" s="316"/>
      <c r="E347" s="436"/>
      <c r="F347" s="372"/>
      <c r="G347" s="374"/>
      <c r="H347" s="374"/>
      <c r="I347" s="63" t="str">
        <f t="shared" si="264"/>
        <v/>
      </c>
      <c r="J347" s="318">
        <f t="shared" si="226"/>
        <v>0</v>
      </c>
      <c r="K347" s="318">
        <f t="shared" si="227"/>
        <v>0</v>
      </c>
      <c r="L347" s="318">
        <f t="shared" si="238"/>
        <v>0</v>
      </c>
      <c r="M347" s="318">
        <f t="shared" si="239"/>
        <v>0</v>
      </c>
      <c r="N347" s="318">
        <f t="shared" si="265"/>
        <v>0</v>
      </c>
      <c r="O347" s="318">
        <f t="shared" si="266"/>
        <v>0</v>
      </c>
      <c r="P347" s="318">
        <f t="shared" si="240"/>
        <v>0</v>
      </c>
      <c r="Q347" s="318">
        <f t="shared" si="241"/>
        <v>0</v>
      </c>
      <c r="R347" s="318">
        <f t="shared" si="242"/>
        <v>0</v>
      </c>
      <c r="S347" s="318">
        <f t="shared" si="243"/>
        <v>0</v>
      </c>
      <c r="T347" s="318">
        <f t="shared" si="222"/>
        <v>0</v>
      </c>
      <c r="U347" s="318">
        <f t="shared" si="223"/>
        <v>0</v>
      </c>
      <c r="V347" s="318">
        <f t="shared" si="244"/>
        <v>0</v>
      </c>
      <c r="W347" s="318">
        <f t="shared" si="245"/>
        <v>0</v>
      </c>
      <c r="X347" s="318">
        <f t="shared" si="246"/>
        <v>0</v>
      </c>
      <c r="Y347" s="318">
        <f t="shared" si="247"/>
        <v>0</v>
      </c>
      <c r="Z347" s="318">
        <f t="shared" si="228"/>
        <v>0</v>
      </c>
      <c r="AA347" s="318">
        <f t="shared" si="229"/>
        <v>0</v>
      </c>
      <c r="AB347" s="318">
        <f t="shared" si="248"/>
        <v>0</v>
      </c>
      <c r="AC347" s="318">
        <f t="shared" si="249"/>
        <v>0</v>
      </c>
      <c r="AD347" s="318">
        <f t="shared" si="230"/>
        <v>0</v>
      </c>
      <c r="AE347" s="318">
        <f t="shared" si="231"/>
        <v>0</v>
      </c>
      <c r="AF347" s="318">
        <f t="shared" si="267"/>
        <v>0</v>
      </c>
      <c r="AG347" s="318">
        <f t="shared" si="268"/>
        <v>0</v>
      </c>
      <c r="AH347" s="318">
        <f t="shared" si="250"/>
        <v>0</v>
      </c>
      <c r="AI347" s="318">
        <f t="shared" si="251"/>
        <v>0</v>
      </c>
      <c r="AJ347" s="318">
        <f t="shared" si="252"/>
        <v>0</v>
      </c>
      <c r="AK347" s="318">
        <f t="shared" si="253"/>
        <v>0</v>
      </c>
      <c r="AL347" s="318">
        <f t="shared" si="254"/>
        <v>0</v>
      </c>
      <c r="AM347" s="318">
        <f t="shared" si="255"/>
        <v>0</v>
      </c>
      <c r="AN347" s="318">
        <f t="shared" si="256"/>
        <v>0</v>
      </c>
      <c r="AO347" s="318">
        <f t="shared" si="257"/>
        <v>0</v>
      </c>
      <c r="AP347" s="318">
        <f t="shared" si="258"/>
        <v>0</v>
      </c>
      <c r="AQ347" s="318">
        <f t="shared" si="259"/>
        <v>0</v>
      </c>
      <c r="AR347" s="318">
        <f t="shared" si="232"/>
        <v>0</v>
      </c>
      <c r="AS347" s="318">
        <f t="shared" si="233"/>
        <v>0</v>
      </c>
      <c r="AT347" s="318">
        <f t="shared" si="260"/>
        <v>0</v>
      </c>
      <c r="AU347" s="318">
        <f t="shared" si="261"/>
        <v>0</v>
      </c>
      <c r="AV347" s="318">
        <f t="shared" si="262"/>
        <v>0</v>
      </c>
      <c r="AW347" s="318">
        <f t="shared" si="263"/>
        <v>0</v>
      </c>
      <c r="AX347" s="318">
        <f t="shared" si="234"/>
        <v>0</v>
      </c>
      <c r="AY347" s="318">
        <f t="shared" si="235"/>
        <v>0</v>
      </c>
      <c r="AZ347" s="318">
        <f t="shared" si="236"/>
        <v>0</v>
      </c>
      <c r="BA347" s="318">
        <f t="shared" si="237"/>
        <v>0</v>
      </c>
    </row>
    <row r="348" spans="1:53" s="315" customFormat="1" ht="16.5" customHeight="1">
      <c r="A348" s="63" t="str">
        <f t="array" ref="A348">IF(C348&lt;&gt;0,SUM(($C$11:C348&lt;&gt;0)*1),"")</f>
        <v/>
      </c>
      <c r="B348" s="316"/>
      <c r="C348" s="316"/>
      <c r="D348" s="316"/>
      <c r="E348" s="436"/>
      <c r="F348" s="372"/>
      <c r="G348" s="374"/>
      <c r="H348" s="374"/>
      <c r="I348" s="63" t="str">
        <f>A348</f>
        <v/>
      </c>
      <c r="J348" s="318">
        <f t="shared" si="226"/>
        <v>0</v>
      </c>
      <c r="K348" s="318">
        <f t="shared" si="227"/>
        <v>0</v>
      </c>
      <c r="L348" s="318">
        <f t="shared" si="238"/>
        <v>0</v>
      </c>
      <c r="M348" s="318">
        <f t="shared" si="239"/>
        <v>0</v>
      </c>
      <c r="N348" s="318">
        <f t="shared" si="265"/>
        <v>0</v>
      </c>
      <c r="O348" s="318">
        <f t="shared" si="266"/>
        <v>0</v>
      </c>
      <c r="P348" s="318">
        <f t="shared" si="240"/>
        <v>0</v>
      </c>
      <c r="Q348" s="318">
        <f t="shared" si="241"/>
        <v>0</v>
      </c>
      <c r="R348" s="318">
        <f t="shared" si="242"/>
        <v>0</v>
      </c>
      <c r="S348" s="318">
        <f t="shared" si="243"/>
        <v>0</v>
      </c>
      <c r="T348" s="318">
        <f t="shared" si="222"/>
        <v>0</v>
      </c>
      <c r="U348" s="318">
        <f t="shared" si="223"/>
        <v>0</v>
      </c>
      <c r="V348" s="318">
        <f t="shared" si="244"/>
        <v>0</v>
      </c>
      <c r="W348" s="318">
        <f t="shared" si="245"/>
        <v>0</v>
      </c>
      <c r="X348" s="318">
        <f t="shared" si="246"/>
        <v>0</v>
      </c>
      <c r="Y348" s="318">
        <f t="shared" si="247"/>
        <v>0</v>
      </c>
      <c r="Z348" s="318">
        <f t="shared" si="228"/>
        <v>0</v>
      </c>
      <c r="AA348" s="318">
        <f t="shared" si="229"/>
        <v>0</v>
      </c>
      <c r="AB348" s="318">
        <f t="shared" si="248"/>
        <v>0</v>
      </c>
      <c r="AC348" s="318">
        <f t="shared" si="249"/>
        <v>0</v>
      </c>
      <c r="AD348" s="318">
        <f t="shared" si="230"/>
        <v>0</v>
      </c>
      <c r="AE348" s="318">
        <f t="shared" si="231"/>
        <v>0</v>
      </c>
      <c r="AF348" s="318">
        <f t="shared" si="267"/>
        <v>0</v>
      </c>
      <c r="AG348" s="318">
        <f t="shared" si="268"/>
        <v>0</v>
      </c>
      <c r="AH348" s="318">
        <f t="shared" si="250"/>
        <v>0</v>
      </c>
      <c r="AI348" s="318">
        <f t="shared" si="251"/>
        <v>0</v>
      </c>
      <c r="AJ348" s="318">
        <f t="shared" si="252"/>
        <v>0</v>
      </c>
      <c r="AK348" s="318">
        <f t="shared" si="253"/>
        <v>0</v>
      </c>
      <c r="AL348" s="318">
        <f t="shared" si="254"/>
        <v>0</v>
      </c>
      <c r="AM348" s="318">
        <f t="shared" si="255"/>
        <v>0</v>
      </c>
      <c r="AN348" s="318">
        <f t="shared" si="256"/>
        <v>0</v>
      </c>
      <c r="AO348" s="318">
        <f t="shared" si="257"/>
        <v>0</v>
      </c>
      <c r="AP348" s="318">
        <f t="shared" si="258"/>
        <v>0</v>
      </c>
      <c r="AQ348" s="318">
        <f t="shared" si="259"/>
        <v>0</v>
      </c>
      <c r="AR348" s="318">
        <f t="shared" si="232"/>
        <v>0</v>
      </c>
      <c r="AS348" s="318">
        <f t="shared" si="233"/>
        <v>0</v>
      </c>
      <c r="AT348" s="318">
        <f t="shared" si="260"/>
        <v>0</v>
      </c>
      <c r="AU348" s="318">
        <f t="shared" si="261"/>
        <v>0</v>
      </c>
      <c r="AV348" s="318">
        <f t="shared" si="262"/>
        <v>0</v>
      </c>
      <c r="AW348" s="318">
        <f t="shared" si="263"/>
        <v>0</v>
      </c>
      <c r="AX348" s="318">
        <f t="shared" si="234"/>
        <v>0</v>
      </c>
      <c r="AY348" s="318">
        <f t="shared" si="235"/>
        <v>0</v>
      </c>
      <c r="AZ348" s="318">
        <f t="shared" si="236"/>
        <v>0</v>
      </c>
      <c r="BA348" s="318">
        <f t="shared" si="237"/>
        <v>0</v>
      </c>
    </row>
    <row r="349" spans="1:53" s="353" customFormat="1" ht="16.5" customHeight="1">
      <c r="A349" s="63">
        <f t="array" aca="1" ref="A349" ca="1">IF(C349&lt;&gt;0,SUM(($C$11:C349&lt;&gt;0)*1),"")</f>
        <v>2</v>
      </c>
      <c r="B349" s="319">
        <v>42369</v>
      </c>
      <c r="C349" s="319" t="s">
        <v>115</v>
      </c>
      <c r="D349" s="319">
        <f t="shared" ref="D349:D354" si="269">B349</f>
        <v>42369</v>
      </c>
      <c r="E349" s="320" t="s">
        <v>116</v>
      </c>
      <c r="F349" s="86">
        <f ca="1">AP356</f>
        <v>0</v>
      </c>
      <c r="G349" s="321" t="s">
        <v>165</v>
      </c>
      <c r="H349" s="321" t="s">
        <v>99</v>
      </c>
      <c r="I349" s="63">
        <f t="shared" ref="I349:I354" ca="1" si="270">A349</f>
        <v>2</v>
      </c>
      <c r="J349" s="318">
        <f t="shared" ref="J349:J355" si="271">IF($G349="1111",$F349,0)</f>
        <v>0</v>
      </c>
      <c r="K349" s="318">
        <f t="shared" ref="K349:K355" si="272">IF($H349="1111",$F349,0)</f>
        <v>0</v>
      </c>
      <c r="L349" s="318">
        <f t="shared" ref="L349:L355" si="273">IF($G349="1121",$F349,0)</f>
        <v>0</v>
      </c>
      <c r="M349" s="318">
        <f t="shared" ref="M349:M355" si="274">IF($H349="1121",$F349,0)</f>
        <v>0</v>
      </c>
      <c r="N349" s="318">
        <f t="shared" si="265"/>
        <v>0</v>
      </c>
      <c r="O349" s="318">
        <f t="shared" si="266"/>
        <v>0</v>
      </c>
      <c r="P349" s="318">
        <f t="shared" ref="P349:P355" si="275">IF($G349="1331",$F349,0)</f>
        <v>0</v>
      </c>
      <c r="Q349" s="318">
        <f t="shared" ref="Q349:Q355" si="276">IF($H349="1331",$F349,0)</f>
        <v>0</v>
      </c>
      <c r="R349" s="318">
        <f t="shared" ref="R349:R355" si="277">IF($G349="1388",$F349,0)</f>
        <v>0</v>
      </c>
      <c r="S349" s="318">
        <f t="shared" ref="S349:S355" si="278">IF($H349="1388",$F349,0)</f>
        <v>0</v>
      </c>
      <c r="T349" s="318">
        <f t="shared" ref="T349:T355" ca="1" si="279">IF($G349="2412",$F349,0)</f>
        <v>0</v>
      </c>
      <c r="U349" s="318">
        <f t="shared" ref="U349:U355" si="280">IF($H349="2412",$F349,0)</f>
        <v>0</v>
      </c>
      <c r="V349" s="318">
        <f t="shared" ref="V349:V355" si="281">IF($G349="331",$F349,0)</f>
        <v>0</v>
      </c>
      <c r="W349" s="318">
        <f t="shared" ref="W349:W355" si="282">IF($H349="331",$F349,0)</f>
        <v>0</v>
      </c>
      <c r="X349" s="318">
        <f t="shared" ref="X349:X355" si="283">IF($G349="3334",$F349,0)</f>
        <v>0</v>
      </c>
      <c r="Y349" s="318">
        <f t="shared" ref="Y349:Y355" si="284">IF($H349="3334",$F349,0)</f>
        <v>0</v>
      </c>
      <c r="Z349" s="318">
        <f t="shared" ref="Z349:Z355" si="285">IF($G349="33382",$F349,0)</f>
        <v>0</v>
      </c>
      <c r="AA349" s="318">
        <f t="shared" ref="AA349:AA355" si="286">IF($H349="33382",$F349,0)</f>
        <v>0</v>
      </c>
      <c r="AB349" s="318">
        <f t="shared" ref="AB349:AB355" si="287">IF($G349="3388",$F349,0)</f>
        <v>0</v>
      </c>
      <c r="AC349" s="318">
        <f t="shared" ref="AC349:AC355" si="288">IF($H349="3388",$F349,0)</f>
        <v>0</v>
      </c>
      <c r="AD349" s="318">
        <f t="shared" ref="AD349:AD355" si="289">IF($G349="3411",$F349,0)</f>
        <v>0</v>
      </c>
      <c r="AE349" s="318">
        <f t="shared" ref="AE349:AE355" si="290">IF($H349="3411",$F349,0)</f>
        <v>0</v>
      </c>
      <c r="AF349" s="318">
        <f t="shared" si="267"/>
        <v>0</v>
      </c>
      <c r="AG349" s="318">
        <f t="shared" si="268"/>
        <v>0</v>
      </c>
      <c r="AH349" s="318">
        <f t="shared" ref="AH349:AH355" si="291">IF($G349="4111",$F349,0)</f>
        <v>0</v>
      </c>
      <c r="AI349" s="318">
        <f t="shared" ref="AI349:AI355" si="292">IF($H349="4111",$F349,0)</f>
        <v>0</v>
      </c>
      <c r="AJ349" s="318">
        <f t="shared" ref="AJ349:AJ355" si="293">IF($G349="4211",$F349,0)</f>
        <v>0</v>
      </c>
      <c r="AK349" s="318">
        <f t="shared" ref="AK349:AK355" si="294">IF($H349="4211",$F349,0)</f>
        <v>0</v>
      </c>
      <c r="AL349" s="318">
        <f t="shared" ref="AL349:AL355" si="295">IF($G349="4212",$F349,0)</f>
        <v>0</v>
      </c>
      <c r="AM349" s="318">
        <f t="shared" ref="AM349:AM355" si="296">IF($H349="4212",$F349,0)</f>
        <v>0</v>
      </c>
      <c r="AN349" s="318">
        <f t="shared" ref="AN349:AN355" si="297">IF($G349="515",$F349,0)</f>
        <v>0</v>
      </c>
      <c r="AO349" s="318">
        <f t="shared" ref="AO349:AO355" si="298">IF($H349="515",$F349,0)</f>
        <v>0</v>
      </c>
      <c r="AP349" s="318">
        <f t="shared" ref="AP349:AP355" si="299">IF($G349="635",$F349,0)</f>
        <v>0</v>
      </c>
      <c r="AQ349" s="318">
        <f t="shared" ref="AQ349:AQ355" ca="1" si="300">IF($H349="635",$F349,0)</f>
        <v>0</v>
      </c>
      <c r="AR349" s="318">
        <f t="shared" ref="AR349:AR355" si="301">IF($G349="642",$F349,0)</f>
        <v>0</v>
      </c>
      <c r="AS349" s="318">
        <f t="shared" ref="AS349:AS355" si="302">IF($H349="642",$F349,0)</f>
        <v>0</v>
      </c>
      <c r="AT349" s="318">
        <f t="shared" ref="AT349:AT355" si="303">IF($G349="711",$F349,0)</f>
        <v>0</v>
      </c>
      <c r="AU349" s="318">
        <f t="shared" ref="AU349:AU355" si="304">IF($H349="711",$F349,0)</f>
        <v>0</v>
      </c>
      <c r="AV349" s="318">
        <f t="shared" ref="AV349:AV355" si="305">IF($G349="811",$F349,0)</f>
        <v>0</v>
      </c>
      <c r="AW349" s="318">
        <f t="shared" ref="AW349:AW355" si="306">IF($H349="811",$F349,0)</f>
        <v>0</v>
      </c>
      <c r="AX349" s="318">
        <f t="shared" ref="AX349:AX355" si="307">IF($G349="821",$F349,0)</f>
        <v>0</v>
      </c>
      <c r="AY349" s="318">
        <f t="shared" ref="AY349:AY355" si="308">IF($H349="821",$F349,0)</f>
        <v>0</v>
      </c>
      <c r="AZ349" s="318">
        <f t="shared" ref="AZ349:AZ355" si="309">IF($G349="911",$F349,0)</f>
        <v>0</v>
      </c>
      <c r="BA349" s="318">
        <f t="shared" ref="BA349:BA355" si="310">IF($H349="911",$F349,0)</f>
        <v>0</v>
      </c>
    </row>
    <row r="350" spans="1:53" s="353" customFormat="1" ht="16.5" customHeight="1">
      <c r="A350" s="63">
        <f t="array" aca="1" ref="A350" ca="1">IF(C350&lt;&gt;0,SUM(($C$11:C350&lt;&gt;0)*1),"")</f>
        <v>3</v>
      </c>
      <c r="B350" s="319">
        <v>42369</v>
      </c>
      <c r="C350" s="319" t="s">
        <v>115</v>
      </c>
      <c r="D350" s="319">
        <f t="shared" si="269"/>
        <v>42369</v>
      </c>
      <c r="E350" s="320" t="s">
        <v>117</v>
      </c>
      <c r="F350" s="86">
        <f ca="1">AR356</f>
        <v>0</v>
      </c>
      <c r="G350" s="321" t="s">
        <v>109</v>
      </c>
      <c r="H350" s="321" t="s">
        <v>101</v>
      </c>
      <c r="I350" s="63">
        <f t="shared" ca="1" si="270"/>
        <v>3</v>
      </c>
      <c r="J350" s="318">
        <f t="shared" si="271"/>
        <v>0</v>
      </c>
      <c r="K350" s="318">
        <f t="shared" si="272"/>
        <v>0</v>
      </c>
      <c r="L350" s="318">
        <f t="shared" si="273"/>
        <v>0</v>
      </c>
      <c r="M350" s="318">
        <f t="shared" si="274"/>
        <v>0</v>
      </c>
      <c r="N350" s="318">
        <f t="shared" si="265"/>
        <v>0</v>
      </c>
      <c r="O350" s="318">
        <f t="shared" si="266"/>
        <v>0</v>
      </c>
      <c r="P350" s="318">
        <f t="shared" si="275"/>
        <v>0</v>
      </c>
      <c r="Q350" s="318">
        <f t="shared" si="276"/>
        <v>0</v>
      </c>
      <c r="R350" s="318">
        <f t="shared" si="277"/>
        <v>0</v>
      </c>
      <c r="S350" s="318">
        <f t="shared" si="278"/>
        <v>0</v>
      </c>
      <c r="T350" s="318">
        <f t="shared" si="279"/>
        <v>0</v>
      </c>
      <c r="U350" s="318">
        <f t="shared" si="280"/>
        <v>0</v>
      </c>
      <c r="V350" s="318">
        <f t="shared" si="281"/>
        <v>0</v>
      </c>
      <c r="W350" s="318">
        <f t="shared" si="282"/>
        <v>0</v>
      </c>
      <c r="X350" s="318">
        <f t="shared" si="283"/>
        <v>0</v>
      </c>
      <c r="Y350" s="318">
        <f t="shared" si="284"/>
        <v>0</v>
      </c>
      <c r="Z350" s="318">
        <f t="shared" si="285"/>
        <v>0</v>
      </c>
      <c r="AA350" s="318">
        <f t="shared" si="286"/>
        <v>0</v>
      </c>
      <c r="AB350" s="318">
        <f t="shared" si="287"/>
        <v>0</v>
      </c>
      <c r="AC350" s="318">
        <f t="shared" si="288"/>
        <v>0</v>
      </c>
      <c r="AD350" s="318">
        <f t="shared" si="289"/>
        <v>0</v>
      </c>
      <c r="AE350" s="318">
        <f t="shared" si="290"/>
        <v>0</v>
      </c>
      <c r="AF350" s="318">
        <f t="shared" si="267"/>
        <v>0</v>
      </c>
      <c r="AG350" s="318">
        <f t="shared" si="268"/>
        <v>0</v>
      </c>
      <c r="AH350" s="318">
        <f t="shared" si="291"/>
        <v>0</v>
      </c>
      <c r="AI350" s="318">
        <f t="shared" si="292"/>
        <v>0</v>
      </c>
      <c r="AJ350" s="318">
        <f t="shared" si="293"/>
        <v>0</v>
      </c>
      <c r="AK350" s="318">
        <f t="shared" si="294"/>
        <v>0</v>
      </c>
      <c r="AL350" s="318">
        <f t="shared" si="295"/>
        <v>0</v>
      </c>
      <c r="AM350" s="318">
        <f t="shared" si="296"/>
        <v>0</v>
      </c>
      <c r="AN350" s="318">
        <f t="shared" si="297"/>
        <v>0</v>
      </c>
      <c r="AO350" s="318">
        <f t="shared" si="298"/>
        <v>0</v>
      </c>
      <c r="AP350" s="318">
        <f t="shared" si="299"/>
        <v>0</v>
      </c>
      <c r="AQ350" s="318">
        <f t="shared" si="300"/>
        <v>0</v>
      </c>
      <c r="AR350" s="318">
        <f t="shared" si="301"/>
        <v>0</v>
      </c>
      <c r="AS350" s="318">
        <f t="shared" ca="1" si="302"/>
        <v>0</v>
      </c>
      <c r="AT350" s="318">
        <f t="shared" si="303"/>
        <v>0</v>
      </c>
      <c r="AU350" s="318">
        <f t="shared" si="304"/>
        <v>0</v>
      </c>
      <c r="AV350" s="318">
        <f t="shared" si="305"/>
        <v>0</v>
      </c>
      <c r="AW350" s="318">
        <f t="shared" si="306"/>
        <v>0</v>
      </c>
      <c r="AX350" s="318">
        <f t="shared" si="307"/>
        <v>0</v>
      </c>
      <c r="AY350" s="318">
        <f t="shared" si="308"/>
        <v>0</v>
      </c>
      <c r="AZ350" s="318">
        <f t="shared" ca="1" si="309"/>
        <v>0</v>
      </c>
      <c r="BA350" s="318">
        <f t="shared" si="310"/>
        <v>0</v>
      </c>
    </row>
    <row r="351" spans="1:53" s="353" customFormat="1" ht="16.5" customHeight="1">
      <c r="A351" s="63">
        <f t="array" aca="1" ref="A351" ca="1">IF(C351&lt;&gt;0,SUM(($C$11:C351&lt;&gt;0)*1),"")</f>
        <v>4</v>
      </c>
      <c r="B351" s="319">
        <v>42369</v>
      </c>
      <c r="C351" s="319" t="s">
        <v>115</v>
      </c>
      <c r="D351" s="319">
        <f t="shared" si="269"/>
        <v>42369</v>
      </c>
      <c r="E351" s="320" t="s">
        <v>228</v>
      </c>
      <c r="F351" s="86">
        <v>304750266</v>
      </c>
      <c r="G351" s="321" t="s">
        <v>94</v>
      </c>
      <c r="H351" s="321" t="s">
        <v>109</v>
      </c>
      <c r="I351" s="63">
        <f t="shared" ca="1" si="270"/>
        <v>4</v>
      </c>
      <c r="J351" s="318">
        <f t="shared" si="271"/>
        <v>0</v>
      </c>
      <c r="K351" s="318">
        <f t="shared" si="272"/>
        <v>0</v>
      </c>
      <c r="L351" s="318">
        <f t="shared" si="273"/>
        <v>0</v>
      </c>
      <c r="M351" s="318">
        <f t="shared" si="274"/>
        <v>0</v>
      </c>
      <c r="N351" s="318">
        <f t="shared" si="265"/>
        <v>0</v>
      </c>
      <c r="O351" s="318">
        <f t="shared" si="266"/>
        <v>0</v>
      </c>
      <c r="P351" s="318">
        <f t="shared" si="275"/>
        <v>0</v>
      </c>
      <c r="Q351" s="318">
        <f t="shared" si="276"/>
        <v>0</v>
      </c>
      <c r="R351" s="318">
        <f t="shared" si="277"/>
        <v>0</v>
      </c>
      <c r="S351" s="318">
        <f t="shared" si="278"/>
        <v>0</v>
      </c>
      <c r="T351" s="318">
        <f t="shared" si="279"/>
        <v>0</v>
      </c>
      <c r="U351" s="318">
        <f t="shared" si="280"/>
        <v>0</v>
      </c>
      <c r="V351" s="318">
        <f t="shared" si="281"/>
        <v>0</v>
      </c>
      <c r="W351" s="318">
        <f t="shared" si="282"/>
        <v>0</v>
      </c>
      <c r="X351" s="318">
        <f t="shared" si="283"/>
        <v>0</v>
      </c>
      <c r="Y351" s="318">
        <f t="shared" si="284"/>
        <v>0</v>
      </c>
      <c r="Z351" s="318">
        <f t="shared" si="285"/>
        <v>0</v>
      </c>
      <c r="AA351" s="318">
        <f t="shared" si="286"/>
        <v>0</v>
      </c>
      <c r="AB351" s="318">
        <f t="shared" si="287"/>
        <v>0</v>
      </c>
      <c r="AC351" s="318">
        <f t="shared" si="288"/>
        <v>0</v>
      </c>
      <c r="AD351" s="318">
        <f t="shared" si="289"/>
        <v>0</v>
      </c>
      <c r="AE351" s="318">
        <f t="shared" si="290"/>
        <v>0</v>
      </c>
      <c r="AF351" s="318">
        <f t="shared" si="267"/>
        <v>0</v>
      </c>
      <c r="AG351" s="318">
        <f t="shared" si="268"/>
        <v>0</v>
      </c>
      <c r="AH351" s="318">
        <f t="shared" si="291"/>
        <v>0</v>
      </c>
      <c r="AI351" s="318">
        <f t="shared" si="292"/>
        <v>0</v>
      </c>
      <c r="AJ351" s="318">
        <f t="shared" si="293"/>
        <v>0</v>
      </c>
      <c r="AK351" s="318">
        <f t="shared" si="294"/>
        <v>0</v>
      </c>
      <c r="AL351" s="318">
        <f t="shared" si="295"/>
        <v>304750266</v>
      </c>
      <c r="AM351" s="318">
        <f t="shared" si="296"/>
        <v>0</v>
      </c>
      <c r="AN351" s="318">
        <f t="shared" si="297"/>
        <v>0</v>
      </c>
      <c r="AO351" s="318">
        <f t="shared" si="298"/>
        <v>0</v>
      </c>
      <c r="AP351" s="318">
        <f t="shared" si="299"/>
        <v>0</v>
      </c>
      <c r="AQ351" s="318">
        <f t="shared" si="300"/>
        <v>0</v>
      </c>
      <c r="AR351" s="318">
        <f t="shared" si="301"/>
        <v>0</v>
      </c>
      <c r="AS351" s="318">
        <f t="shared" si="302"/>
        <v>0</v>
      </c>
      <c r="AT351" s="318">
        <f t="shared" si="303"/>
        <v>0</v>
      </c>
      <c r="AU351" s="318">
        <f t="shared" si="304"/>
        <v>0</v>
      </c>
      <c r="AV351" s="318">
        <f t="shared" si="305"/>
        <v>0</v>
      </c>
      <c r="AW351" s="318">
        <f t="shared" si="306"/>
        <v>0</v>
      </c>
      <c r="AX351" s="318">
        <f t="shared" si="307"/>
        <v>0</v>
      </c>
      <c r="AY351" s="318">
        <f t="shared" si="308"/>
        <v>0</v>
      </c>
      <c r="AZ351" s="318">
        <f t="shared" si="309"/>
        <v>0</v>
      </c>
      <c r="BA351" s="318">
        <f t="shared" si="310"/>
        <v>304750266</v>
      </c>
    </row>
    <row r="352" spans="1:53" s="353" customFormat="1" ht="16.5" customHeight="1">
      <c r="A352" s="63">
        <f t="array" aca="1" ref="A352" ca="1">IF(C352&lt;&gt;0,SUM(($C$11:C352&lt;&gt;0)*1),"")</f>
        <v>5</v>
      </c>
      <c r="B352" s="319">
        <v>42369</v>
      </c>
      <c r="C352" s="319" t="s">
        <v>115</v>
      </c>
      <c r="D352" s="319">
        <f t="shared" si="269"/>
        <v>42369</v>
      </c>
      <c r="E352" s="320" t="s">
        <v>119</v>
      </c>
      <c r="F352" s="86">
        <f ca="1">AO356</f>
        <v>0</v>
      </c>
      <c r="G352" s="321" t="s">
        <v>43</v>
      </c>
      <c r="H352" s="321" t="s">
        <v>109</v>
      </c>
      <c r="I352" s="63">
        <f t="shared" ca="1" si="270"/>
        <v>5</v>
      </c>
      <c r="J352" s="318">
        <f t="shared" si="271"/>
        <v>0</v>
      </c>
      <c r="K352" s="318">
        <f t="shared" si="272"/>
        <v>0</v>
      </c>
      <c r="L352" s="318">
        <f t="shared" si="273"/>
        <v>0</v>
      </c>
      <c r="M352" s="318">
        <f t="shared" si="274"/>
        <v>0</v>
      </c>
      <c r="N352" s="318">
        <f t="shared" si="265"/>
        <v>0</v>
      </c>
      <c r="O352" s="318">
        <f t="shared" si="266"/>
        <v>0</v>
      </c>
      <c r="P352" s="318">
        <f t="shared" si="275"/>
        <v>0</v>
      </c>
      <c r="Q352" s="318">
        <f t="shared" si="276"/>
        <v>0</v>
      </c>
      <c r="R352" s="318">
        <f t="shared" si="277"/>
        <v>0</v>
      </c>
      <c r="S352" s="318">
        <f t="shared" si="278"/>
        <v>0</v>
      </c>
      <c r="T352" s="318">
        <f t="shared" si="279"/>
        <v>0</v>
      </c>
      <c r="U352" s="318">
        <f t="shared" si="280"/>
        <v>0</v>
      </c>
      <c r="V352" s="318">
        <f t="shared" si="281"/>
        <v>0</v>
      </c>
      <c r="W352" s="318">
        <f t="shared" si="282"/>
        <v>0</v>
      </c>
      <c r="X352" s="318">
        <f t="shared" si="283"/>
        <v>0</v>
      </c>
      <c r="Y352" s="318">
        <f t="shared" si="284"/>
        <v>0</v>
      </c>
      <c r="Z352" s="318">
        <f t="shared" si="285"/>
        <v>0</v>
      </c>
      <c r="AA352" s="318">
        <f t="shared" si="286"/>
        <v>0</v>
      </c>
      <c r="AB352" s="318">
        <f t="shared" si="287"/>
        <v>0</v>
      </c>
      <c r="AC352" s="318">
        <f t="shared" si="288"/>
        <v>0</v>
      </c>
      <c r="AD352" s="318">
        <f t="shared" si="289"/>
        <v>0</v>
      </c>
      <c r="AE352" s="318">
        <f t="shared" si="290"/>
        <v>0</v>
      </c>
      <c r="AF352" s="318">
        <f t="shared" si="267"/>
        <v>0</v>
      </c>
      <c r="AG352" s="318">
        <f t="shared" si="268"/>
        <v>0</v>
      </c>
      <c r="AH352" s="318">
        <f t="shared" si="291"/>
        <v>0</v>
      </c>
      <c r="AI352" s="318">
        <f t="shared" si="292"/>
        <v>0</v>
      </c>
      <c r="AJ352" s="318">
        <f t="shared" si="293"/>
        <v>0</v>
      </c>
      <c r="AK352" s="318">
        <f t="shared" si="294"/>
        <v>0</v>
      </c>
      <c r="AL352" s="318">
        <f t="shared" si="295"/>
        <v>0</v>
      </c>
      <c r="AM352" s="318">
        <f t="shared" si="296"/>
        <v>0</v>
      </c>
      <c r="AN352" s="318">
        <f t="shared" ca="1" si="297"/>
        <v>0</v>
      </c>
      <c r="AO352" s="318">
        <f t="shared" si="298"/>
        <v>0</v>
      </c>
      <c r="AP352" s="318">
        <f t="shared" si="299"/>
        <v>0</v>
      </c>
      <c r="AQ352" s="318">
        <f t="shared" si="300"/>
        <v>0</v>
      </c>
      <c r="AR352" s="318">
        <f t="shared" si="301"/>
        <v>0</v>
      </c>
      <c r="AS352" s="318">
        <f t="shared" si="302"/>
        <v>0</v>
      </c>
      <c r="AT352" s="318">
        <f t="shared" si="303"/>
        <v>0</v>
      </c>
      <c r="AU352" s="318">
        <f t="shared" si="304"/>
        <v>0</v>
      </c>
      <c r="AV352" s="318">
        <f t="shared" si="305"/>
        <v>0</v>
      </c>
      <c r="AW352" s="318">
        <f t="shared" si="306"/>
        <v>0</v>
      </c>
      <c r="AX352" s="318">
        <f t="shared" si="307"/>
        <v>0</v>
      </c>
      <c r="AY352" s="318">
        <f t="shared" si="308"/>
        <v>0</v>
      </c>
      <c r="AZ352" s="318">
        <f t="shared" si="309"/>
        <v>0</v>
      </c>
      <c r="BA352" s="318">
        <f t="shared" ca="1" si="310"/>
        <v>0</v>
      </c>
    </row>
    <row r="353" spans="1:53" s="353" customFormat="1" ht="16.5" customHeight="1">
      <c r="A353" s="63">
        <f t="array" aca="1" ref="A353" ca="1">IF(C353&lt;&gt;0,SUM(($C$11:C353&lt;&gt;0)*1),"")</f>
        <v>6</v>
      </c>
      <c r="B353" s="319">
        <v>42369</v>
      </c>
      <c r="C353" s="319" t="s">
        <v>115</v>
      </c>
      <c r="D353" s="319">
        <f t="shared" si="269"/>
        <v>42369</v>
      </c>
      <c r="E353" s="320" t="s">
        <v>120</v>
      </c>
      <c r="F353" s="86">
        <f ca="1">AU356</f>
        <v>0</v>
      </c>
      <c r="G353" s="321" t="s">
        <v>103</v>
      </c>
      <c r="H353" s="321" t="s">
        <v>109</v>
      </c>
      <c r="I353" s="63">
        <f t="shared" ca="1" si="270"/>
        <v>6</v>
      </c>
      <c r="J353" s="318">
        <f t="shared" si="271"/>
        <v>0</v>
      </c>
      <c r="K353" s="318">
        <f t="shared" si="272"/>
        <v>0</v>
      </c>
      <c r="L353" s="318">
        <f t="shared" si="273"/>
        <v>0</v>
      </c>
      <c r="M353" s="318">
        <f t="shared" si="274"/>
        <v>0</v>
      </c>
      <c r="N353" s="318">
        <f t="shared" si="265"/>
        <v>0</v>
      </c>
      <c r="O353" s="318">
        <f t="shared" si="266"/>
        <v>0</v>
      </c>
      <c r="P353" s="318">
        <f t="shared" si="275"/>
        <v>0</v>
      </c>
      <c r="Q353" s="318">
        <f t="shared" si="276"/>
        <v>0</v>
      </c>
      <c r="R353" s="318">
        <f t="shared" si="277"/>
        <v>0</v>
      </c>
      <c r="S353" s="318">
        <f t="shared" si="278"/>
        <v>0</v>
      </c>
      <c r="T353" s="318">
        <f t="shared" si="279"/>
        <v>0</v>
      </c>
      <c r="U353" s="318">
        <f t="shared" si="280"/>
        <v>0</v>
      </c>
      <c r="V353" s="318">
        <f t="shared" si="281"/>
        <v>0</v>
      </c>
      <c r="W353" s="318">
        <f t="shared" si="282"/>
        <v>0</v>
      </c>
      <c r="X353" s="318">
        <f t="shared" si="283"/>
        <v>0</v>
      </c>
      <c r="Y353" s="318">
        <f t="shared" si="284"/>
        <v>0</v>
      </c>
      <c r="Z353" s="318">
        <f t="shared" si="285"/>
        <v>0</v>
      </c>
      <c r="AA353" s="318">
        <f t="shared" si="286"/>
        <v>0</v>
      </c>
      <c r="AB353" s="318">
        <f t="shared" si="287"/>
        <v>0</v>
      </c>
      <c r="AC353" s="318">
        <f t="shared" si="288"/>
        <v>0</v>
      </c>
      <c r="AD353" s="318">
        <f t="shared" si="289"/>
        <v>0</v>
      </c>
      <c r="AE353" s="318">
        <f t="shared" si="290"/>
        <v>0</v>
      </c>
      <c r="AF353" s="318">
        <f t="shared" si="267"/>
        <v>0</v>
      </c>
      <c r="AG353" s="318">
        <f t="shared" si="268"/>
        <v>0</v>
      </c>
      <c r="AH353" s="318">
        <f t="shared" si="291"/>
        <v>0</v>
      </c>
      <c r="AI353" s="318">
        <f t="shared" si="292"/>
        <v>0</v>
      </c>
      <c r="AJ353" s="318">
        <f t="shared" si="293"/>
        <v>0</v>
      </c>
      <c r="AK353" s="318">
        <f t="shared" si="294"/>
        <v>0</v>
      </c>
      <c r="AL353" s="318">
        <f t="shared" si="295"/>
        <v>0</v>
      </c>
      <c r="AM353" s="318">
        <f t="shared" si="296"/>
        <v>0</v>
      </c>
      <c r="AN353" s="318">
        <f t="shared" si="297"/>
        <v>0</v>
      </c>
      <c r="AO353" s="318">
        <f t="shared" si="298"/>
        <v>0</v>
      </c>
      <c r="AP353" s="318">
        <f t="shared" si="299"/>
        <v>0</v>
      </c>
      <c r="AQ353" s="318">
        <f t="shared" si="300"/>
        <v>0</v>
      </c>
      <c r="AR353" s="318">
        <f t="shared" si="301"/>
        <v>0</v>
      </c>
      <c r="AS353" s="318">
        <f t="shared" si="302"/>
        <v>0</v>
      </c>
      <c r="AT353" s="318">
        <f t="shared" ca="1" si="303"/>
        <v>0</v>
      </c>
      <c r="AU353" s="318">
        <f t="shared" si="304"/>
        <v>0</v>
      </c>
      <c r="AV353" s="318">
        <f t="shared" si="305"/>
        <v>0</v>
      </c>
      <c r="AW353" s="318">
        <f t="shared" si="306"/>
        <v>0</v>
      </c>
      <c r="AX353" s="318">
        <f t="shared" si="307"/>
        <v>0</v>
      </c>
      <c r="AY353" s="318">
        <f t="shared" si="308"/>
        <v>0</v>
      </c>
      <c r="AZ353" s="318">
        <f t="shared" si="309"/>
        <v>0</v>
      </c>
      <c r="BA353" s="318">
        <f t="shared" ca="1" si="310"/>
        <v>0</v>
      </c>
    </row>
    <row r="354" spans="1:53" s="353" customFormat="1" ht="16.5" customHeight="1">
      <c r="A354" s="63">
        <f t="array" aca="1" ref="A354" ca="1">IF(C354&lt;&gt;0,SUM(($C$11:C354&lt;&gt;0)*1),"")</f>
        <v>7</v>
      </c>
      <c r="B354" s="319">
        <v>42369</v>
      </c>
      <c r="C354" s="319" t="s">
        <v>115</v>
      </c>
      <c r="D354" s="319">
        <f t="shared" si="269"/>
        <v>42369</v>
      </c>
      <c r="E354" s="320" t="s">
        <v>121</v>
      </c>
      <c r="F354" s="86">
        <f ca="1">AV356</f>
        <v>0</v>
      </c>
      <c r="G354" s="321" t="s">
        <v>109</v>
      </c>
      <c r="H354" s="321" t="s">
        <v>105</v>
      </c>
      <c r="I354" s="63">
        <f t="shared" ca="1" si="270"/>
        <v>7</v>
      </c>
      <c r="J354" s="318">
        <f t="shared" si="271"/>
        <v>0</v>
      </c>
      <c r="K354" s="318">
        <f t="shared" si="272"/>
        <v>0</v>
      </c>
      <c r="L354" s="318">
        <f t="shared" si="273"/>
        <v>0</v>
      </c>
      <c r="M354" s="318">
        <f t="shared" si="274"/>
        <v>0</v>
      </c>
      <c r="N354" s="318">
        <f t="shared" si="265"/>
        <v>0</v>
      </c>
      <c r="O354" s="318">
        <f t="shared" si="266"/>
        <v>0</v>
      </c>
      <c r="P354" s="318">
        <f t="shared" si="275"/>
        <v>0</v>
      </c>
      <c r="Q354" s="318">
        <f t="shared" si="276"/>
        <v>0</v>
      </c>
      <c r="R354" s="318">
        <f t="shared" si="277"/>
        <v>0</v>
      </c>
      <c r="S354" s="318">
        <f t="shared" si="278"/>
        <v>0</v>
      </c>
      <c r="T354" s="318">
        <f t="shared" si="279"/>
        <v>0</v>
      </c>
      <c r="U354" s="318">
        <f t="shared" si="280"/>
        <v>0</v>
      </c>
      <c r="V354" s="318">
        <f t="shared" si="281"/>
        <v>0</v>
      </c>
      <c r="W354" s="318">
        <f t="shared" si="282"/>
        <v>0</v>
      </c>
      <c r="X354" s="318">
        <f t="shared" si="283"/>
        <v>0</v>
      </c>
      <c r="Y354" s="318">
        <f t="shared" si="284"/>
        <v>0</v>
      </c>
      <c r="Z354" s="318">
        <f t="shared" si="285"/>
        <v>0</v>
      </c>
      <c r="AA354" s="318">
        <f t="shared" si="286"/>
        <v>0</v>
      </c>
      <c r="AB354" s="318">
        <f t="shared" si="287"/>
        <v>0</v>
      </c>
      <c r="AC354" s="318">
        <f t="shared" si="288"/>
        <v>0</v>
      </c>
      <c r="AD354" s="318">
        <f t="shared" si="289"/>
        <v>0</v>
      </c>
      <c r="AE354" s="318">
        <f t="shared" si="290"/>
        <v>0</v>
      </c>
      <c r="AF354" s="318">
        <f t="shared" si="267"/>
        <v>0</v>
      </c>
      <c r="AG354" s="318">
        <f t="shared" si="268"/>
        <v>0</v>
      </c>
      <c r="AH354" s="318">
        <f t="shared" si="291"/>
        <v>0</v>
      </c>
      <c r="AI354" s="318">
        <f t="shared" si="292"/>
        <v>0</v>
      </c>
      <c r="AJ354" s="318">
        <f t="shared" si="293"/>
        <v>0</v>
      </c>
      <c r="AK354" s="318">
        <f t="shared" si="294"/>
        <v>0</v>
      </c>
      <c r="AL354" s="318">
        <f t="shared" si="295"/>
        <v>0</v>
      </c>
      <c r="AM354" s="318">
        <f t="shared" si="296"/>
        <v>0</v>
      </c>
      <c r="AN354" s="318">
        <f t="shared" si="297"/>
        <v>0</v>
      </c>
      <c r="AO354" s="318">
        <f t="shared" si="298"/>
        <v>0</v>
      </c>
      <c r="AP354" s="318">
        <f t="shared" si="299"/>
        <v>0</v>
      </c>
      <c r="AQ354" s="318">
        <f t="shared" si="300"/>
        <v>0</v>
      </c>
      <c r="AR354" s="318">
        <f t="shared" si="301"/>
        <v>0</v>
      </c>
      <c r="AS354" s="318">
        <f t="shared" si="302"/>
        <v>0</v>
      </c>
      <c r="AT354" s="318">
        <f t="shared" si="303"/>
        <v>0</v>
      </c>
      <c r="AU354" s="318">
        <f t="shared" si="304"/>
        <v>0</v>
      </c>
      <c r="AV354" s="318">
        <f t="shared" si="305"/>
        <v>0</v>
      </c>
      <c r="AW354" s="318">
        <f t="shared" ca="1" si="306"/>
        <v>0</v>
      </c>
      <c r="AX354" s="318">
        <f t="shared" si="307"/>
        <v>0</v>
      </c>
      <c r="AY354" s="318">
        <f t="shared" si="308"/>
        <v>0</v>
      </c>
      <c r="AZ354" s="318">
        <f t="shared" ca="1" si="309"/>
        <v>0</v>
      </c>
      <c r="BA354" s="318">
        <f t="shared" si="310"/>
        <v>0</v>
      </c>
    </row>
    <row r="355" spans="1:53" s="315" customFormat="1" ht="16.5" customHeight="1">
      <c r="A355" s="63" t="str">
        <f t="array" ref="A355">IF(C355&lt;&gt;0,SUM(($C$11:C355&lt;&gt;0)*1),"")</f>
        <v/>
      </c>
      <c r="B355" s="279"/>
      <c r="C355" s="279"/>
      <c r="D355" s="279"/>
      <c r="E355" s="317"/>
      <c r="F355" s="65"/>
      <c r="G355" s="323"/>
      <c r="H355" s="323"/>
      <c r="I355" s="63" t="str">
        <f>A355</f>
        <v/>
      </c>
      <c r="J355" s="318">
        <f t="shared" si="271"/>
        <v>0</v>
      </c>
      <c r="K355" s="318">
        <f t="shared" si="272"/>
        <v>0</v>
      </c>
      <c r="L355" s="318">
        <f t="shared" si="273"/>
        <v>0</v>
      </c>
      <c r="M355" s="318">
        <f t="shared" si="274"/>
        <v>0</v>
      </c>
      <c r="N355" s="318">
        <f t="shared" si="265"/>
        <v>0</v>
      </c>
      <c r="O355" s="318">
        <f t="shared" si="266"/>
        <v>0</v>
      </c>
      <c r="P355" s="318">
        <f t="shared" si="275"/>
        <v>0</v>
      </c>
      <c r="Q355" s="318">
        <f t="shared" si="276"/>
        <v>0</v>
      </c>
      <c r="R355" s="318">
        <f t="shared" si="277"/>
        <v>0</v>
      </c>
      <c r="S355" s="318">
        <f t="shared" si="278"/>
        <v>0</v>
      </c>
      <c r="T355" s="318">
        <f t="shared" si="279"/>
        <v>0</v>
      </c>
      <c r="U355" s="318">
        <f t="shared" si="280"/>
        <v>0</v>
      </c>
      <c r="V355" s="318">
        <f t="shared" si="281"/>
        <v>0</v>
      </c>
      <c r="W355" s="318">
        <f t="shared" si="282"/>
        <v>0</v>
      </c>
      <c r="X355" s="318">
        <f t="shared" si="283"/>
        <v>0</v>
      </c>
      <c r="Y355" s="318">
        <f t="shared" si="284"/>
        <v>0</v>
      </c>
      <c r="Z355" s="318">
        <f t="shared" si="285"/>
        <v>0</v>
      </c>
      <c r="AA355" s="318">
        <f t="shared" si="286"/>
        <v>0</v>
      </c>
      <c r="AB355" s="318">
        <f t="shared" si="287"/>
        <v>0</v>
      </c>
      <c r="AC355" s="318">
        <f t="shared" si="288"/>
        <v>0</v>
      </c>
      <c r="AD355" s="318">
        <f t="shared" si="289"/>
        <v>0</v>
      </c>
      <c r="AE355" s="318">
        <f t="shared" si="290"/>
        <v>0</v>
      </c>
      <c r="AF355" s="318">
        <f t="shared" si="267"/>
        <v>0</v>
      </c>
      <c r="AG355" s="318">
        <f t="shared" si="268"/>
        <v>0</v>
      </c>
      <c r="AH355" s="318">
        <f t="shared" si="291"/>
        <v>0</v>
      </c>
      <c r="AI355" s="318">
        <f t="shared" si="292"/>
        <v>0</v>
      </c>
      <c r="AJ355" s="318">
        <f t="shared" si="293"/>
        <v>0</v>
      </c>
      <c r="AK355" s="318">
        <f t="shared" si="294"/>
        <v>0</v>
      </c>
      <c r="AL355" s="318">
        <f t="shared" si="295"/>
        <v>0</v>
      </c>
      <c r="AM355" s="318">
        <f t="shared" si="296"/>
        <v>0</v>
      </c>
      <c r="AN355" s="318">
        <f t="shared" si="297"/>
        <v>0</v>
      </c>
      <c r="AO355" s="318">
        <f t="shared" si="298"/>
        <v>0</v>
      </c>
      <c r="AP355" s="318">
        <f t="shared" si="299"/>
        <v>0</v>
      </c>
      <c r="AQ355" s="318">
        <f t="shared" si="300"/>
        <v>0</v>
      </c>
      <c r="AR355" s="318">
        <f t="shared" si="301"/>
        <v>0</v>
      </c>
      <c r="AS355" s="318">
        <f t="shared" si="302"/>
        <v>0</v>
      </c>
      <c r="AT355" s="318">
        <f t="shared" si="303"/>
        <v>0</v>
      </c>
      <c r="AU355" s="318">
        <f t="shared" si="304"/>
        <v>0</v>
      </c>
      <c r="AV355" s="318">
        <f t="shared" si="305"/>
        <v>0</v>
      </c>
      <c r="AW355" s="318">
        <f t="shared" si="306"/>
        <v>0</v>
      </c>
      <c r="AX355" s="318">
        <f t="shared" si="307"/>
        <v>0</v>
      </c>
      <c r="AY355" s="318">
        <f t="shared" si="308"/>
        <v>0</v>
      </c>
      <c r="AZ355" s="318">
        <f t="shared" si="309"/>
        <v>0</v>
      </c>
      <c r="BA355" s="318">
        <f t="shared" si="310"/>
        <v>0</v>
      </c>
    </row>
    <row r="356" spans="1:53" s="315" customFormat="1" ht="16.5" customHeight="1">
      <c r="A356" s="324"/>
      <c r="B356" s="279"/>
      <c r="C356" s="354"/>
      <c r="D356" s="279"/>
      <c r="E356" s="317" t="s">
        <v>186</v>
      </c>
      <c r="F356" s="324"/>
      <c r="G356" s="323"/>
      <c r="H356" s="323"/>
      <c r="I356" s="324"/>
      <c r="J356" s="324">
        <f t="shared" ref="J356:BA356" ca="1" si="311">SUM(J11:J355)</f>
        <v>0</v>
      </c>
      <c r="K356" s="324">
        <f t="shared" ca="1" si="311"/>
        <v>0</v>
      </c>
      <c r="L356" s="324">
        <f t="shared" ca="1" si="311"/>
        <v>0</v>
      </c>
      <c r="M356" s="324">
        <f t="shared" ca="1" si="311"/>
        <v>0</v>
      </c>
      <c r="N356" s="324">
        <f ca="1">SUM(N11:N355)</f>
        <v>0</v>
      </c>
      <c r="O356" s="324">
        <f ca="1">SUM(O11:O355)</f>
        <v>0</v>
      </c>
      <c r="P356" s="324">
        <f t="shared" ca="1" si="311"/>
        <v>0</v>
      </c>
      <c r="Q356" s="324">
        <f t="shared" ca="1" si="311"/>
        <v>0</v>
      </c>
      <c r="R356" s="324">
        <f t="shared" ca="1" si="311"/>
        <v>0</v>
      </c>
      <c r="S356" s="324">
        <f t="shared" ca="1" si="311"/>
        <v>0</v>
      </c>
      <c r="T356" s="324">
        <f t="shared" ca="1" si="311"/>
        <v>0</v>
      </c>
      <c r="U356" s="324">
        <f t="shared" ca="1" si="311"/>
        <v>0</v>
      </c>
      <c r="V356" s="324">
        <f t="shared" ca="1" si="311"/>
        <v>0</v>
      </c>
      <c r="W356" s="324">
        <f t="shared" ca="1" si="311"/>
        <v>0</v>
      </c>
      <c r="X356" s="324">
        <f t="shared" ca="1" si="311"/>
        <v>0</v>
      </c>
      <c r="Y356" s="324">
        <f t="shared" ca="1" si="311"/>
        <v>0</v>
      </c>
      <c r="Z356" s="324">
        <f t="shared" ca="1" si="311"/>
        <v>0</v>
      </c>
      <c r="AA356" s="324">
        <f t="shared" ca="1" si="311"/>
        <v>0</v>
      </c>
      <c r="AB356" s="324">
        <f t="shared" ca="1" si="311"/>
        <v>0</v>
      </c>
      <c r="AC356" s="324">
        <f t="shared" ca="1" si="311"/>
        <v>0</v>
      </c>
      <c r="AD356" s="324">
        <f t="shared" ca="1" si="311"/>
        <v>0</v>
      </c>
      <c r="AE356" s="324">
        <f t="shared" ca="1" si="311"/>
        <v>0</v>
      </c>
      <c r="AF356" s="324">
        <f ca="1">SUM(AF11:AF355)</f>
        <v>0</v>
      </c>
      <c r="AG356" s="324">
        <f ca="1">SUM(AG11:AG355)</f>
        <v>0</v>
      </c>
      <c r="AH356" s="324">
        <f t="shared" ca="1" si="311"/>
        <v>0</v>
      </c>
      <c r="AI356" s="324">
        <f t="shared" ca="1" si="311"/>
        <v>0</v>
      </c>
      <c r="AJ356" s="324">
        <f t="shared" ca="1" si="311"/>
        <v>0</v>
      </c>
      <c r="AK356" s="324">
        <f t="shared" ca="1" si="311"/>
        <v>0</v>
      </c>
      <c r="AL356" s="324">
        <f t="shared" ca="1" si="311"/>
        <v>304750266</v>
      </c>
      <c r="AM356" s="324">
        <f t="shared" ca="1" si="311"/>
        <v>0</v>
      </c>
      <c r="AN356" s="324">
        <f t="shared" ca="1" si="311"/>
        <v>0</v>
      </c>
      <c r="AO356" s="324">
        <f t="shared" ca="1" si="311"/>
        <v>0</v>
      </c>
      <c r="AP356" s="324">
        <f t="shared" ca="1" si="311"/>
        <v>0</v>
      </c>
      <c r="AQ356" s="324">
        <f t="shared" ca="1" si="311"/>
        <v>0</v>
      </c>
      <c r="AR356" s="324">
        <f t="shared" ca="1" si="311"/>
        <v>0</v>
      </c>
      <c r="AS356" s="324">
        <f t="shared" ca="1" si="311"/>
        <v>0</v>
      </c>
      <c r="AT356" s="324">
        <f t="shared" ca="1" si="311"/>
        <v>0</v>
      </c>
      <c r="AU356" s="324">
        <f t="shared" ca="1" si="311"/>
        <v>0</v>
      </c>
      <c r="AV356" s="324">
        <f t="shared" ca="1" si="311"/>
        <v>0</v>
      </c>
      <c r="AW356" s="324">
        <f t="shared" ca="1" si="311"/>
        <v>0</v>
      </c>
      <c r="AX356" s="324">
        <f t="shared" ca="1" si="311"/>
        <v>0</v>
      </c>
      <c r="AY356" s="324">
        <f t="shared" ca="1" si="311"/>
        <v>0</v>
      </c>
      <c r="AZ356" s="324">
        <f t="shared" ca="1" si="311"/>
        <v>0</v>
      </c>
      <c r="BA356" s="324">
        <f t="shared" ca="1" si="311"/>
        <v>304750266</v>
      </c>
    </row>
    <row r="357" spans="1:53" s="315" customFormat="1" ht="16.5" customHeight="1">
      <c r="A357" s="325"/>
      <c r="B357" s="325"/>
      <c r="C357" s="325"/>
      <c r="D357" s="325"/>
      <c r="E357" s="326" t="s">
        <v>229</v>
      </c>
      <c r="F357" s="325"/>
      <c r="G357" s="327"/>
      <c r="H357" s="327"/>
      <c r="I357" s="325"/>
      <c r="J357" s="347">
        <f ca="1">MAX(J10+J356-K10-K356,0)</f>
        <v>3705039095</v>
      </c>
      <c r="K357" s="347">
        <f ca="1">MAX(K10+K356-J10-J356,0)</f>
        <v>0</v>
      </c>
      <c r="L357" s="347">
        <f ca="1">MAX(L10+L356-M10-M356,0)</f>
        <v>19829295</v>
      </c>
      <c r="M357" s="347">
        <f ca="1">MAX(M10+M356-L10-L356,0)</f>
        <v>0</v>
      </c>
      <c r="N357" s="347">
        <f ca="1">MAX(N10+N356-O10-O356,0)</f>
        <v>2236796790</v>
      </c>
      <c r="O357" s="347">
        <f ca="1">MAX(O10+O356-N10-N356,0)</f>
        <v>0</v>
      </c>
      <c r="P357" s="347">
        <f ca="1">MAX(P10+P356-Q10-Q356,0)</f>
        <v>162420936</v>
      </c>
      <c r="Q357" s="347">
        <f ca="1">MAX(Q10+Q356-P10-P356,0)</f>
        <v>0</v>
      </c>
      <c r="R357" s="347">
        <f ca="1">MAX(R10+R356-S10-S356,0)</f>
        <v>1500000000</v>
      </c>
      <c r="S357" s="347">
        <f ca="1">MAX(S10+S356-R10-R356,0)</f>
        <v>0</v>
      </c>
      <c r="T357" s="347">
        <f ca="1">MAX(T10+T356-U10-U356,0)</f>
        <v>0</v>
      </c>
      <c r="U357" s="347">
        <f ca="1">MAX(U10+U356-T10-T356,0)</f>
        <v>0</v>
      </c>
      <c r="V357" s="347">
        <f ca="1">MAX(V10+V356-W10-W356,0)</f>
        <v>0</v>
      </c>
      <c r="W357" s="347">
        <f ca="1">MAX(W10+W356-V10-V356,0)</f>
        <v>476953252</v>
      </c>
      <c r="X357" s="347">
        <f ca="1">MAX(X10+X356-Y10-Y356,0)</f>
        <v>0</v>
      </c>
      <c r="Y357" s="347">
        <f ca="1">MAX(Y10+Y356-X10-X356,0)</f>
        <v>3313435</v>
      </c>
      <c r="Z357" s="347">
        <f ca="1">MAX(Z10+Z356-AA10-AA356,0)</f>
        <v>0</v>
      </c>
      <c r="AA357" s="347">
        <f ca="1">MAX(AA10+AA356-Z10-Z356,0)</f>
        <v>0</v>
      </c>
      <c r="AB357" s="347">
        <f ca="1">MAX(AB10+AB356-AC10-AC356,0)</f>
        <v>0</v>
      </c>
      <c r="AC357" s="347">
        <f ca="1">MAX(AC10+AC356-AB10-AB356,0)</f>
        <v>0</v>
      </c>
      <c r="AD357" s="347">
        <f ca="1">MAX(AD10+AD356-AE10-AE356,0)</f>
        <v>0</v>
      </c>
      <c r="AE357" s="347">
        <f ca="1">MAX(AE10+AE356-AD10-AD356,0)</f>
        <v>2169121879</v>
      </c>
      <c r="AF357" s="347">
        <f ca="1">MAX(AF10+AF356-AG10-AG356,0)</f>
        <v>0</v>
      </c>
      <c r="AG357" s="347">
        <f ca="1">MAX(AG10+AG356-AF10-AF356,0)</f>
        <v>21202920500</v>
      </c>
      <c r="AH357" s="347">
        <f ca="1">MAX(AH10+AH356-AI10-AI356,0)</f>
        <v>0</v>
      </c>
      <c r="AI357" s="347">
        <f ca="1">MAX(AI10+AI356-AH10-AH356,0)</f>
        <v>10000000000</v>
      </c>
      <c r="AJ357" s="347">
        <f ca="1">MAX(AJ10+AJ356-AK10-AK356,0)</f>
        <v>0</v>
      </c>
      <c r="AK357" s="347">
        <f ca="1">MAX(AK10+AK356-AJ10-AJ356,0)</f>
        <v>486535137</v>
      </c>
      <c r="AL357" s="347">
        <f ca="1">MAX(AL10+AL356-AM10-AM356,0)</f>
        <v>329315848.99999952</v>
      </c>
      <c r="AM357" s="347">
        <f ca="1">MAX(AM10+AM356-AL10-AL356,0)</f>
        <v>0</v>
      </c>
      <c r="AN357" s="347">
        <f ca="1">MAX(AN10+AN356-AO10-AO356,0)</f>
        <v>0</v>
      </c>
      <c r="AO357" s="347">
        <f ca="1">MAX(AO10+AO356-AN10-AN356,0)</f>
        <v>0</v>
      </c>
      <c r="AP357" s="347">
        <f ca="1">MAX(AP10+AP356-AQ10-AQ356,0)</f>
        <v>0</v>
      </c>
      <c r="AQ357" s="347">
        <f ca="1">MAX(AQ10+AQ356-AP10-AP356,0)</f>
        <v>0</v>
      </c>
      <c r="AR357" s="347">
        <f ca="1">MAX(AR10+AR356-AS10-AS356,0)</f>
        <v>0</v>
      </c>
      <c r="AS357" s="347">
        <f ca="1">MAX(AS10+AS356-AR10-AR356,0)</f>
        <v>0</v>
      </c>
      <c r="AT357" s="347">
        <f ca="1">MAX(AT10+AT356-AU10-AU356,0)</f>
        <v>0</v>
      </c>
      <c r="AU357" s="347">
        <f ca="1">MAX(AU10+AU356-AT10-AT356,0)</f>
        <v>0</v>
      </c>
      <c r="AV357" s="347">
        <f ca="1">MAX(AV10+AV356-AW10-AW356,0)</f>
        <v>0</v>
      </c>
      <c r="AW357" s="347">
        <f ca="1">MAX(AW10+AW356-AV10-AV356,0)</f>
        <v>0</v>
      </c>
      <c r="AX357" s="347">
        <f ca="1">MAX(AX10+AX356-AY10-AY356,0)</f>
        <v>0</v>
      </c>
      <c r="AY357" s="347">
        <f ca="1">MAX(AY10+AY356-AX10-AX356,0)</f>
        <v>0</v>
      </c>
      <c r="AZ357" s="347">
        <f ca="1">MAX(AZ10+AZ356-BA10-BA356,0)</f>
        <v>0</v>
      </c>
      <c r="BA357" s="347">
        <f ca="1">MAX(BA10+BA356-AZ10-AZ356,0)</f>
        <v>359476733</v>
      </c>
    </row>
    <row r="358" spans="1:53" s="315" customFormat="1" ht="16.5" customHeight="1">
      <c r="A358" s="329"/>
      <c r="B358" s="329"/>
      <c r="C358" s="330"/>
      <c r="D358" s="329"/>
      <c r="E358" s="331" t="s">
        <v>230</v>
      </c>
      <c r="F358" s="329"/>
      <c r="G358" s="332"/>
      <c r="H358" s="332"/>
      <c r="I358" s="329"/>
      <c r="J358" s="329">
        <f ca="1">J356+'SC-III'!J245</f>
        <v>0</v>
      </c>
      <c r="K358" s="329">
        <f ca="1">K356+'SC-III'!K245</f>
        <v>0</v>
      </c>
      <c r="L358" s="329">
        <f ca="1">L356+'SC-III'!L245</f>
        <v>0</v>
      </c>
      <c r="M358" s="329">
        <f ca="1">M356+'SC-III'!M245</f>
        <v>0</v>
      </c>
      <c r="N358" s="329">
        <f ca="1">N356+'SC-III'!N245</f>
        <v>0</v>
      </c>
      <c r="O358" s="329">
        <f ca="1">O356+'SC-III'!O245</f>
        <v>0</v>
      </c>
      <c r="P358" s="329">
        <f ca="1">P356+'SC-III'!P245</f>
        <v>0</v>
      </c>
      <c r="Q358" s="329">
        <f ca="1">Q356+'SC-III'!Q245</f>
        <v>0</v>
      </c>
      <c r="R358" s="329">
        <f ca="1">R356+'SC-III'!R245</f>
        <v>0</v>
      </c>
      <c r="S358" s="329">
        <f ca="1">S356+'SC-III'!S245</f>
        <v>0</v>
      </c>
      <c r="T358" s="329">
        <f ca="1">T356+'SC-III'!T245</f>
        <v>0</v>
      </c>
      <c r="U358" s="329">
        <f ca="1">U356+'SC-III'!U245</f>
        <v>0</v>
      </c>
      <c r="V358" s="329">
        <f ca="1">V356+'SC-III'!V245</f>
        <v>0</v>
      </c>
      <c r="W358" s="329">
        <f ca="1">W356+'SC-III'!W245</f>
        <v>0</v>
      </c>
      <c r="X358" s="329">
        <f ca="1">X356+'SC-III'!X245</f>
        <v>0</v>
      </c>
      <c r="Y358" s="329">
        <f ca="1">Y356+'SC-III'!Y245</f>
        <v>0</v>
      </c>
      <c r="Z358" s="329">
        <f ca="1">Z356+'SC-III'!Z245</f>
        <v>0</v>
      </c>
      <c r="AA358" s="329">
        <f ca="1">AA356+'SC-III'!AA245</f>
        <v>0</v>
      </c>
      <c r="AB358" s="329">
        <f ca="1">AB356+'SC-III'!AB245</f>
        <v>0</v>
      </c>
      <c r="AC358" s="329">
        <f ca="1">AC356+'SC-III'!AC245</f>
        <v>0</v>
      </c>
      <c r="AD358" s="329">
        <f ca="1">AD356+'SC-III'!AD245</f>
        <v>0</v>
      </c>
      <c r="AE358" s="329">
        <f ca="1">AE356+'SC-III'!AE245</f>
        <v>0</v>
      </c>
      <c r="AF358" s="329">
        <f ca="1">AF356+'SC-III'!AF245</f>
        <v>0</v>
      </c>
      <c r="AG358" s="329">
        <f ca="1">AG356+'SC-III'!AG245</f>
        <v>0</v>
      </c>
      <c r="AH358" s="329">
        <f ca="1">AH356+'SC-III'!AH245</f>
        <v>0</v>
      </c>
      <c r="AI358" s="329">
        <f ca="1">AI356+'SC-III'!AI245</f>
        <v>0</v>
      </c>
      <c r="AJ358" s="329">
        <f ca="1">AJ356+'SC-III'!AJ245</f>
        <v>0</v>
      </c>
      <c r="AK358" s="329">
        <f ca="1">AK356+'SC-III'!AK245</f>
        <v>0</v>
      </c>
      <c r="AL358" s="329">
        <f ca="1">AL356+'SC-III'!AL245</f>
        <v>359476733</v>
      </c>
      <c r="AM358" s="329">
        <f ca="1">AM356+'SC-III'!AM245</f>
        <v>0</v>
      </c>
      <c r="AN358" s="329">
        <f ca="1">AN356+'SC-III'!AN245</f>
        <v>0</v>
      </c>
      <c r="AO358" s="329">
        <f ca="1">AO356+'SC-III'!AO245</f>
        <v>0</v>
      </c>
      <c r="AP358" s="329">
        <f ca="1">AP356+'SC-III'!AP245</f>
        <v>0</v>
      </c>
      <c r="AQ358" s="329">
        <f ca="1">AQ356+'SC-III'!AQ245</f>
        <v>0</v>
      </c>
      <c r="AR358" s="329">
        <f ca="1">AR356+'SC-III'!AR245</f>
        <v>0</v>
      </c>
      <c r="AS358" s="329">
        <f ca="1">AS356+'SC-III'!AS245</f>
        <v>0</v>
      </c>
      <c r="AT358" s="329">
        <f ca="1">AT356+'SC-III'!AT245</f>
        <v>0</v>
      </c>
      <c r="AU358" s="329">
        <f ca="1">AU356+'SC-III'!AU245</f>
        <v>0</v>
      </c>
      <c r="AV358" s="329">
        <f ca="1">AV356+'SC-III'!AV245</f>
        <v>0</v>
      </c>
      <c r="AW358" s="329">
        <f ca="1">AW356+'SC-III'!AW245</f>
        <v>0</v>
      </c>
      <c r="AX358" s="329">
        <f ca="1">AX356+'SC-III'!AX245</f>
        <v>0</v>
      </c>
      <c r="AY358" s="329">
        <f ca="1">AY356+'SC-III'!AY245</f>
        <v>0</v>
      </c>
      <c r="AZ358" s="329">
        <f ca="1">AZ356+'SC-III'!AZ245</f>
        <v>0</v>
      </c>
      <c r="BA358" s="329">
        <f ca="1">BA356+'SC-III'!BA245</f>
        <v>359476733</v>
      </c>
    </row>
    <row r="359" spans="1:53" ht="12" customHeight="1">
      <c r="B359" s="334"/>
      <c r="C359" s="335"/>
      <c r="D359" s="335"/>
      <c r="E359" s="335"/>
      <c r="F359" s="335"/>
      <c r="G359" s="336"/>
      <c r="H359" s="336"/>
      <c r="I359" s="335"/>
      <c r="J359" s="335"/>
      <c r="K359" s="335"/>
      <c r="AB359" s="335"/>
      <c r="AC359" s="335"/>
      <c r="AD359" s="335"/>
      <c r="AE359" s="336"/>
      <c r="AF359" s="335"/>
      <c r="AG359" s="336"/>
      <c r="AH359" s="336"/>
      <c r="AI359" s="336"/>
      <c r="AJ359" s="336"/>
      <c r="AK359" s="352"/>
      <c r="AL359" s="335"/>
      <c r="AM359" s="335"/>
      <c r="AN359" s="335"/>
      <c r="AO359" s="335"/>
      <c r="AR359" s="335"/>
      <c r="AS359" s="335"/>
      <c r="AT359" s="335"/>
      <c r="AU359" s="335"/>
      <c r="AV359" s="335"/>
      <c r="AW359" s="335"/>
      <c r="AZ359" s="335"/>
      <c r="BA359" s="335"/>
    </row>
    <row r="360" spans="1:53" ht="12" customHeight="1">
      <c r="B360" s="334"/>
      <c r="C360" s="335"/>
      <c r="D360" s="335"/>
      <c r="E360" s="335"/>
      <c r="F360" s="335"/>
      <c r="G360" s="336"/>
      <c r="H360" s="336"/>
      <c r="I360" s="335"/>
      <c r="J360" s="335"/>
      <c r="K360" s="335"/>
      <c r="AB360" s="335"/>
      <c r="AC360" s="335"/>
      <c r="AD360" s="335"/>
      <c r="AE360" s="336"/>
      <c r="AF360" s="335"/>
      <c r="AG360" s="336"/>
      <c r="AH360" s="336"/>
      <c r="AI360" s="336"/>
      <c r="AJ360" s="336"/>
      <c r="AK360" s="352"/>
      <c r="AL360" s="338" t="s">
        <v>266</v>
      </c>
      <c r="AM360" s="339"/>
      <c r="AN360" s="339"/>
      <c r="AO360" s="339"/>
      <c r="AP360" s="339"/>
      <c r="AQ360" s="339"/>
      <c r="AR360" s="340"/>
      <c r="AS360" s="340"/>
      <c r="AT360" s="339"/>
    </row>
    <row r="361" spans="1:53" ht="12" customHeight="1">
      <c r="J361" s="337"/>
      <c r="K361" s="337"/>
      <c r="L361" s="337"/>
      <c r="M361" s="355"/>
      <c r="N361" s="337"/>
      <c r="O361" s="355"/>
      <c r="P361" s="355"/>
      <c r="Q361" s="355"/>
      <c r="R361" s="337"/>
      <c r="AE361" s="294"/>
      <c r="AG361" s="294"/>
      <c r="AH361" s="294"/>
      <c r="AI361" s="294"/>
      <c r="AJ361" s="294"/>
      <c r="AK361" s="356"/>
      <c r="AL361" s="341" t="s">
        <v>247</v>
      </c>
      <c r="AM361" s="339"/>
      <c r="AN361" s="339"/>
      <c r="AO361" s="339"/>
      <c r="AP361" s="339"/>
      <c r="AQ361" s="339"/>
      <c r="AR361" s="340"/>
      <c r="AS361" s="340"/>
      <c r="AT361" s="339"/>
    </row>
    <row r="362" spans="1:53" s="300" customFormat="1" ht="12" customHeight="1">
      <c r="F362" s="357"/>
      <c r="G362" s="358"/>
      <c r="H362" s="358"/>
      <c r="R362" s="359"/>
      <c r="Z362" s="293"/>
      <c r="AA362" s="293"/>
      <c r="AE362" s="358"/>
      <c r="AG362" s="358"/>
      <c r="AH362" s="358"/>
      <c r="AI362" s="358"/>
      <c r="AJ362" s="358"/>
      <c r="AK362" s="360"/>
      <c r="AL362" s="339"/>
      <c r="AM362" s="339"/>
      <c r="AN362" s="339"/>
      <c r="AO362" s="339"/>
      <c r="AP362" s="339"/>
      <c r="AQ362" s="339"/>
      <c r="AR362" s="339"/>
      <c r="AS362" s="339"/>
      <c r="AT362" s="340"/>
      <c r="AU362" s="293"/>
      <c r="AV362" s="293"/>
      <c r="AW362" s="293"/>
      <c r="AX362" s="293"/>
      <c r="AY362" s="293"/>
      <c r="AZ362" s="293"/>
      <c r="BA362" s="293"/>
    </row>
    <row r="363" spans="1:53" ht="12" customHeight="1">
      <c r="L363" s="315"/>
      <c r="N363" s="315"/>
      <c r="AE363" s="294"/>
      <c r="AG363" s="294"/>
      <c r="AH363" s="294"/>
      <c r="AI363" s="294"/>
      <c r="AJ363" s="294"/>
      <c r="AK363" s="356"/>
      <c r="AL363" s="339"/>
      <c r="AM363" s="339"/>
      <c r="AN363" s="339"/>
      <c r="AO363" s="339"/>
      <c r="AP363" s="339"/>
      <c r="AQ363" s="339"/>
      <c r="AR363" s="339"/>
      <c r="AS363" s="339"/>
      <c r="AT363" s="340"/>
      <c r="AZ363" s="342" t="str">
        <f>"Ngày 31 tháng 12 năm 2015 "</f>
        <v xml:space="preserve">Ngày 31 tháng 12 năm 2015 </v>
      </c>
    </row>
    <row r="364" spans="1:53">
      <c r="J364" s="315"/>
      <c r="K364" s="315"/>
      <c r="AL364" s="339"/>
      <c r="AM364" s="343" t="s">
        <v>11</v>
      </c>
      <c r="AN364" s="339"/>
      <c r="AO364" s="339"/>
      <c r="AP364" s="339"/>
      <c r="AQ364" s="339"/>
      <c r="AR364" s="339"/>
      <c r="AS364" s="344" t="s">
        <v>12</v>
      </c>
      <c r="AT364" s="340"/>
      <c r="AZ364" s="343" t="s">
        <v>132</v>
      </c>
    </row>
    <row r="365" spans="1:53">
      <c r="T365" s="315"/>
      <c r="AL365" s="339"/>
      <c r="AM365" s="345" t="s">
        <v>13</v>
      </c>
      <c r="AN365" s="339"/>
      <c r="AO365" s="339"/>
      <c r="AP365" s="339"/>
      <c r="AQ365" s="339"/>
      <c r="AR365" s="339"/>
      <c r="AS365" s="346" t="s">
        <v>13</v>
      </c>
      <c r="AT365" s="340"/>
      <c r="AZ365" s="345" t="s">
        <v>163</v>
      </c>
    </row>
    <row r="366" spans="1:53">
      <c r="F366" s="315"/>
      <c r="T366" s="315"/>
      <c r="AL366" s="339"/>
      <c r="AM366" s="339"/>
      <c r="AN366" s="339"/>
      <c r="AO366" s="339"/>
      <c r="AP366" s="339"/>
      <c r="AQ366" s="339"/>
      <c r="AR366" s="339"/>
      <c r="AS366" s="339"/>
      <c r="AT366" s="340"/>
      <c r="AZ366" s="339"/>
    </row>
    <row r="367" spans="1:53">
      <c r="F367" s="315"/>
      <c r="T367" s="315"/>
      <c r="AZ367" s="339"/>
    </row>
    <row r="368" spans="1:53">
      <c r="F368" s="315"/>
      <c r="G368" s="315"/>
      <c r="T368" s="315"/>
    </row>
    <row r="369" spans="5:20">
      <c r="F369" s="315"/>
      <c r="T369" s="315"/>
    </row>
    <row r="370" spans="5:20">
      <c r="F370" s="315"/>
      <c r="T370" s="315"/>
    </row>
    <row r="371" spans="5:20">
      <c r="F371" s="315"/>
      <c r="M371" s="337"/>
      <c r="O371" s="337"/>
      <c r="P371" s="337"/>
      <c r="Q371" s="337"/>
      <c r="R371" s="337"/>
      <c r="T371" s="315"/>
    </row>
    <row r="372" spans="5:20">
      <c r="E372" s="348"/>
      <c r="F372" s="315"/>
      <c r="M372" s="337"/>
      <c r="O372" s="337"/>
      <c r="P372" s="337"/>
      <c r="Q372" s="337"/>
      <c r="R372" s="337"/>
    </row>
    <row r="373" spans="5:20">
      <c r="F373" s="337"/>
      <c r="M373" s="337"/>
      <c r="O373" s="337"/>
      <c r="P373" s="337"/>
      <c r="Q373" s="337"/>
      <c r="R373" s="337"/>
    </row>
    <row r="374" spans="5:20">
      <c r="F374" s="337"/>
      <c r="M374" s="337"/>
      <c r="O374" s="337"/>
      <c r="P374" s="337"/>
      <c r="Q374" s="337"/>
      <c r="R374" s="337"/>
    </row>
    <row r="375" spans="5:20">
      <c r="E375" s="337"/>
      <c r="F375" s="337"/>
      <c r="M375" s="337"/>
      <c r="O375" s="337"/>
      <c r="P375" s="337"/>
      <c r="Q375" s="337"/>
      <c r="R375" s="337"/>
    </row>
    <row r="376" spans="5:20">
      <c r="E376" s="337"/>
      <c r="F376" s="337"/>
      <c r="M376" s="337"/>
      <c r="O376" s="337"/>
      <c r="P376" s="337"/>
      <c r="Q376" s="337"/>
      <c r="R376" s="337"/>
    </row>
    <row r="377" spans="5:20">
      <c r="E377" s="337"/>
      <c r="F377" s="337"/>
      <c r="M377" s="337"/>
      <c r="O377" s="337"/>
      <c r="P377" s="337"/>
      <c r="Q377" s="337"/>
      <c r="R377" s="337"/>
    </row>
    <row r="378" spans="5:20">
      <c r="E378" s="337"/>
      <c r="F378" s="337"/>
      <c r="M378" s="337"/>
      <c r="O378" s="337"/>
      <c r="P378" s="337"/>
      <c r="Q378" s="337"/>
      <c r="R378" s="337"/>
    </row>
    <row r="379" spans="5:20">
      <c r="E379" s="337"/>
      <c r="F379" s="337"/>
      <c r="M379" s="337"/>
      <c r="O379" s="337"/>
      <c r="P379" s="337"/>
      <c r="Q379" s="337"/>
      <c r="R379" s="337"/>
    </row>
    <row r="380" spans="5:20">
      <c r="E380" s="337"/>
      <c r="F380" s="337"/>
      <c r="M380" s="337"/>
      <c r="O380" s="337"/>
      <c r="P380" s="337"/>
      <c r="Q380" s="337"/>
      <c r="R380" s="337"/>
    </row>
    <row r="381" spans="5:20">
      <c r="F381" s="337"/>
      <c r="M381" s="337"/>
      <c r="O381" s="337"/>
      <c r="P381" s="337"/>
      <c r="Q381" s="337"/>
      <c r="R381" s="337"/>
    </row>
    <row r="382" spans="5:20">
      <c r="F382" s="337"/>
      <c r="M382" s="337"/>
      <c r="O382" s="337"/>
      <c r="P382" s="337"/>
      <c r="Q382" s="337"/>
      <c r="R382" s="337"/>
    </row>
    <row r="383" spans="5:20">
      <c r="F383" s="337"/>
      <c r="M383" s="337"/>
      <c r="O383" s="337"/>
      <c r="P383" s="337"/>
      <c r="Q383" s="337"/>
      <c r="R383" s="337"/>
    </row>
    <row r="384" spans="5:20">
      <c r="F384" s="337"/>
      <c r="M384" s="337"/>
      <c r="O384" s="337"/>
      <c r="P384" s="337"/>
      <c r="Q384" s="337"/>
      <c r="R384" s="337"/>
    </row>
    <row r="385" spans="6:18">
      <c r="F385" s="337"/>
      <c r="M385" s="337"/>
      <c r="O385" s="337"/>
      <c r="P385" s="337"/>
      <c r="Q385" s="337"/>
      <c r="R385" s="337"/>
    </row>
    <row r="386" spans="6:18">
      <c r="F386" s="337"/>
      <c r="M386" s="337"/>
      <c r="O386" s="337"/>
      <c r="P386" s="337"/>
      <c r="Q386" s="337"/>
      <c r="R386" s="337"/>
    </row>
    <row r="387" spans="6:18">
      <c r="M387" s="337"/>
      <c r="O387" s="337"/>
      <c r="P387" s="337"/>
      <c r="Q387" s="337"/>
      <c r="R387" s="337"/>
    </row>
    <row r="389" spans="6:18">
      <c r="M389" s="337"/>
      <c r="O389" s="337"/>
      <c r="P389" s="337"/>
      <c r="Q389" s="337"/>
      <c r="R389" s="337"/>
    </row>
    <row r="390" spans="6:18">
      <c r="M390" s="337"/>
      <c r="O390" s="337"/>
      <c r="P390" s="337"/>
      <c r="Q390" s="337"/>
      <c r="R390" s="337"/>
    </row>
    <row r="391" spans="6:18">
      <c r="M391" s="337"/>
      <c r="O391" s="337"/>
      <c r="P391" s="337"/>
      <c r="Q391" s="337"/>
      <c r="R391" s="337"/>
    </row>
    <row r="392" spans="6:18">
      <c r="M392" s="337"/>
      <c r="O392" s="337"/>
      <c r="P392" s="337"/>
      <c r="Q392" s="337"/>
      <c r="R392" s="337"/>
    </row>
    <row r="393" spans="6:18">
      <c r="M393" s="337"/>
      <c r="O393" s="337"/>
      <c r="P393" s="337"/>
      <c r="Q393" s="337"/>
      <c r="R393" s="337"/>
    </row>
    <row r="394" spans="6:18">
      <c r="M394" s="337"/>
      <c r="O394" s="337"/>
      <c r="P394" s="337"/>
      <c r="Q394" s="337"/>
      <c r="R394" s="337"/>
    </row>
    <row r="407" spans="13:17">
      <c r="M407" s="337"/>
      <c r="O407" s="337"/>
      <c r="P407" s="337"/>
      <c r="Q407" s="337"/>
    </row>
    <row r="424" spans="13:18">
      <c r="R424" s="337"/>
    </row>
    <row r="425" spans="13:18">
      <c r="R425" s="337"/>
    </row>
    <row r="426" spans="13:18">
      <c r="M426" s="337"/>
      <c r="O426" s="337"/>
      <c r="P426" s="337"/>
      <c r="Q426" s="337"/>
      <c r="R426" s="337"/>
    </row>
    <row r="427" spans="13:18">
      <c r="M427" s="337"/>
      <c r="O427" s="337"/>
      <c r="P427" s="337"/>
      <c r="Q427" s="337"/>
      <c r="R427" s="337"/>
    </row>
    <row r="428" spans="13:18">
      <c r="M428" s="337"/>
      <c r="O428" s="337"/>
      <c r="P428" s="337"/>
      <c r="Q428" s="337"/>
    </row>
    <row r="429" spans="13:18">
      <c r="M429" s="337"/>
      <c r="O429" s="337"/>
      <c r="P429" s="337"/>
      <c r="Q429" s="337"/>
    </row>
    <row r="431" spans="13:18">
      <c r="M431" s="337"/>
      <c r="O431" s="337"/>
      <c r="P431" s="337"/>
      <c r="Q431" s="337"/>
      <c r="R431" s="337"/>
    </row>
    <row r="432" spans="13:18">
      <c r="M432" s="337"/>
      <c r="O432" s="337"/>
      <c r="P432" s="337"/>
      <c r="Q432" s="337"/>
      <c r="R432" s="337"/>
    </row>
    <row r="439" spans="13:18">
      <c r="M439" s="337"/>
      <c r="O439" s="337"/>
      <c r="P439" s="337"/>
      <c r="Q439" s="337"/>
      <c r="R439" s="337"/>
    </row>
    <row r="440" spans="13:18">
      <c r="M440" s="337"/>
      <c r="O440" s="337"/>
      <c r="P440" s="337"/>
      <c r="Q440" s="337"/>
      <c r="R440" s="337"/>
    </row>
    <row r="441" spans="13:18">
      <c r="M441" s="337"/>
      <c r="O441" s="337"/>
      <c r="P441" s="337"/>
      <c r="Q441" s="337"/>
      <c r="R441" s="337"/>
    </row>
    <row r="445" spans="13:18">
      <c r="M445" s="337"/>
      <c r="O445" s="337"/>
      <c r="P445" s="337"/>
      <c r="Q445" s="337"/>
      <c r="R445" s="337"/>
    </row>
    <row r="446" spans="13:18">
      <c r="M446" s="337"/>
      <c r="O446" s="337"/>
      <c r="P446" s="337"/>
      <c r="Q446" s="337"/>
      <c r="R446" s="337"/>
    </row>
    <row r="447" spans="13:18">
      <c r="M447" s="337"/>
      <c r="O447" s="337"/>
      <c r="P447" s="337"/>
      <c r="Q447" s="337"/>
      <c r="R447" s="337"/>
    </row>
    <row r="448" spans="13:18">
      <c r="M448" s="337"/>
      <c r="O448" s="337"/>
      <c r="P448" s="337"/>
      <c r="Q448" s="337"/>
      <c r="R448" s="337"/>
    </row>
    <row r="449" spans="13:18">
      <c r="M449" s="337"/>
      <c r="O449" s="337"/>
      <c r="P449" s="337"/>
      <c r="Q449" s="337"/>
      <c r="R449" s="337"/>
    </row>
    <row r="450" spans="13:18">
      <c r="M450" s="337"/>
      <c r="O450" s="337"/>
      <c r="P450" s="337"/>
      <c r="Q450" s="337"/>
      <c r="R450" s="337"/>
    </row>
    <row r="451" spans="13:18">
      <c r="M451" s="337"/>
      <c r="O451" s="337"/>
      <c r="P451" s="337"/>
      <c r="Q451" s="337"/>
      <c r="R451" s="337"/>
    </row>
    <row r="452" spans="13:18">
      <c r="M452" s="337"/>
      <c r="O452" s="337"/>
      <c r="P452" s="337"/>
      <c r="Q452" s="337"/>
      <c r="R452" s="337"/>
    </row>
    <row r="453" spans="13:18">
      <c r="M453" s="337"/>
      <c r="O453" s="337"/>
      <c r="P453" s="337"/>
      <c r="Q453" s="337"/>
      <c r="R453" s="337"/>
    </row>
    <row r="454" spans="13:18">
      <c r="M454" s="337"/>
      <c r="O454" s="337"/>
      <c r="P454" s="337"/>
      <c r="Q454" s="337"/>
      <c r="R454" s="337"/>
    </row>
    <row r="455" spans="13:18">
      <c r="M455" s="337"/>
      <c r="O455" s="337"/>
      <c r="P455" s="337"/>
      <c r="Q455" s="337"/>
      <c r="R455" s="337"/>
    </row>
    <row r="456" spans="13:18">
      <c r="M456" s="337"/>
      <c r="O456" s="337"/>
      <c r="P456" s="337"/>
      <c r="Q456" s="337"/>
      <c r="R456" s="337"/>
    </row>
    <row r="457" spans="13:18">
      <c r="M457" s="337"/>
      <c r="O457" s="337"/>
      <c r="P457" s="337"/>
      <c r="Q457" s="337"/>
      <c r="R457" s="337"/>
    </row>
    <row r="458" spans="13:18">
      <c r="M458" s="337"/>
      <c r="O458" s="337"/>
      <c r="P458" s="337"/>
      <c r="Q458" s="337"/>
      <c r="R458" s="337"/>
    </row>
    <row r="459" spans="13:18">
      <c r="M459" s="337"/>
      <c r="O459" s="337"/>
      <c r="P459" s="337"/>
      <c r="Q459" s="337"/>
      <c r="R459" s="337"/>
    </row>
    <row r="460" spans="13:18">
      <c r="M460" s="337"/>
      <c r="O460" s="337"/>
      <c r="P460" s="337"/>
      <c r="Q460" s="337"/>
      <c r="R460" s="337"/>
    </row>
    <row r="461" spans="13:18">
      <c r="M461" s="337"/>
      <c r="O461" s="337"/>
      <c r="P461" s="337"/>
      <c r="Q461" s="337"/>
      <c r="R461" s="337"/>
    </row>
    <row r="462" spans="13:18">
      <c r="M462" s="337"/>
      <c r="O462" s="337"/>
      <c r="P462" s="337"/>
      <c r="Q462" s="337"/>
      <c r="R462" s="337"/>
    </row>
    <row r="463" spans="13:18">
      <c r="M463" s="337"/>
      <c r="O463" s="337"/>
      <c r="P463" s="337"/>
      <c r="Q463" s="337"/>
      <c r="R463" s="337"/>
    </row>
    <row r="464" spans="13:18">
      <c r="M464" s="337"/>
      <c r="O464" s="337"/>
      <c r="P464" s="337"/>
      <c r="Q464" s="337"/>
      <c r="R464" s="337"/>
    </row>
    <row r="465" spans="13:18">
      <c r="M465" s="337"/>
      <c r="O465" s="337"/>
      <c r="P465" s="337"/>
      <c r="Q465" s="337"/>
      <c r="R465" s="337"/>
    </row>
    <row r="466" spans="13:18">
      <c r="M466" s="337"/>
      <c r="O466" s="337"/>
      <c r="P466" s="337"/>
      <c r="Q466" s="337"/>
      <c r="R466" s="337"/>
    </row>
    <row r="467" spans="13:18">
      <c r="M467" s="337"/>
      <c r="O467" s="337"/>
      <c r="P467" s="337"/>
      <c r="Q467" s="337"/>
      <c r="R467" s="337"/>
    </row>
    <row r="468" spans="13:18">
      <c r="M468" s="337"/>
      <c r="O468" s="337"/>
      <c r="P468" s="337"/>
      <c r="Q468" s="337"/>
      <c r="R468" s="337"/>
    </row>
    <row r="469" spans="13:18">
      <c r="M469" s="337"/>
      <c r="O469" s="337"/>
      <c r="P469" s="337"/>
      <c r="Q469" s="337"/>
      <c r="R469" s="337"/>
    </row>
    <row r="470" spans="13:18">
      <c r="M470" s="337"/>
      <c r="O470" s="337"/>
      <c r="P470" s="337"/>
      <c r="Q470" s="337"/>
      <c r="R470" s="337"/>
    </row>
    <row r="471" spans="13:18">
      <c r="M471" s="337"/>
      <c r="O471" s="337"/>
      <c r="P471" s="337"/>
      <c r="Q471" s="337"/>
      <c r="R471" s="337"/>
    </row>
    <row r="472" spans="13:18">
      <c r="M472" s="337"/>
      <c r="O472" s="337"/>
      <c r="P472" s="337"/>
      <c r="Q472" s="337"/>
      <c r="R472" s="337"/>
    </row>
    <row r="473" spans="13:18">
      <c r="M473" s="337"/>
      <c r="O473" s="337"/>
      <c r="P473" s="337"/>
      <c r="Q473" s="337"/>
      <c r="R473" s="337"/>
    </row>
    <row r="474" spans="13:18">
      <c r="M474" s="337"/>
      <c r="O474" s="337"/>
      <c r="P474" s="337"/>
      <c r="Q474" s="337"/>
      <c r="R474" s="337"/>
    </row>
    <row r="475" spans="13:18">
      <c r="M475" s="337"/>
      <c r="O475" s="337"/>
      <c r="P475" s="337"/>
      <c r="Q475" s="337"/>
      <c r="R475" s="337"/>
    </row>
    <row r="476" spans="13:18">
      <c r="M476" s="337"/>
      <c r="O476" s="337"/>
      <c r="P476" s="337"/>
      <c r="Q476" s="337"/>
      <c r="R476" s="337"/>
    </row>
    <row r="477" spans="13:18">
      <c r="M477" s="337"/>
      <c r="O477" s="337"/>
      <c r="P477" s="337"/>
      <c r="Q477" s="337"/>
      <c r="R477" s="337"/>
    </row>
    <row r="478" spans="13:18">
      <c r="M478" s="337"/>
      <c r="O478" s="337"/>
      <c r="P478" s="337"/>
      <c r="Q478" s="337"/>
      <c r="R478" s="337"/>
    </row>
    <row r="479" spans="13:18">
      <c r="M479" s="337"/>
      <c r="O479" s="337"/>
      <c r="P479" s="337"/>
      <c r="Q479" s="337"/>
      <c r="R479" s="337"/>
    </row>
    <row r="480" spans="13:18">
      <c r="M480" s="337"/>
      <c r="O480" s="337"/>
      <c r="P480" s="337"/>
      <c r="Q480" s="337"/>
      <c r="R480" s="337"/>
    </row>
    <row r="481" spans="13:18">
      <c r="M481" s="337"/>
      <c r="O481" s="337"/>
      <c r="P481" s="337"/>
      <c r="Q481" s="337"/>
      <c r="R481" s="337"/>
    </row>
    <row r="482" spans="13:18">
      <c r="M482" s="337"/>
      <c r="O482" s="337"/>
      <c r="P482" s="337"/>
      <c r="Q482" s="337"/>
      <c r="R482" s="337"/>
    </row>
    <row r="483" spans="13:18">
      <c r="M483" s="337"/>
      <c r="O483" s="337"/>
      <c r="P483" s="337"/>
      <c r="Q483" s="337"/>
      <c r="R483" s="337"/>
    </row>
    <row r="484" spans="13:18">
      <c r="M484" s="337"/>
      <c r="O484" s="337"/>
      <c r="P484" s="337"/>
      <c r="Q484" s="337"/>
      <c r="R484" s="337"/>
    </row>
    <row r="485" spans="13:18">
      <c r="M485" s="337"/>
      <c r="O485" s="337"/>
      <c r="P485" s="337"/>
      <c r="Q485" s="337"/>
      <c r="R485" s="337"/>
    </row>
    <row r="486" spans="13:18">
      <c r="M486" s="337"/>
      <c r="O486" s="337"/>
      <c r="P486" s="337"/>
      <c r="Q486" s="337"/>
      <c r="R486" s="337"/>
    </row>
    <row r="487" spans="13:18">
      <c r="M487" s="337"/>
      <c r="O487" s="337"/>
      <c r="P487" s="337"/>
      <c r="Q487" s="337"/>
      <c r="R487" s="337"/>
    </row>
    <row r="488" spans="13:18">
      <c r="M488" s="337"/>
      <c r="O488" s="337"/>
      <c r="P488" s="337"/>
      <c r="Q488" s="337"/>
      <c r="R488" s="337"/>
    </row>
    <row r="489" spans="13:18">
      <c r="M489" s="337"/>
      <c r="O489" s="337"/>
      <c r="P489" s="337"/>
      <c r="Q489" s="337"/>
      <c r="R489" s="337"/>
    </row>
    <row r="490" spans="13:18">
      <c r="M490" s="337"/>
      <c r="O490" s="337"/>
      <c r="P490" s="337"/>
      <c r="Q490" s="337"/>
      <c r="R490" s="337"/>
    </row>
    <row r="491" spans="13:18">
      <c r="M491" s="337"/>
      <c r="O491" s="337"/>
      <c r="P491" s="337"/>
      <c r="Q491" s="337"/>
      <c r="R491" s="337"/>
    </row>
    <row r="492" spans="13:18">
      <c r="M492" s="337"/>
      <c r="O492" s="337"/>
      <c r="P492" s="337"/>
      <c r="Q492" s="337"/>
      <c r="R492" s="337"/>
    </row>
    <row r="493" spans="13:18">
      <c r="M493" s="337"/>
      <c r="O493" s="337"/>
      <c r="P493" s="337"/>
      <c r="Q493" s="337"/>
      <c r="R493" s="337"/>
    </row>
    <row r="494" spans="13:18">
      <c r="M494" s="337"/>
      <c r="O494" s="337"/>
      <c r="P494" s="337"/>
      <c r="Q494" s="337"/>
      <c r="R494" s="337"/>
    </row>
    <row r="495" spans="13:18">
      <c r="M495" s="337"/>
      <c r="O495" s="337"/>
      <c r="P495" s="337"/>
      <c r="Q495" s="337"/>
      <c r="R495" s="337"/>
    </row>
    <row r="496" spans="13:18">
      <c r="M496" s="337"/>
      <c r="O496" s="337"/>
      <c r="P496" s="337"/>
      <c r="Q496" s="337"/>
      <c r="R496" s="337"/>
    </row>
    <row r="497" spans="13:18">
      <c r="M497" s="337"/>
      <c r="O497" s="337"/>
      <c r="P497" s="337"/>
      <c r="Q497" s="337"/>
      <c r="R497" s="337"/>
    </row>
    <row r="498" spans="13:18">
      <c r="M498" s="337"/>
      <c r="O498" s="337"/>
      <c r="P498" s="337"/>
      <c r="Q498" s="337"/>
      <c r="R498" s="337"/>
    </row>
    <row r="499" spans="13:18">
      <c r="M499" s="337"/>
      <c r="O499" s="337"/>
      <c r="P499" s="337"/>
      <c r="Q499" s="337"/>
      <c r="R499" s="337"/>
    </row>
    <row r="500" spans="13:18">
      <c r="M500" s="337"/>
      <c r="O500" s="337"/>
      <c r="P500" s="337"/>
      <c r="Q500" s="337"/>
      <c r="R500" s="337"/>
    </row>
    <row r="501" spans="13:18">
      <c r="M501" s="337"/>
      <c r="O501" s="337"/>
      <c r="P501" s="337"/>
      <c r="Q501" s="337"/>
      <c r="R501" s="337"/>
    </row>
    <row r="502" spans="13:18">
      <c r="M502" s="337"/>
      <c r="O502" s="337"/>
      <c r="P502" s="337"/>
      <c r="Q502" s="337"/>
      <c r="R502" s="337"/>
    </row>
    <row r="503" spans="13:18">
      <c r="M503" s="337"/>
      <c r="O503" s="337"/>
      <c r="P503" s="337"/>
      <c r="Q503" s="337"/>
      <c r="R503" s="337"/>
    </row>
    <row r="504" spans="13:18">
      <c r="M504" s="337"/>
      <c r="O504" s="337"/>
      <c r="P504" s="337"/>
      <c r="Q504" s="337"/>
      <c r="R504" s="337"/>
    </row>
    <row r="505" spans="13:18">
      <c r="M505" s="337"/>
      <c r="O505" s="337"/>
      <c r="P505" s="337"/>
      <c r="Q505" s="337"/>
      <c r="R505" s="337"/>
    </row>
    <row r="506" spans="13:18">
      <c r="M506" s="337"/>
      <c r="O506" s="337"/>
      <c r="P506" s="337"/>
      <c r="Q506" s="337"/>
      <c r="R506" s="337"/>
    </row>
    <row r="507" spans="13:18">
      <c r="M507" s="337"/>
      <c r="O507" s="337"/>
      <c r="P507" s="337"/>
      <c r="Q507" s="337"/>
      <c r="R507" s="337"/>
    </row>
    <row r="508" spans="13:18">
      <c r="M508" s="337"/>
      <c r="O508" s="337"/>
      <c r="P508" s="337"/>
      <c r="Q508" s="337"/>
      <c r="R508" s="337"/>
    </row>
    <row r="509" spans="13:18">
      <c r="M509" s="337"/>
      <c r="O509" s="337"/>
      <c r="P509" s="337"/>
      <c r="Q509" s="337"/>
      <c r="R509" s="337"/>
    </row>
    <row r="510" spans="13:18">
      <c r="M510" s="337"/>
      <c r="O510" s="337"/>
      <c r="P510" s="337"/>
      <c r="Q510" s="337"/>
      <c r="R510" s="337"/>
    </row>
    <row r="511" spans="13:18">
      <c r="M511" s="337"/>
      <c r="O511" s="337"/>
      <c r="P511" s="337"/>
      <c r="Q511" s="337"/>
      <c r="R511" s="337"/>
    </row>
    <row r="512" spans="13:18">
      <c r="M512" s="337"/>
      <c r="O512" s="337"/>
      <c r="P512" s="337"/>
      <c r="Q512" s="337"/>
      <c r="R512" s="337"/>
    </row>
    <row r="513" spans="13:18">
      <c r="M513" s="337"/>
      <c r="O513" s="337"/>
      <c r="P513" s="337"/>
      <c r="Q513" s="337"/>
      <c r="R513" s="337"/>
    </row>
    <row r="514" spans="13:18">
      <c r="M514" s="337"/>
      <c r="O514" s="337"/>
      <c r="P514" s="337"/>
      <c r="Q514" s="337"/>
      <c r="R514" s="337"/>
    </row>
    <row r="515" spans="13:18">
      <c r="M515" s="337"/>
      <c r="O515" s="337"/>
      <c r="P515" s="337"/>
      <c r="Q515" s="337"/>
      <c r="R515" s="337"/>
    </row>
    <row r="516" spans="13:18">
      <c r="M516" s="337"/>
      <c r="O516" s="337"/>
      <c r="P516" s="337"/>
      <c r="Q516" s="337"/>
      <c r="R516" s="337"/>
    </row>
    <row r="517" spans="13:18">
      <c r="M517" s="337"/>
      <c r="O517" s="337"/>
      <c r="P517" s="337"/>
      <c r="Q517" s="337"/>
      <c r="R517" s="337"/>
    </row>
    <row r="518" spans="13:18">
      <c r="M518" s="337"/>
      <c r="O518" s="337"/>
      <c r="P518" s="337"/>
      <c r="Q518" s="337"/>
      <c r="R518" s="337"/>
    </row>
    <row r="519" spans="13:18">
      <c r="M519" s="337"/>
      <c r="O519" s="337"/>
      <c r="P519" s="337"/>
      <c r="Q519" s="337"/>
      <c r="R519" s="337"/>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1" customWidth="1"/>
    <col min="2" max="2" width="6.28515625" style="241" customWidth="1"/>
    <col min="3" max="3" width="7.42578125" style="241" customWidth="1"/>
    <col min="4" max="4" width="34.5703125" style="5" customWidth="1"/>
    <col min="5" max="5" width="6.28515625" style="241"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195</v>
      </c>
      <c r="G2" s="1107" t="s">
        <v>196</v>
      </c>
      <c r="H2" s="1107"/>
      <c r="I2" s="1107"/>
    </row>
    <row r="3" spans="1:9" ht="15.75" customHeight="1">
      <c r="A3" s="1" t="s">
        <v>197</v>
      </c>
      <c r="G3" s="1108" t="s">
        <v>146</v>
      </c>
      <c r="H3" s="1108"/>
      <c r="I3" s="1108"/>
    </row>
    <row r="4" spans="1:9">
      <c r="F4" s="17"/>
      <c r="G4" s="1108"/>
      <c r="H4" s="1108"/>
      <c r="I4" s="1108"/>
    </row>
    <row r="5" spans="1:9" ht="17.25" customHeight="1">
      <c r="A5" s="1109" t="s">
        <v>198</v>
      </c>
      <c r="B5" s="1109"/>
      <c r="C5" s="1109"/>
      <c r="D5" s="1109"/>
      <c r="E5" s="1109"/>
      <c r="F5" s="1109"/>
      <c r="G5" s="1109"/>
      <c r="H5" s="1109"/>
      <c r="I5" s="1109"/>
    </row>
    <row r="6" spans="1:9">
      <c r="A6" s="1110" t="s">
        <v>199</v>
      </c>
      <c r="B6" s="1111"/>
      <c r="C6" s="1111"/>
      <c r="D6" s="1111"/>
      <c r="E6" s="1111"/>
      <c r="F6" s="1111"/>
      <c r="G6" s="1111"/>
      <c r="H6" s="1111"/>
      <c r="I6" s="1111"/>
    </row>
    <row r="7" spans="1:9">
      <c r="B7" s="5"/>
      <c r="C7" s="5"/>
      <c r="D7" s="285" t="s">
        <v>200</v>
      </c>
      <c r="E7" s="286" t="s">
        <v>43</v>
      </c>
    </row>
    <row r="8" spans="1:9">
      <c r="B8" s="5"/>
      <c r="C8" s="5"/>
      <c r="D8" s="285" t="s">
        <v>201</v>
      </c>
      <c r="E8" s="5" t="str">
        <f>VLOOKUP($E$7,DSTK,2,0)</f>
        <v xml:space="preserve"> Doanh thu hoạt động tài chính </v>
      </c>
    </row>
    <row r="9" spans="1:9">
      <c r="A9" s="1111" t="s">
        <v>31</v>
      </c>
      <c r="B9" s="1112"/>
      <c r="C9" s="1112"/>
      <c r="D9" s="1112"/>
      <c r="E9" s="1112"/>
      <c r="F9" s="1112"/>
      <c r="G9" s="1112"/>
      <c r="H9" s="1112"/>
      <c r="I9" s="1112"/>
    </row>
    <row r="10" spans="1:9" ht="9.75" customHeight="1">
      <c r="C10" s="1113"/>
      <c r="D10" s="1114"/>
      <c r="E10" s="1114"/>
      <c r="F10" s="1114"/>
      <c r="G10" s="1114"/>
      <c r="H10" s="1114"/>
      <c r="I10" s="1114"/>
    </row>
    <row r="11" spans="1:9" s="18" customFormat="1" ht="19.5" customHeight="1">
      <c r="A11" s="1115" t="s">
        <v>22</v>
      </c>
      <c r="B11" s="1105" t="s">
        <v>1</v>
      </c>
      <c r="C11" s="1116"/>
      <c r="D11" s="1115" t="s">
        <v>0</v>
      </c>
      <c r="E11" s="1115" t="s">
        <v>16</v>
      </c>
      <c r="F11" s="1105" t="s">
        <v>23</v>
      </c>
      <c r="G11" s="1116"/>
      <c r="H11" s="1105" t="s">
        <v>33</v>
      </c>
      <c r="I11" s="1106"/>
    </row>
    <row r="12" spans="1:9" s="18" customFormat="1" ht="32.25" customHeight="1">
      <c r="A12" s="1115"/>
      <c r="B12" s="481" t="s">
        <v>17</v>
      </c>
      <c r="C12" s="481" t="s">
        <v>34</v>
      </c>
      <c r="D12" s="1115"/>
      <c r="E12" s="1115"/>
      <c r="F12" s="481" t="s">
        <v>24</v>
      </c>
      <c r="G12" s="481" t="s">
        <v>25</v>
      </c>
      <c r="H12" s="481" t="s">
        <v>24</v>
      </c>
      <c r="I12" s="481" t="s">
        <v>25</v>
      </c>
    </row>
    <row r="13" spans="1:9" s="426" customFormat="1" ht="11.25" customHeight="1">
      <c r="A13" s="430" t="s">
        <v>2</v>
      </c>
      <c r="B13" s="431" t="s">
        <v>3</v>
      </c>
      <c r="C13" s="430" t="s">
        <v>4</v>
      </c>
      <c r="D13" s="430" t="s">
        <v>5</v>
      </c>
      <c r="E13" s="430" t="s">
        <v>6</v>
      </c>
      <c r="F13" s="430">
        <v>1</v>
      </c>
      <c r="G13" s="430">
        <v>2</v>
      </c>
      <c r="H13" s="430">
        <v>3</v>
      </c>
      <c r="I13" s="430">
        <v>4</v>
      </c>
    </row>
    <row r="14" spans="1:9" s="18" customFormat="1" ht="18" customHeight="1">
      <c r="A14" s="482"/>
      <c r="B14" s="458"/>
      <c r="C14" s="482"/>
      <c r="D14" s="457" t="s">
        <v>7</v>
      </c>
      <c r="E14" s="458"/>
      <c r="F14" s="483"/>
      <c r="G14" s="483"/>
      <c r="H14" s="483">
        <f>VLOOKUP($E$7,DSTK,3,0)</f>
        <v>0</v>
      </c>
      <c r="I14" s="483">
        <f>VLOOKUP($E$7,DSTK,4,0)</f>
        <v>0</v>
      </c>
    </row>
    <row r="15" spans="1:9" s="18" customFormat="1" ht="18" customHeight="1">
      <c r="A15" s="389">
        <f ca="1">IF(ROWS($1:1)&gt;COUNT(Dong5),"",OFFSET(TH!C$1,SMALL(Dong5,ROWS($1:1)),))</f>
        <v>42369</v>
      </c>
      <c r="B15" s="389" t="str">
        <f ca="1">IF(ROWS($1:1)&gt;COUNT(Dong5),"",OFFSET(TH!D$1,SMALL(Dong5,ROWS($1:1)),))</f>
        <v>BTKC</v>
      </c>
      <c r="C15" s="389">
        <f ca="1">IF(ROWS($1:1)&gt;COUNT(Dong5),"",OFFSET(TH!E$1,SMALL(Dong5,ROWS($1:1)),))</f>
        <v>42369</v>
      </c>
      <c r="D15" s="484" t="str">
        <f ca="1">IF(ROWS($1:1)&gt;COUNT(Dong5),"",OFFSET(TH!F$1,SMALL(Dong5,ROWS($1:1)),))</f>
        <v>K/C doanh thu hoạt động tài chính</v>
      </c>
      <c r="E15" s="389" t="str">
        <f ca="1">IF(ROWS($1:1)&gt;COUNT(Dong5),"",IF(OFFSET(TH!N$1,SMALL(Dong5,ROWS($1:1)),)=$E$7,OFFSET(TH!O$1,SMALL(Dong5,ROWS($1:1)),),OFFSET(TH!N$1,SMALL(Dong5,ROWS($1:1)),)))</f>
        <v>911</v>
      </c>
      <c r="F15" s="485">
        <f ca="1">IF(ROWS($1:1)&gt;COUNT(Dong5),0,IF(OFFSET(TH!N$1,SMALL(Dong5,ROWS($1:1)),)=$E$7,OFFSET(TH!M$1,SMALL(Dong5,ROWS($1:1)),),0))</f>
        <v>9645794</v>
      </c>
      <c r="G15" s="483">
        <f ca="1">IF(ROWS($1:1)&gt;COUNT(Dong5),0,IF(OFFSET(TH!O$1,SMALL(Dong5,ROWS($1:1)),)=$E$7,OFFSET(TH!M$1,SMALL(Dong5,ROWS($1:1)),),0))</f>
        <v>0</v>
      </c>
      <c r="H15" s="486">
        <f ca="1">IF(D15&lt;&gt;"",MAX(H14+F15-G15-I14,0),0)</f>
        <v>9645794</v>
      </c>
      <c r="I15" s="486">
        <f ca="1">IF(D15&lt;&gt;"",MAX(I14+G15-H14-F15,0),0)</f>
        <v>0</v>
      </c>
    </row>
    <row r="16" spans="1:9" s="18" customFormat="1" ht="18" customHeight="1">
      <c r="A16" s="389">
        <f ca="1">IF(ROWS($1:2)&gt;COUNT(Dong5),"",OFFSET(TH!C$1,SMALL(Dong5,ROWS($1:2)),))</f>
        <v>42392</v>
      </c>
      <c r="B16" s="389" t="str">
        <f ca="1">IF(ROWS($1:2)&gt;COUNT(Dong5),"",OFFSET(TH!D$1,SMALL(Dong5,ROWS($1:2)),))</f>
        <v>GBC</v>
      </c>
      <c r="C16" s="389">
        <f ca="1">IF(ROWS($1:2)&gt;COUNT(Dong5),"",OFFSET(TH!E$1,SMALL(Dong5,ROWS($1:2)),))</f>
        <v>42392</v>
      </c>
      <c r="D16" s="484" t="str">
        <f ca="1">IF(ROWS($1:2)&gt;COUNT(Dong5),"",OFFSET(TH!F$1,SMALL(Dong5,ROWS($1:2)),))</f>
        <v>Q11 - Lãi tiền gửi</v>
      </c>
      <c r="E16" s="389" t="str">
        <f ca="1">IF(ROWS($1:2)&gt;COUNT(Dong5),"",IF(OFFSET(TH!N$1,SMALL(Dong5,ROWS($1:2)),)=$E$7,OFFSET(TH!O$1,SMALL(Dong5,ROWS($1:2)),),OFFSET(TH!N$1,SMALL(Dong5,ROWS($1:2)),)))</f>
        <v>1121</v>
      </c>
      <c r="F16" s="485">
        <f ca="1">IF(ROWS($1:2)&gt;COUNT(Dong5),0,IF(OFFSET(TH!N$1,SMALL(Dong5,ROWS($1:2)),)=$E$7,OFFSET(TH!M$1,SMALL(Dong5,ROWS($1:2)),),0))</f>
        <v>0</v>
      </c>
      <c r="G16" s="483">
        <f ca="1">IF(ROWS($1:2)&gt;COUNT(Dong5),0,IF(OFFSET(TH!O$1,SMALL(Dong5,ROWS($1:2)),)=$E$7,OFFSET(TH!M$1,SMALL(Dong5,ROWS($1:2)),),0))</f>
        <v>4172</v>
      </c>
      <c r="H16" s="486">
        <f t="shared" ref="H16:H32" ca="1" si="0">IF(D16&lt;&gt;"",MAX(H15+F16-G16-I15,0),0)</f>
        <v>9641622</v>
      </c>
      <c r="I16" s="486">
        <f t="shared" ref="I16:I32" ca="1" si="1">IF(D16&lt;&gt;"",MAX(I15+G16-H15-F16,0),0)</f>
        <v>0</v>
      </c>
    </row>
    <row r="17" spans="1:9" s="18" customFormat="1" ht="18" customHeight="1">
      <c r="A17" s="389">
        <f ca="1">IF(ROWS($1:3)&gt;COUNT(Dong5),"",OFFSET(TH!C$1,SMALL(Dong5,ROWS($1:3)),))</f>
        <v>42392</v>
      </c>
      <c r="B17" s="389" t="str">
        <f ca="1">IF(ROWS($1:3)&gt;COUNT(Dong5),"",OFFSET(TH!D$1,SMALL(Dong5,ROWS($1:3)),))</f>
        <v>GBC</v>
      </c>
      <c r="C17" s="389">
        <f ca="1">IF(ROWS($1:3)&gt;COUNT(Dong5),"",OFFSET(TH!E$1,SMALL(Dong5,ROWS($1:3)),))</f>
        <v>42392</v>
      </c>
      <c r="D17" s="484" t="str">
        <f ca="1">IF(ROWS($1:3)&gt;COUNT(Dong5),"",OFFSET(TH!F$1,SMALL(Dong5,ROWS($1:3)),))</f>
        <v>Q4 - Lãi tiền gửi NH</v>
      </c>
      <c r="E17" s="389" t="str">
        <f ca="1">IF(ROWS($1:3)&gt;COUNT(Dong5),"",IF(OFFSET(TH!N$1,SMALL(Dong5,ROWS($1:3)),)=$E$7,OFFSET(TH!O$1,SMALL(Dong5,ROWS($1:3)),),OFFSET(TH!N$1,SMALL(Dong5,ROWS($1:3)),)))</f>
        <v>1121</v>
      </c>
      <c r="F17" s="485">
        <f ca="1">IF(ROWS($1:3)&gt;COUNT(Dong5),0,IF(OFFSET(TH!N$1,SMALL(Dong5,ROWS($1:3)),)=$E$7,OFFSET(TH!M$1,SMALL(Dong5,ROWS($1:3)),),0))</f>
        <v>0</v>
      </c>
      <c r="G17" s="483">
        <f ca="1">IF(ROWS($1:3)&gt;COUNT(Dong5),0,IF(OFFSET(TH!O$1,SMALL(Dong5,ROWS($1:3)),)=$E$7,OFFSET(TH!M$1,SMALL(Dong5,ROWS($1:3)),),0))</f>
        <v>1541</v>
      </c>
      <c r="H17" s="486">
        <f t="shared" ca="1" si="0"/>
        <v>9640081</v>
      </c>
      <c r="I17" s="486">
        <f t="shared" ca="1" si="1"/>
        <v>0</v>
      </c>
    </row>
    <row r="18" spans="1:9" s="18" customFormat="1" ht="18" customHeight="1">
      <c r="A18" s="389">
        <f ca="1">IF(ROWS($1:4)&gt;COUNT(Dong5),"",OFFSET(TH!C$1,SMALL(Dong5,ROWS($1:4)),))</f>
        <v>42398</v>
      </c>
      <c r="B18" s="389" t="str">
        <f ca="1">IF(ROWS($1:4)&gt;COUNT(Dong5),"",OFFSET(TH!D$1,SMALL(Dong5,ROWS($1:4)),))</f>
        <v>CTGS</v>
      </c>
      <c r="C18" s="389">
        <f ca="1">IF(ROWS($1:4)&gt;COUNT(Dong5),"",OFFSET(TH!E$1,SMALL(Dong5,ROWS($1:4)),))</f>
        <v>42398</v>
      </c>
      <c r="D18" s="484" t="str">
        <f ca="1">IF(ROWS($1:4)&gt;COUNT(Dong5),"",OFFSET(TH!F$1,SMALL(Dong5,ROWS($1:4)),))</f>
        <v>Chênh lệch tỷ giá tiền gửi NH</v>
      </c>
      <c r="E18" s="389" t="str">
        <f ca="1">IF(ROWS($1:4)&gt;COUNT(Dong5),"",IF(OFFSET(TH!N$1,SMALL(Dong5,ROWS($1:4)),)=$E$7,OFFSET(TH!O$1,SMALL(Dong5,ROWS($1:4)),),OFFSET(TH!N$1,SMALL(Dong5,ROWS($1:4)),)))</f>
        <v>1122</v>
      </c>
      <c r="F18" s="485">
        <f ca="1">IF(ROWS($1:4)&gt;COUNT(Dong5),0,IF(OFFSET(TH!N$1,SMALL(Dong5,ROWS($1:4)),)=$E$7,OFFSET(TH!M$1,SMALL(Dong5,ROWS($1:4)),),0))</f>
        <v>0</v>
      </c>
      <c r="G18" s="483">
        <f ca="1">IF(ROWS($1:4)&gt;COUNT(Dong5),0,IF(OFFSET(TH!O$1,SMALL(Dong5,ROWS($1:4)),)=$E$7,OFFSET(TH!M$1,SMALL(Dong5,ROWS($1:4)),),0))</f>
        <v>9640081</v>
      </c>
      <c r="H18" s="486">
        <f t="shared" ca="1" si="0"/>
        <v>0</v>
      </c>
      <c r="I18" s="486">
        <f t="shared" ca="1" si="1"/>
        <v>0</v>
      </c>
    </row>
    <row r="19" spans="1:9" s="18" customFormat="1" ht="18" customHeight="1">
      <c r="A19" s="389" t="str">
        <f ca="1">IF(ROWS($1:5)&gt;COUNT(Dong5),"",OFFSET(TH!C$1,SMALL(Dong5,ROWS($1:5)),))</f>
        <v/>
      </c>
      <c r="B19" s="389" t="str">
        <f ca="1">IF(ROWS($1:5)&gt;COUNT(Dong5),"",OFFSET(TH!D$1,SMALL(Dong5,ROWS($1:5)),))</f>
        <v/>
      </c>
      <c r="C19" s="389" t="str">
        <f ca="1">IF(ROWS($1:5)&gt;COUNT(Dong5),"",OFFSET(TH!E$1,SMALL(Dong5,ROWS($1:5)),))</f>
        <v/>
      </c>
      <c r="D19" s="484" t="str">
        <f ca="1">IF(ROWS($1:5)&gt;COUNT(Dong5),"",OFFSET(TH!F$1,SMALL(Dong5,ROWS($1:5)),))</f>
        <v/>
      </c>
      <c r="E19" s="389" t="str">
        <f ca="1">IF(ROWS($1:5)&gt;COUNT(Dong5),"",IF(OFFSET(TH!N$1,SMALL(Dong5,ROWS($1:5)),)=$E$7,OFFSET(TH!O$1,SMALL(Dong5,ROWS($1:5)),),OFFSET(TH!N$1,SMALL(Dong5,ROWS($1:5)),)))</f>
        <v/>
      </c>
      <c r="F19" s="485">
        <f ca="1">IF(ROWS($1:5)&gt;COUNT(Dong5),0,IF(OFFSET(TH!N$1,SMALL(Dong5,ROWS($1:5)),)=$E$7,OFFSET(TH!M$1,SMALL(Dong5,ROWS($1:5)),),0))</f>
        <v>0</v>
      </c>
      <c r="G19" s="483">
        <f ca="1">IF(ROWS($1:5)&gt;COUNT(Dong5),0,IF(OFFSET(TH!O$1,SMALL(Dong5,ROWS($1:5)),)=$E$7,OFFSET(TH!M$1,SMALL(Dong5,ROWS($1:5)),),0))</f>
        <v>0</v>
      </c>
      <c r="H19" s="486">
        <f t="shared" ca="1" si="0"/>
        <v>0</v>
      </c>
      <c r="I19" s="486">
        <f t="shared" ca="1" si="1"/>
        <v>0</v>
      </c>
    </row>
    <row r="20" spans="1:9" s="18" customFormat="1" ht="18" customHeight="1">
      <c r="A20" s="389" t="str">
        <f ca="1">IF(ROWS($1:6)&gt;COUNT(Dong5),"",OFFSET(TH!C$1,SMALL(Dong5,ROWS($1:6)),))</f>
        <v/>
      </c>
      <c r="B20" s="389" t="str">
        <f ca="1">IF(ROWS($1:6)&gt;COUNT(Dong5),"",OFFSET(TH!D$1,SMALL(Dong5,ROWS($1:6)),))</f>
        <v/>
      </c>
      <c r="C20" s="389" t="str">
        <f ca="1">IF(ROWS($1:6)&gt;COUNT(Dong5),"",OFFSET(TH!E$1,SMALL(Dong5,ROWS($1:6)),))</f>
        <v/>
      </c>
      <c r="D20" s="484" t="str">
        <f ca="1">IF(ROWS($1:6)&gt;COUNT(Dong5),"",OFFSET(TH!F$1,SMALL(Dong5,ROWS($1:6)),))</f>
        <v/>
      </c>
      <c r="E20" s="389" t="str">
        <f ca="1">IF(ROWS($1:6)&gt;COUNT(Dong5),"",IF(OFFSET(TH!N$1,SMALL(Dong5,ROWS($1:6)),)=$E$7,OFFSET(TH!O$1,SMALL(Dong5,ROWS($1:6)),),OFFSET(TH!N$1,SMALL(Dong5,ROWS($1:6)),)))</f>
        <v/>
      </c>
      <c r="F20" s="485">
        <f ca="1">IF(ROWS($1:6)&gt;COUNT(Dong5),0,IF(OFFSET(TH!N$1,SMALL(Dong5,ROWS($1:6)),)=$E$7,OFFSET(TH!M$1,SMALL(Dong5,ROWS($1:6)),),0))</f>
        <v>0</v>
      </c>
      <c r="G20" s="483">
        <f ca="1">IF(ROWS($1:6)&gt;COUNT(Dong5),0,IF(OFFSET(TH!O$1,SMALL(Dong5,ROWS($1:6)),)=$E$7,OFFSET(TH!M$1,SMALL(Dong5,ROWS($1:6)),),0))</f>
        <v>0</v>
      </c>
      <c r="H20" s="486">
        <f t="shared" ca="1" si="0"/>
        <v>0</v>
      </c>
      <c r="I20" s="486">
        <f t="shared" ca="1" si="1"/>
        <v>0</v>
      </c>
    </row>
    <row r="21" spans="1:9" s="18" customFormat="1" ht="18" customHeight="1">
      <c r="A21" s="389" t="str">
        <f ca="1">IF(ROWS($1:7)&gt;COUNT(Dong5),"",OFFSET(TH!C$1,SMALL(Dong5,ROWS($1:7)),))</f>
        <v/>
      </c>
      <c r="B21" s="389" t="str">
        <f ca="1">IF(ROWS($1:7)&gt;COUNT(Dong5),"",OFFSET(TH!D$1,SMALL(Dong5,ROWS($1:7)),))</f>
        <v/>
      </c>
      <c r="C21" s="389" t="str">
        <f ca="1">IF(ROWS($1:7)&gt;COUNT(Dong5),"",OFFSET(TH!E$1,SMALL(Dong5,ROWS($1:7)),))</f>
        <v/>
      </c>
      <c r="D21" s="484" t="str">
        <f ca="1">IF(ROWS($1:7)&gt;COUNT(Dong5),"",OFFSET(TH!F$1,SMALL(Dong5,ROWS($1:7)),)&amp;" - "&amp;OFFSET(TH!H$1,SMALL(Dong5,ROWS($1:7)),))</f>
        <v/>
      </c>
      <c r="E21" s="389" t="str">
        <f ca="1">IF(ROWS($1:7)&gt;COUNT(Dong5),"",IF(OFFSET(TH!N$1,SMALL(Dong5,ROWS($1:7)),)=$E$7,OFFSET(TH!O$1,SMALL(Dong5,ROWS($1:7)),),OFFSET(TH!N$1,SMALL(Dong5,ROWS($1:7)),)))</f>
        <v/>
      </c>
      <c r="F21" s="485">
        <f ca="1">IF(ROWS($1:7)&gt;COUNT(Dong5),0,IF(OFFSET(TH!N$1,SMALL(Dong5,ROWS($1:7)),)=$E$7,OFFSET(TH!M$1,SMALL(Dong5,ROWS($1:7)),),0))</f>
        <v>0</v>
      </c>
      <c r="G21" s="483">
        <f ca="1">IF(ROWS($1:7)&gt;COUNT(Dong5),0,IF(OFFSET(TH!O$1,SMALL(Dong5,ROWS($1:7)),)=$E$7,OFFSET(TH!M$1,SMALL(Dong5,ROWS($1:7)),),0))</f>
        <v>0</v>
      </c>
      <c r="H21" s="486">
        <f t="shared" ca="1" si="0"/>
        <v>0</v>
      </c>
      <c r="I21" s="486">
        <f t="shared" ca="1" si="1"/>
        <v>0</v>
      </c>
    </row>
    <row r="22" spans="1:9" s="18" customFormat="1" ht="18" customHeight="1">
      <c r="A22" s="389" t="str">
        <f ca="1">IF(ROWS($1:8)&gt;COUNT(Dong5),"",OFFSET(TH!C$1,SMALL(Dong5,ROWS($1:8)),))</f>
        <v/>
      </c>
      <c r="B22" s="389" t="str">
        <f ca="1">IF(ROWS($1:8)&gt;COUNT(Dong5),"",OFFSET(TH!D$1,SMALL(Dong5,ROWS($1:8)),))</f>
        <v/>
      </c>
      <c r="C22" s="389" t="str">
        <f ca="1">IF(ROWS($1:8)&gt;COUNT(Dong5),"",OFFSET(TH!E$1,SMALL(Dong5,ROWS($1:8)),))</f>
        <v/>
      </c>
      <c r="D22" s="484" t="str">
        <f ca="1">IF(ROWS($1:8)&gt;COUNT(Dong5),"",OFFSET(TH!F$1,SMALL(Dong5,ROWS($1:8)),)&amp;" - "&amp;OFFSET(TH!H$1,SMALL(Dong5,ROWS($1:8)),))</f>
        <v/>
      </c>
      <c r="E22" s="389" t="str">
        <f ca="1">IF(ROWS($1:8)&gt;COUNT(Dong5),"",IF(OFFSET(TH!N$1,SMALL(Dong5,ROWS($1:8)),)=$E$7,OFFSET(TH!O$1,SMALL(Dong5,ROWS($1:8)),),OFFSET(TH!N$1,SMALL(Dong5,ROWS($1:8)),)))</f>
        <v/>
      </c>
      <c r="F22" s="485">
        <f ca="1">IF(ROWS($1:8)&gt;COUNT(Dong5),0,IF(OFFSET(TH!N$1,SMALL(Dong5,ROWS($1:8)),)=$E$7,OFFSET(TH!M$1,SMALL(Dong5,ROWS($1:8)),),0))</f>
        <v>0</v>
      </c>
      <c r="G22" s="483">
        <f ca="1">IF(ROWS($1:8)&gt;COUNT(Dong5),0,IF(OFFSET(TH!O$1,SMALL(Dong5,ROWS($1:8)),)=$E$7,OFFSET(TH!M$1,SMALL(Dong5,ROWS($1:8)),),0))</f>
        <v>0</v>
      </c>
      <c r="H22" s="486">
        <f t="shared" ca="1" si="0"/>
        <v>0</v>
      </c>
      <c r="I22" s="486">
        <f t="shared" ca="1" si="1"/>
        <v>0</v>
      </c>
    </row>
    <row r="23" spans="1:9" s="18" customFormat="1" ht="18" customHeight="1">
      <c r="A23" s="389" t="str">
        <f ca="1">IF(ROWS($1:9)&gt;COUNT(Dong5),"",OFFSET(TH!C$1,SMALL(Dong5,ROWS($1:9)),))</f>
        <v/>
      </c>
      <c r="B23" s="389" t="str">
        <f ca="1">IF(ROWS($1:9)&gt;COUNT(Dong5),"",OFFSET(TH!D$1,SMALL(Dong5,ROWS($1:9)),))</f>
        <v/>
      </c>
      <c r="C23" s="389" t="str">
        <f ca="1">IF(ROWS($1:9)&gt;COUNT(Dong5),"",OFFSET(TH!E$1,SMALL(Dong5,ROWS($1:9)),))</f>
        <v/>
      </c>
      <c r="D23" s="484" t="str">
        <f ca="1">IF(ROWS($1:9)&gt;COUNT(Dong5),"",OFFSET(TH!F$1,SMALL(Dong5,ROWS($1:9)),)&amp;" - "&amp;OFFSET(TH!H$1,SMALL(Dong5,ROWS($1:9)),))</f>
        <v/>
      </c>
      <c r="E23" s="389" t="str">
        <f ca="1">IF(ROWS($1:9)&gt;COUNT(Dong5),"",IF(OFFSET(TH!N$1,SMALL(Dong5,ROWS($1:9)),)=$E$7,OFFSET(TH!O$1,SMALL(Dong5,ROWS($1:9)),),OFFSET(TH!N$1,SMALL(Dong5,ROWS($1:9)),)))</f>
        <v/>
      </c>
      <c r="F23" s="485">
        <f ca="1">IF(ROWS($1:9)&gt;COUNT(Dong5),0,IF(OFFSET(TH!N$1,SMALL(Dong5,ROWS($1:9)),)=$E$7,OFFSET(TH!M$1,SMALL(Dong5,ROWS($1:9)),),0))</f>
        <v>0</v>
      </c>
      <c r="G23" s="483">
        <f ca="1">IF(ROWS($1:9)&gt;COUNT(Dong5),0,IF(OFFSET(TH!O$1,SMALL(Dong5,ROWS($1:9)),)=$E$7,OFFSET(TH!M$1,SMALL(Dong5,ROWS($1:9)),),0))</f>
        <v>0</v>
      </c>
      <c r="H23" s="486">
        <f t="shared" ca="1" si="0"/>
        <v>0</v>
      </c>
      <c r="I23" s="486">
        <f t="shared" ca="1" si="1"/>
        <v>0</v>
      </c>
    </row>
    <row r="24" spans="1:9" s="18" customFormat="1" ht="18" customHeight="1">
      <c r="A24" s="389" t="str">
        <f ca="1">IF(ROWS($1:10)&gt;COUNT(Dong5),"",OFFSET(TH!C$1,SMALL(Dong5,ROWS($1:10)),))</f>
        <v/>
      </c>
      <c r="B24" s="389" t="str">
        <f ca="1">IF(ROWS($1:10)&gt;COUNT(Dong5),"",OFFSET(TH!D$1,SMALL(Dong5,ROWS($1:10)),))</f>
        <v/>
      </c>
      <c r="C24" s="389" t="str">
        <f ca="1">IF(ROWS($1:10)&gt;COUNT(Dong5),"",OFFSET(TH!E$1,SMALL(Dong5,ROWS($1:10)),))</f>
        <v/>
      </c>
      <c r="D24" s="484" t="str">
        <f ca="1">IF(ROWS($1:10)&gt;COUNT(Dong5),"",OFFSET(TH!F$1,SMALL(Dong5,ROWS($1:10)),)&amp;" - "&amp;OFFSET(TH!H$1,SMALL(Dong5,ROWS($1:10)),))</f>
        <v/>
      </c>
      <c r="E24" s="389" t="str">
        <f ca="1">IF(ROWS($1:10)&gt;COUNT(Dong5),"",IF(OFFSET(TH!N$1,SMALL(Dong5,ROWS($1:10)),)=$E$7,OFFSET(TH!O$1,SMALL(Dong5,ROWS($1:10)),),OFFSET(TH!N$1,SMALL(Dong5,ROWS($1:10)),)))</f>
        <v/>
      </c>
      <c r="F24" s="485">
        <f ca="1">IF(ROWS($1:10)&gt;COUNT(Dong5),0,IF(OFFSET(TH!N$1,SMALL(Dong5,ROWS($1:10)),)=$E$7,OFFSET(TH!M$1,SMALL(Dong5,ROWS($1:10)),),0))</f>
        <v>0</v>
      </c>
      <c r="G24" s="483">
        <f ca="1">IF(ROWS($1:10)&gt;COUNT(Dong5),0,IF(OFFSET(TH!O$1,SMALL(Dong5,ROWS($1:10)),)=$E$7,OFFSET(TH!M$1,SMALL(Dong5,ROWS($1:10)),),0))</f>
        <v>0</v>
      </c>
      <c r="H24" s="486">
        <f t="shared" ca="1" si="0"/>
        <v>0</v>
      </c>
      <c r="I24" s="486">
        <f t="shared" ca="1" si="1"/>
        <v>0</v>
      </c>
    </row>
    <row r="25" spans="1:9" s="18" customFormat="1" ht="18" customHeight="1">
      <c r="A25" s="389" t="str">
        <f ca="1">IF(ROWS($1:11)&gt;COUNT(Dong5),"",OFFSET(TH!C$1,SMALL(Dong5,ROWS($1:11)),))</f>
        <v/>
      </c>
      <c r="B25" s="389" t="str">
        <f ca="1">IF(ROWS($1:11)&gt;COUNT(Dong5),"",OFFSET(TH!D$1,SMALL(Dong5,ROWS($1:11)),))</f>
        <v/>
      </c>
      <c r="C25" s="389" t="str">
        <f ca="1">IF(ROWS($1:11)&gt;COUNT(Dong5),"",OFFSET(TH!E$1,SMALL(Dong5,ROWS($1:11)),))</f>
        <v/>
      </c>
      <c r="D25" s="484" t="str">
        <f ca="1">IF(ROWS($1:11)&gt;COUNT(Dong5),"",OFFSET(TH!F$1,SMALL(Dong5,ROWS($1:11)),))</f>
        <v/>
      </c>
      <c r="E25" s="389" t="str">
        <f ca="1">IF(ROWS($1:11)&gt;COUNT(Dong5),"",IF(OFFSET(TH!N$1,SMALL(Dong5,ROWS($1:11)),)=$E$7,OFFSET(TH!O$1,SMALL(Dong5,ROWS($1:11)),),OFFSET(TH!N$1,SMALL(Dong5,ROWS($1:11)),)))</f>
        <v/>
      </c>
      <c r="F25" s="485">
        <f ca="1">IF(ROWS($1:11)&gt;COUNT(Dong5),0,IF(OFFSET(TH!N$1,SMALL(Dong5,ROWS($1:11)),)=$E$7,OFFSET(TH!M$1,SMALL(Dong5,ROWS($1:11)),),0))</f>
        <v>0</v>
      </c>
      <c r="G25" s="483">
        <f ca="1">IF(ROWS($1:11)&gt;COUNT(Dong5),0,IF(OFFSET(TH!O$1,SMALL(Dong5,ROWS($1:11)),)=$E$7,OFFSET(TH!M$1,SMALL(Dong5,ROWS($1:11)),),0))</f>
        <v>0</v>
      </c>
      <c r="H25" s="486">
        <f t="shared" ca="1" si="0"/>
        <v>0</v>
      </c>
      <c r="I25" s="486">
        <f t="shared" ca="1" si="1"/>
        <v>0</v>
      </c>
    </row>
    <row r="26" spans="1:9" s="18" customFormat="1" ht="18" customHeight="1">
      <c r="A26" s="389" t="str">
        <f ca="1">IF(ROWS($1:12)&gt;COUNT(Dong5),"",OFFSET(TH!C$1,SMALL(Dong5,ROWS($1:12)),))</f>
        <v/>
      </c>
      <c r="B26" s="389" t="str">
        <f ca="1">IF(ROWS($1:12)&gt;COUNT(Dong5),"",OFFSET(TH!D$1,SMALL(Dong5,ROWS($1:12)),))</f>
        <v/>
      </c>
      <c r="C26" s="389" t="str">
        <f ca="1">IF(ROWS($1:12)&gt;COUNT(Dong5),"",OFFSET(TH!E$1,SMALL(Dong5,ROWS($1:12)),))</f>
        <v/>
      </c>
      <c r="D26" s="484" t="str">
        <f ca="1">IF(ROWS($1:12)&gt;COUNT(Dong5),"",OFFSET(TH!F$1,SMALL(Dong5,ROWS($1:12)),))</f>
        <v/>
      </c>
      <c r="E26" s="389" t="str">
        <f ca="1">IF(ROWS($1:12)&gt;COUNT(Dong5),"",IF(OFFSET(TH!N$1,SMALL(Dong5,ROWS($1:12)),)=$E$7,OFFSET(TH!O$1,SMALL(Dong5,ROWS($1:12)),),OFFSET(TH!N$1,SMALL(Dong5,ROWS($1:12)),)))</f>
        <v/>
      </c>
      <c r="F26" s="485">
        <f ca="1">IF(ROWS($1:12)&gt;COUNT(Dong5),0,IF(OFFSET(TH!N$1,SMALL(Dong5,ROWS($1:12)),)=$E$7,OFFSET(TH!M$1,SMALL(Dong5,ROWS($1:12)),),0))</f>
        <v>0</v>
      </c>
      <c r="G26" s="483">
        <f ca="1">IF(ROWS($1:12)&gt;COUNT(Dong5),0,IF(OFFSET(TH!O$1,SMALL(Dong5,ROWS($1:12)),)=$E$7,OFFSET(TH!M$1,SMALL(Dong5,ROWS($1:12)),),0))</f>
        <v>0</v>
      </c>
      <c r="H26" s="486">
        <f t="shared" ca="1" si="0"/>
        <v>0</v>
      </c>
      <c r="I26" s="486">
        <f t="shared" ca="1" si="1"/>
        <v>0</v>
      </c>
    </row>
    <row r="27" spans="1:9" s="18" customFormat="1" ht="18" customHeight="1">
      <c r="A27" s="389" t="str">
        <f ca="1">IF(ROWS($1:13)&gt;COUNT(Dong5),"",OFFSET(TH!C$1,SMALL(Dong5,ROWS($1:13)),))</f>
        <v/>
      </c>
      <c r="B27" s="389" t="str">
        <f ca="1">IF(ROWS($1:13)&gt;COUNT(Dong5),"",OFFSET(TH!D$1,SMALL(Dong5,ROWS($1:13)),))</f>
        <v/>
      </c>
      <c r="C27" s="389" t="str">
        <f ca="1">IF(ROWS($1:13)&gt;COUNT(Dong5),"",OFFSET(TH!E$1,SMALL(Dong5,ROWS($1:13)),))</f>
        <v/>
      </c>
      <c r="D27" s="484" t="str">
        <f ca="1">IF(ROWS($1:13)&gt;COUNT(Dong5),"",OFFSET(TH!F$1,SMALL(Dong5,ROWS($1:13)),))</f>
        <v/>
      </c>
      <c r="E27" s="389" t="str">
        <f ca="1">IF(ROWS($1:13)&gt;COUNT(Dong5),"",IF(OFFSET(TH!N$1,SMALL(Dong5,ROWS($1:13)),)=$E$7,OFFSET(TH!O$1,SMALL(Dong5,ROWS($1:13)),),OFFSET(TH!N$1,SMALL(Dong5,ROWS($1:13)),)))</f>
        <v/>
      </c>
      <c r="F27" s="485">
        <f ca="1">IF(ROWS($1:13)&gt;COUNT(Dong5),0,IF(OFFSET(TH!N$1,SMALL(Dong5,ROWS($1:13)),)=$E$7,OFFSET(TH!M$1,SMALL(Dong5,ROWS($1:13)),),0))</f>
        <v>0</v>
      </c>
      <c r="G27" s="483">
        <f ca="1">IF(ROWS($1:13)&gt;COUNT(Dong5),0,IF(OFFSET(TH!O$1,SMALL(Dong5,ROWS($1:13)),)=$E$7,OFFSET(TH!M$1,SMALL(Dong5,ROWS($1:13)),),0))</f>
        <v>0</v>
      </c>
      <c r="H27" s="486">
        <f t="shared" ca="1" si="0"/>
        <v>0</v>
      </c>
      <c r="I27" s="486">
        <f t="shared" ca="1" si="1"/>
        <v>0</v>
      </c>
    </row>
    <row r="28" spans="1:9" s="18" customFormat="1" ht="18" customHeight="1">
      <c r="A28" s="389" t="str">
        <f ca="1">IF(ROWS($1:14)&gt;COUNT(Dong5),"",OFFSET(TH!C$1,SMALL(Dong5,ROWS($1:14)),))</f>
        <v/>
      </c>
      <c r="B28" s="389" t="str">
        <f ca="1">IF(ROWS($1:14)&gt;COUNT(Dong5),"",OFFSET(TH!D$1,SMALL(Dong5,ROWS($1:14)),))</f>
        <v/>
      </c>
      <c r="C28" s="389" t="str">
        <f ca="1">IF(ROWS($1:14)&gt;COUNT(Dong5),"",OFFSET(TH!E$1,SMALL(Dong5,ROWS($1:14)),))</f>
        <v/>
      </c>
      <c r="D28" s="484" t="str">
        <f ca="1">IF(ROWS($1:14)&gt;COUNT(Dong5),"",OFFSET(TH!F$1,SMALL(Dong5,ROWS($1:14)),))</f>
        <v/>
      </c>
      <c r="E28" s="389" t="str">
        <f ca="1">IF(ROWS($1:14)&gt;COUNT(Dong5),"",IF(OFFSET(TH!N$1,SMALL(Dong5,ROWS($1:14)),)=$E$7,OFFSET(TH!O$1,SMALL(Dong5,ROWS($1:14)),),OFFSET(TH!N$1,SMALL(Dong5,ROWS($1:14)),)))</f>
        <v/>
      </c>
      <c r="F28" s="485">
        <f ca="1">IF(ROWS($1:14)&gt;COUNT(Dong5),0,IF(OFFSET(TH!N$1,SMALL(Dong5,ROWS($1:14)),)=$E$7,OFFSET(TH!M$1,SMALL(Dong5,ROWS($1:14)),),0))</f>
        <v>0</v>
      </c>
      <c r="G28" s="483">
        <f ca="1">IF(ROWS($1:14)&gt;COUNT(Dong5),0,IF(OFFSET(TH!O$1,SMALL(Dong5,ROWS($1:14)),)=$E$7,OFFSET(TH!M$1,SMALL(Dong5,ROWS($1:14)),),0))</f>
        <v>0</v>
      </c>
      <c r="H28" s="486">
        <f t="shared" ca="1" si="0"/>
        <v>0</v>
      </c>
      <c r="I28" s="486">
        <f t="shared" ca="1" si="1"/>
        <v>0</v>
      </c>
    </row>
    <row r="29" spans="1:9" s="18" customFormat="1" ht="18" customHeight="1">
      <c r="A29" s="389" t="str">
        <f ca="1">IF(ROWS($1:15)&gt;COUNT(Dong5),"",OFFSET(TH!C$1,SMALL(Dong5,ROWS($1:15)),))</f>
        <v/>
      </c>
      <c r="B29" s="389" t="str">
        <f ca="1">IF(ROWS($1:15)&gt;COUNT(Dong5),"",OFFSET(TH!D$1,SMALL(Dong5,ROWS($1:15)),))</f>
        <v/>
      </c>
      <c r="C29" s="389" t="str">
        <f ca="1">IF(ROWS($1:15)&gt;COUNT(Dong5),"",OFFSET(TH!E$1,SMALL(Dong5,ROWS($1:15)),))</f>
        <v/>
      </c>
      <c r="D29" s="484" t="str">
        <f ca="1">IF(ROWS($1:15)&gt;COUNT(Dong5),"",OFFSET(TH!F$1,SMALL(Dong5,ROWS($1:15)),))</f>
        <v/>
      </c>
      <c r="E29" s="389" t="str">
        <f ca="1">IF(ROWS($1:15)&gt;COUNT(Dong5),"",IF(OFFSET(TH!N$1,SMALL(Dong5,ROWS($1:15)),)=$E$7,OFFSET(TH!O$1,SMALL(Dong5,ROWS($1:15)),),OFFSET(TH!N$1,SMALL(Dong5,ROWS($1:15)),)))</f>
        <v/>
      </c>
      <c r="F29" s="485">
        <f ca="1">IF(ROWS($1:15)&gt;COUNT(Dong5),0,IF(OFFSET(TH!N$1,SMALL(Dong5,ROWS($1:15)),)=$E$7,OFFSET(TH!M$1,SMALL(Dong5,ROWS($1:15)),),0))</f>
        <v>0</v>
      </c>
      <c r="G29" s="483">
        <f ca="1">IF(ROWS($1:15)&gt;COUNT(Dong5),0,IF(OFFSET(TH!O$1,SMALL(Dong5,ROWS($1:15)),)=$E$7,OFFSET(TH!M$1,SMALL(Dong5,ROWS($1:15)),),0))</f>
        <v>0</v>
      </c>
      <c r="H29" s="486">
        <f t="shared" ca="1" si="0"/>
        <v>0</v>
      </c>
      <c r="I29" s="486">
        <f t="shared" ca="1" si="1"/>
        <v>0</v>
      </c>
    </row>
    <row r="30" spans="1:9" s="18" customFormat="1" ht="18" customHeight="1">
      <c r="A30" s="389" t="str">
        <f ca="1">IF(ROWS($1:16)&gt;COUNT(Dong5),"",OFFSET(TH!C$1,SMALL(Dong5,ROWS($1:16)),))</f>
        <v/>
      </c>
      <c r="B30" s="389" t="str">
        <f ca="1">IF(ROWS($1:16)&gt;COUNT(Dong5),"",OFFSET(TH!D$1,SMALL(Dong5,ROWS($1:16)),))</f>
        <v/>
      </c>
      <c r="C30" s="389" t="str">
        <f ca="1">IF(ROWS($1:16)&gt;COUNT(Dong5),"",OFFSET(TH!E$1,SMALL(Dong5,ROWS($1:16)),))</f>
        <v/>
      </c>
      <c r="D30" s="484" t="str">
        <f ca="1">IF(ROWS($1:16)&gt;COUNT(Dong5),"",OFFSET(TH!F$1,SMALL(Dong5,ROWS($1:16)),))</f>
        <v/>
      </c>
      <c r="E30" s="389" t="str">
        <f ca="1">IF(ROWS($1:16)&gt;COUNT(Dong5),"",IF(OFFSET(TH!N$1,SMALL(Dong5,ROWS($1:16)),)=$E$7,OFFSET(TH!O$1,SMALL(Dong5,ROWS($1:16)),),OFFSET(TH!N$1,SMALL(Dong5,ROWS($1:16)),)))</f>
        <v/>
      </c>
      <c r="F30" s="485">
        <f ca="1">IF(ROWS($1:16)&gt;COUNT(Dong5),0,IF(OFFSET(TH!N$1,SMALL(Dong5,ROWS($1:16)),)=$E$7,OFFSET(TH!M$1,SMALL(Dong5,ROWS($1:16)),),0))</f>
        <v>0</v>
      </c>
      <c r="G30" s="483">
        <f ca="1">IF(ROWS($1:16)&gt;COUNT(Dong5),0,IF(OFFSET(TH!O$1,SMALL(Dong5,ROWS($1:16)),)=$E$7,OFFSET(TH!M$1,SMALL(Dong5,ROWS($1:16)),),0))</f>
        <v>0</v>
      </c>
      <c r="H30" s="486">
        <f t="shared" ca="1" si="0"/>
        <v>0</v>
      </c>
      <c r="I30" s="486">
        <f t="shared" ca="1" si="1"/>
        <v>0</v>
      </c>
    </row>
    <row r="31" spans="1:9" s="18" customFormat="1" ht="18" customHeight="1">
      <c r="A31" s="389" t="str">
        <f ca="1">IF(ROWS($1:17)&gt;COUNT(Dong5),"",OFFSET(TH!C$1,SMALL(Dong5,ROWS($1:17)),))</f>
        <v/>
      </c>
      <c r="B31" s="389" t="str">
        <f ca="1">IF(ROWS($1:17)&gt;COUNT(Dong5),"",OFFSET(TH!D$1,SMALL(Dong5,ROWS($1:17)),))</f>
        <v/>
      </c>
      <c r="C31" s="389" t="str">
        <f ca="1">IF(ROWS($1:17)&gt;COUNT(Dong5),"",OFFSET(TH!E$1,SMALL(Dong5,ROWS($1:17)),))</f>
        <v/>
      </c>
      <c r="D31" s="484" t="str">
        <f ca="1">IF(ROWS($1:17)&gt;COUNT(Dong5),"",OFFSET(TH!F$1,SMALL(Dong5,ROWS($1:17)),))</f>
        <v/>
      </c>
      <c r="E31" s="389" t="str">
        <f ca="1">IF(ROWS($1:17)&gt;COUNT(Dong5),"",IF(OFFSET(TH!N$1,SMALL(Dong5,ROWS($1:17)),)=$E$7,OFFSET(TH!O$1,SMALL(Dong5,ROWS($1:17)),),OFFSET(TH!N$1,SMALL(Dong5,ROWS($1:17)),)))</f>
        <v/>
      </c>
      <c r="F31" s="485">
        <f ca="1">IF(ROWS($1:17)&gt;COUNT(Dong5),0,IF(OFFSET(TH!N$1,SMALL(Dong5,ROWS($1:17)),)=$E$7,OFFSET(TH!M$1,SMALL(Dong5,ROWS($1:17)),),0))</f>
        <v>0</v>
      </c>
      <c r="G31" s="483">
        <f ca="1">IF(ROWS($1:17)&gt;COUNT(Dong5),0,IF(OFFSET(TH!O$1,SMALL(Dong5,ROWS($1:17)),)=$E$7,OFFSET(TH!M$1,SMALL(Dong5,ROWS($1:17)),),0))</f>
        <v>0</v>
      </c>
      <c r="H31" s="486">
        <f t="shared" ca="1" si="0"/>
        <v>0</v>
      </c>
      <c r="I31" s="486">
        <f t="shared" ca="1" si="1"/>
        <v>0</v>
      </c>
    </row>
    <row r="32" spans="1:9" s="18" customFormat="1" ht="18" customHeight="1">
      <c r="A32" s="389" t="str">
        <f ca="1">IF(ROWS($1:18)&gt;COUNT(Dong5),"",OFFSET(TH!C$1,SMALL(Dong5,ROWS($1:18)),))</f>
        <v/>
      </c>
      <c r="B32" s="389" t="str">
        <f ca="1">IF(ROWS($1:18)&gt;COUNT(Dong5),"",OFFSET(TH!D$1,SMALL(Dong5,ROWS($1:18)),))</f>
        <v/>
      </c>
      <c r="C32" s="389" t="str">
        <f ca="1">IF(ROWS($1:18)&gt;COUNT(Dong5),"",OFFSET(TH!E$1,SMALL(Dong5,ROWS($1:18)),))</f>
        <v/>
      </c>
      <c r="D32" s="484" t="str">
        <f ca="1">IF(ROWS($1:18)&gt;COUNT(Dong5),"",OFFSET(TH!F$1,SMALL(Dong5,ROWS($1:18)),))</f>
        <v/>
      </c>
      <c r="E32" s="389" t="str">
        <f ca="1">IF(ROWS($1:18)&gt;COUNT(Dong5),"",IF(OFFSET(TH!N$1,SMALL(Dong5,ROWS($1:18)),)=$E$7,OFFSET(TH!O$1,SMALL(Dong5,ROWS($1:18)),),OFFSET(TH!N$1,SMALL(Dong5,ROWS($1:18)),)))</f>
        <v/>
      </c>
      <c r="F32" s="485">
        <f ca="1">IF(ROWS($1:18)&gt;COUNT(Dong5),0,IF(OFFSET(TH!N$1,SMALL(Dong5,ROWS($1:18)),)=$E$7,OFFSET(TH!M$1,SMALL(Dong5,ROWS($1:18)),),0))</f>
        <v>0</v>
      </c>
      <c r="G32" s="483">
        <f ca="1">IF(ROWS($1:18)&gt;COUNT(Dong5),0,IF(OFFSET(TH!O$1,SMALL(Dong5,ROWS($1:18)),)=$E$7,OFFSET(TH!M$1,SMALL(Dong5,ROWS($1:18)),),0))</f>
        <v>0</v>
      </c>
      <c r="H32" s="486">
        <f t="shared" ca="1" si="0"/>
        <v>0</v>
      </c>
      <c r="I32" s="486">
        <f t="shared" ca="1" si="1"/>
        <v>0</v>
      </c>
    </row>
    <row r="33" spans="1:9" s="18" customFormat="1" ht="18" customHeight="1">
      <c r="A33" s="389" t="str">
        <f ca="1">IF(ROWS($1:19)&gt;COUNT(Dong5),"",OFFSET(TH!C$1,SMALL(Dong5,ROWS($1:19)),))</f>
        <v/>
      </c>
      <c r="B33" s="389" t="str">
        <f ca="1">IF(ROWS($1:19)&gt;COUNT(Dong5),"",OFFSET(TH!D$1,SMALL(Dong5,ROWS($1:19)),))</f>
        <v/>
      </c>
      <c r="C33" s="389" t="str">
        <f ca="1">IF(ROWS($1:19)&gt;COUNT(Dong5),"",OFFSET(TH!E$1,SMALL(Dong5,ROWS($1:19)),))</f>
        <v/>
      </c>
      <c r="D33" s="484" t="str">
        <f ca="1">IF(ROWS($1:19)&gt;COUNT(Dong5),"",OFFSET(TH!F$1,SMALL(Dong5,ROWS($1:19)),))</f>
        <v/>
      </c>
      <c r="E33" s="389" t="str">
        <f ca="1">IF(ROWS($1:19)&gt;COUNT(Dong5),"",IF(OFFSET(TH!N$1,SMALL(Dong5,ROWS($1:19)),)=$E$7,OFFSET(TH!O$1,SMALL(Dong5,ROWS($1:19)),),OFFSET(TH!N$1,SMALL(Dong5,ROWS($1:19)),)))</f>
        <v/>
      </c>
      <c r="F33" s="485">
        <f ca="1">IF(ROWS($1:19)&gt;COUNT(Dong5),0,IF(OFFSET(TH!N$1,SMALL(Dong5,ROWS($1:19)),)=$E$7,OFFSET(TH!M$1,SMALL(Dong5,ROWS($1:19)),),0))</f>
        <v>0</v>
      </c>
      <c r="G33" s="483">
        <f ca="1">IF(ROWS($1:19)&gt;COUNT(Dong5),0,IF(OFFSET(TH!O$1,SMALL(Dong5,ROWS($1:19)),)=$E$7,OFFSET(TH!M$1,SMALL(Dong5,ROWS($1:19)),),0))</f>
        <v>0</v>
      </c>
      <c r="H33" s="486">
        <f t="shared" ref="H33:H46" ca="1" si="2">IF(D33&lt;&gt;"",MAX(H32+F33-G33-I32,0),0)</f>
        <v>0</v>
      </c>
      <c r="I33" s="486">
        <f t="shared" ref="I33:I46" ca="1" si="3">IF(D33&lt;&gt;"",MAX(I32+G33-H32-F33,0),0)</f>
        <v>0</v>
      </c>
    </row>
    <row r="34" spans="1:9" s="18" customFormat="1" ht="18" customHeight="1">
      <c r="A34" s="389" t="str">
        <f ca="1">IF(ROWS($1:20)&gt;COUNT(Dong5),"",OFFSET(TH!C$1,SMALL(Dong5,ROWS($1:20)),))</f>
        <v/>
      </c>
      <c r="B34" s="389" t="str">
        <f ca="1">IF(ROWS($1:20)&gt;COUNT(Dong5),"",OFFSET(TH!D$1,SMALL(Dong5,ROWS($1:20)),))</f>
        <v/>
      </c>
      <c r="C34" s="389" t="str">
        <f ca="1">IF(ROWS($1:20)&gt;COUNT(Dong5),"",OFFSET(TH!E$1,SMALL(Dong5,ROWS($1:20)),))</f>
        <v/>
      </c>
      <c r="D34" s="484" t="str">
        <f ca="1">IF(ROWS($1:20)&gt;COUNT(Dong5),"",OFFSET(TH!F$1,SMALL(Dong5,ROWS($1:20)),))</f>
        <v/>
      </c>
      <c r="E34" s="389" t="str">
        <f ca="1">IF(ROWS($1:20)&gt;COUNT(Dong5),"",IF(OFFSET(TH!N$1,SMALL(Dong5,ROWS($1:20)),)=$E$7,OFFSET(TH!O$1,SMALL(Dong5,ROWS($1:20)),),OFFSET(TH!N$1,SMALL(Dong5,ROWS($1:20)),)))</f>
        <v/>
      </c>
      <c r="F34" s="485">
        <f ca="1">IF(ROWS($1:20)&gt;COUNT(Dong5),0,IF(OFFSET(TH!N$1,SMALL(Dong5,ROWS($1:20)),)=$E$7,OFFSET(TH!M$1,SMALL(Dong5,ROWS($1:20)),),0))</f>
        <v>0</v>
      </c>
      <c r="G34" s="483">
        <f ca="1">IF(ROWS($1:20)&gt;COUNT(Dong5),0,IF(OFFSET(TH!O$1,SMALL(Dong5,ROWS($1:20)),)=$E$7,OFFSET(TH!M$1,SMALL(Dong5,ROWS($1:20)),),0))</f>
        <v>0</v>
      </c>
      <c r="H34" s="486">
        <f t="shared" ca="1" si="2"/>
        <v>0</v>
      </c>
      <c r="I34" s="486">
        <f t="shared" ca="1" si="3"/>
        <v>0</v>
      </c>
    </row>
    <row r="35" spans="1:9" s="18" customFormat="1" ht="18" customHeight="1">
      <c r="A35" s="389" t="str">
        <f ca="1">IF(ROWS($1:21)&gt;COUNT(Dong5),"",OFFSET(TH!C$1,SMALL(Dong5,ROWS($1:21)),))</f>
        <v/>
      </c>
      <c r="B35" s="389" t="str">
        <f ca="1">IF(ROWS($1:21)&gt;COUNT(Dong5),"",OFFSET(TH!D$1,SMALL(Dong5,ROWS($1:21)),))</f>
        <v/>
      </c>
      <c r="C35" s="389" t="str">
        <f ca="1">IF(ROWS($1:21)&gt;COUNT(Dong5),"",OFFSET(TH!E$1,SMALL(Dong5,ROWS($1:21)),))</f>
        <v/>
      </c>
      <c r="D35" s="484" t="str">
        <f ca="1">IF(ROWS($1:21)&gt;COUNT(Dong5),"",OFFSET(TH!F$1,SMALL(Dong5,ROWS($1:21)),))</f>
        <v/>
      </c>
      <c r="E35" s="389" t="str">
        <f ca="1">IF(ROWS($1:21)&gt;COUNT(Dong5),"",IF(OFFSET(TH!N$1,SMALL(Dong5,ROWS($1:21)),)=$E$7,OFFSET(TH!O$1,SMALL(Dong5,ROWS($1:21)),),OFFSET(TH!N$1,SMALL(Dong5,ROWS($1:21)),)))</f>
        <v/>
      </c>
      <c r="F35" s="485">
        <f ca="1">IF(ROWS($1:21)&gt;COUNT(Dong5),0,IF(OFFSET(TH!N$1,SMALL(Dong5,ROWS($1:21)),)=$E$7,OFFSET(TH!M$1,SMALL(Dong5,ROWS($1:21)),),0))</f>
        <v>0</v>
      </c>
      <c r="G35" s="483">
        <f ca="1">IF(ROWS($1:21)&gt;COUNT(Dong5),0,IF(OFFSET(TH!O$1,SMALL(Dong5,ROWS($1:21)),)=$E$7,OFFSET(TH!M$1,SMALL(Dong5,ROWS($1:21)),),0))</f>
        <v>0</v>
      </c>
      <c r="H35" s="486">
        <f t="shared" ca="1" si="2"/>
        <v>0</v>
      </c>
      <c r="I35" s="486">
        <f t="shared" ca="1" si="3"/>
        <v>0</v>
      </c>
    </row>
    <row r="36" spans="1:9" s="18" customFormat="1" ht="18" customHeight="1">
      <c r="A36" s="389" t="str">
        <f ca="1">IF(ROWS($1:22)&gt;COUNT(Dong5),"",OFFSET(TH!C$1,SMALL(Dong5,ROWS($1:22)),))</f>
        <v/>
      </c>
      <c r="B36" s="389" t="str">
        <f ca="1">IF(ROWS($1:22)&gt;COUNT(Dong5),"",OFFSET(TH!D$1,SMALL(Dong5,ROWS($1:22)),))</f>
        <v/>
      </c>
      <c r="C36" s="389" t="str">
        <f ca="1">IF(ROWS($1:22)&gt;COUNT(Dong5),"",OFFSET(TH!E$1,SMALL(Dong5,ROWS($1:22)),))</f>
        <v/>
      </c>
      <c r="D36" s="484" t="str">
        <f ca="1">IF(ROWS($1:22)&gt;COUNT(Dong5),"",OFFSET(TH!F$1,SMALL(Dong5,ROWS($1:22)),))</f>
        <v/>
      </c>
      <c r="E36" s="389" t="str">
        <f ca="1">IF(ROWS($1:22)&gt;COUNT(Dong5),"",IF(OFFSET(TH!N$1,SMALL(Dong5,ROWS($1:22)),)=$E$7,OFFSET(TH!O$1,SMALL(Dong5,ROWS($1:22)),),OFFSET(TH!N$1,SMALL(Dong5,ROWS($1:22)),)))</f>
        <v/>
      </c>
      <c r="F36" s="485">
        <f ca="1">IF(ROWS($1:22)&gt;COUNT(Dong5),0,IF(OFFSET(TH!N$1,SMALL(Dong5,ROWS($1:22)),)=$E$7,OFFSET(TH!M$1,SMALL(Dong5,ROWS($1:22)),),0))</f>
        <v>0</v>
      </c>
      <c r="G36" s="483">
        <f ca="1">IF(ROWS($1:22)&gt;COUNT(Dong5),0,IF(OFFSET(TH!O$1,SMALL(Dong5,ROWS($1:22)),)=$E$7,OFFSET(TH!M$1,SMALL(Dong5,ROWS($1:22)),),0))</f>
        <v>0</v>
      </c>
      <c r="H36" s="486">
        <f t="shared" ca="1" si="2"/>
        <v>0</v>
      </c>
      <c r="I36" s="486">
        <f t="shared" ca="1" si="3"/>
        <v>0</v>
      </c>
    </row>
    <row r="37" spans="1:9" s="18" customFormat="1" ht="18" customHeight="1">
      <c r="A37" s="389" t="str">
        <f ca="1">IF(ROWS($1:23)&gt;COUNT(Dong5),"",OFFSET(TH!C$1,SMALL(Dong5,ROWS($1:23)),))</f>
        <v/>
      </c>
      <c r="B37" s="389" t="str">
        <f ca="1">IF(ROWS($1:23)&gt;COUNT(Dong5),"",OFFSET(TH!D$1,SMALL(Dong5,ROWS($1:23)),))</f>
        <v/>
      </c>
      <c r="C37" s="389" t="str">
        <f ca="1">IF(ROWS($1:23)&gt;COUNT(Dong5),"",OFFSET(TH!E$1,SMALL(Dong5,ROWS($1:23)),))</f>
        <v/>
      </c>
      <c r="D37" s="484" t="str">
        <f ca="1">IF(ROWS($1:23)&gt;COUNT(Dong5),"",OFFSET(TH!F$1,SMALL(Dong5,ROWS($1:23)),))</f>
        <v/>
      </c>
      <c r="E37" s="389" t="str">
        <f ca="1">IF(ROWS($1:23)&gt;COUNT(Dong5),"",IF(OFFSET(TH!N$1,SMALL(Dong5,ROWS($1:23)),)=$E$7,OFFSET(TH!O$1,SMALL(Dong5,ROWS($1:23)),),OFFSET(TH!N$1,SMALL(Dong5,ROWS($1:23)),)))</f>
        <v/>
      </c>
      <c r="F37" s="485">
        <f ca="1">IF(ROWS($1:23)&gt;COUNT(Dong5),0,IF(OFFSET(TH!N$1,SMALL(Dong5,ROWS($1:23)),)=$E$7,OFFSET(TH!M$1,SMALL(Dong5,ROWS($1:23)),),0))</f>
        <v>0</v>
      </c>
      <c r="G37" s="483">
        <f ca="1">IF(ROWS($1:23)&gt;COUNT(Dong5),0,IF(OFFSET(TH!O$1,SMALL(Dong5,ROWS($1:23)),)=$E$7,OFFSET(TH!M$1,SMALL(Dong5,ROWS($1:23)),),0))</f>
        <v>0</v>
      </c>
      <c r="H37" s="486">
        <f t="shared" ca="1" si="2"/>
        <v>0</v>
      </c>
      <c r="I37" s="486">
        <f t="shared" ca="1" si="3"/>
        <v>0</v>
      </c>
    </row>
    <row r="38" spans="1:9" s="18" customFormat="1" ht="18" customHeight="1">
      <c r="A38" s="389" t="str">
        <f ca="1">IF(ROWS($1:24)&gt;COUNT(Dong5),"",OFFSET(TH!C$1,SMALL(Dong5,ROWS($1:24)),))</f>
        <v/>
      </c>
      <c r="B38" s="389" t="str">
        <f ca="1">IF(ROWS($1:24)&gt;COUNT(Dong5),"",OFFSET(TH!D$1,SMALL(Dong5,ROWS($1:24)),))</f>
        <v/>
      </c>
      <c r="C38" s="389" t="str">
        <f ca="1">IF(ROWS($1:24)&gt;COUNT(Dong5),"",OFFSET(TH!E$1,SMALL(Dong5,ROWS($1:24)),))</f>
        <v/>
      </c>
      <c r="D38" s="484" t="str">
        <f ca="1">IF(ROWS($1:24)&gt;COUNT(Dong5),"",OFFSET(TH!F$1,SMALL(Dong5,ROWS($1:24)),))</f>
        <v/>
      </c>
      <c r="E38" s="389" t="str">
        <f ca="1">IF(ROWS($1:24)&gt;COUNT(Dong5),"",IF(OFFSET(TH!N$1,SMALL(Dong5,ROWS($1:24)),)=$E$7,OFFSET(TH!O$1,SMALL(Dong5,ROWS($1:24)),),OFFSET(TH!N$1,SMALL(Dong5,ROWS($1:24)),)))</f>
        <v/>
      </c>
      <c r="F38" s="485">
        <f ca="1">IF(ROWS($1:24)&gt;COUNT(Dong5),0,IF(OFFSET(TH!N$1,SMALL(Dong5,ROWS($1:24)),)=$E$7,OFFSET(TH!M$1,SMALL(Dong5,ROWS($1:24)),),0))</f>
        <v>0</v>
      </c>
      <c r="G38" s="483">
        <f ca="1">IF(ROWS($1:24)&gt;COUNT(Dong5),0,IF(OFFSET(TH!O$1,SMALL(Dong5,ROWS($1:24)),)=$E$7,OFFSET(TH!M$1,SMALL(Dong5,ROWS($1:24)),),0))</f>
        <v>0</v>
      </c>
      <c r="H38" s="486">
        <f t="shared" ca="1" si="2"/>
        <v>0</v>
      </c>
      <c r="I38" s="486">
        <f t="shared" ca="1" si="3"/>
        <v>0</v>
      </c>
    </row>
    <row r="39" spans="1:9" s="18" customFormat="1" ht="18" customHeight="1">
      <c r="A39" s="389" t="str">
        <f ca="1">IF(ROWS($1:25)&gt;COUNT(Dong5),"",OFFSET(TH!C$1,SMALL(Dong5,ROWS($1:25)),))</f>
        <v/>
      </c>
      <c r="B39" s="389" t="str">
        <f ca="1">IF(ROWS($1:25)&gt;COUNT(Dong5),"",OFFSET(TH!D$1,SMALL(Dong5,ROWS($1:25)),))</f>
        <v/>
      </c>
      <c r="C39" s="389" t="str">
        <f ca="1">IF(ROWS($1:25)&gt;COUNT(Dong5),"",OFFSET(TH!E$1,SMALL(Dong5,ROWS($1:25)),))</f>
        <v/>
      </c>
      <c r="D39" s="484" t="str">
        <f ca="1">IF(ROWS($1:25)&gt;COUNT(Dong5),"",OFFSET(TH!F$1,SMALL(Dong5,ROWS($1:25)),))</f>
        <v/>
      </c>
      <c r="E39" s="389" t="str">
        <f ca="1">IF(ROWS($1:25)&gt;COUNT(Dong5),"",IF(OFFSET(TH!N$1,SMALL(Dong5,ROWS($1:25)),)=$E$7,OFFSET(TH!O$1,SMALL(Dong5,ROWS($1:25)),),OFFSET(TH!N$1,SMALL(Dong5,ROWS($1:25)),)))</f>
        <v/>
      </c>
      <c r="F39" s="485">
        <f ca="1">IF(ROWS($1:25)&gt;COUNT(Dong5),0,IF(OFFSET(TH!N$1,SMALL(Dong5,ROWS($1:25)),)=$E$7,OFFSET(TH!M$1,SMALL(Dong5,ROWS($1:25)),),0))</f>
        <v>0</v>
      </c>
      <c r="G39" s="483">
        <f ca="1">IF(ROWS($1:25)&gt;COUNT(Dong5),0,IF(OFFSET(TH!O$1,SMALL(Dong5,ROWS($1:25)),)=$E$7,OFFSET(TH!M$1,SMALL(Dong5,ROWS($1:25)),),0))</f>
        <v>0</v>
      </c>
      <c r="H39" s="486">
        <f t="shared" ca="1" si="2"/>
        <v>0</v>
      </c>
      <c r="I39" s="486">
        <f t="shared" ca="1" si="3"/>
        <v>0</v>
      </c>
    </row>
    <row r="40" spans="1:9" s="18" customFormat="1" ht="18" customHeight="1">
      <c r="A40" s="389" t="str">
        <f ca="1">IF(ROWS($1:26)&gt;COUNT(Dong5),"",OFFSET(TH!C$1,SMALL(Dong5,ROWS($1:26)),))</f>
        <v/>
      </c>
      <c r="B40" s="389" t="str">
        <f ca="1">IF(ROWS($1:26)&gt;COUNT(Dong5),"",OFFSET(TH!D$1,SMALL(Dong5,ROWS($1:26)),))</f>
        <v/>
      </c>
      <c r="C40" s="389" t="str">
        <f ca="1">IF(ROWS($1:26)&gt;COUNT(Dong5),"",OFFSET(TH!E$1,SMALL(Dong5,ROWS($1:26)),))</f>
        <v/>
      </c>
      <c r="D40" s="484" t="str">
        <f ca="1">IF(ROWS($1:26)&gt;COUNT(Dong5),"",OFFSET(TH!F$1,SMALL(Dong5,ROWS($1:26)),))</f>
        <v/>
      </c>
      <c r="E40" s="389" t="str">
        <f ca="1">IF(ROWS($1:26)&gt;COUNT(Dong5),"",IF(OFFSET(TH!N$1,SMALL(Dong5,ROWS($1:26)),)=$E$7,OFFSET(TH!O$1,SMALL(Dong5,ROWS($1:26)),),OFFSET(TH!N$1,SMALL(Dong5,ROWS($1:26)),)))</f>
        <v/>
      </c>
      <c r="F40" s="485">
        <f ca="1">IF(ROWS($1:26)&gt;COUNT(Dong5),0,IF(OFFSET(TH!N$1,SMALL(Dong5,ROWS($1:26)),)=$E$7,OFFSET(TH!M$1,SMALL(Dong5,ROWS($1:26)),),0))</f>
        <v>0</v>
      </c>
      <c r="G40" s="483">
        <f ca="1">IF(ROWS($1:26)&gt;COUNT(Dong5),0,IF(OFFSET(TH!O$1,SMALL(Dong5,ROWS($1:26)),)=$E$7,OFFSET(TH!M$1,SMALL(Dong5,ROWS($1:26)),),0))</f>
        <v>0</v>
      </c>
      <c r="H40" s="486">
        <f t="shared" ca="1" si="2"/>
        <v>0</v>
      </c>
      <c r="I40" s="486">
        <f t="shared" ca="1" si="3"/>
        <v>0</v>
      </c>
    </row>
    <row r="41" spans="1:9" s="18" customFormat="1" ht="18" customHeight="1">
      <c r="A41" s="389" t="str">
        <f ca="1">IF(ROWS($1:27)&gt;COUNT(Dong5),"",OFFSET(TH!C$1,SMALL(Dong5,ROWS($1:27)),))</f>
        <v/>
      </c>
      <c r="B41" s="389" t="str">
        <f ca="1">IF(ROWS($1:27)&gt;COUNT(Dong5),"",OFFSET(TH!D$1,SMALL(Dong5,ROWS($1:27)),))</f>
        <v/>
      </c>
      <c r="C41" s="389" t="str">
        <f ca="1">IF(ROWS($1:27)&gt;COUNT(Dong5),"",OFFSET(TH!E$1,SMALL(Dong5,ROWS($1:27)),))</f>
        <v/>
      </c>
      <c r="D41" s="484" t="str">
        <f ca="1">IF(ROWS($1:27)&gt;COUNT(Dong5),"",OFFSET(TH!F$1,SMALL(Dong5,ROWS($1:27)),))</f>
        <v/>
      </c>
      <c r="E41" s="389" t="str">
        <f ca="1">IF(ROWS($1:27)&gt;COUNT(Dong5),"",IF(OFFSET(TH!N$1,SMALL(Dong5,ROWS($1:27)),)=$E$7,OFFSET(TH!O$1,SMALL(Dong5,ROWS($1:27)),),OFFSET(TH!N$1,SMALL(Dong5,ROWS($1:27)),)))</f>
        <v/>
      </c>
      <c r="F41" s="485">
        <f ca="1">IF(ROWS($1:27)&gt;COUNT(Dong5),0,IF(OFFSET(TH!N$1,SMALL(Dong5,ROWS($1:27)),)=$E$7,OFFSET(TH!M$1,SMALL(Dong5,ROWS($1:27)),),0))</f>
        <v>0</v>
      </c>
      <c r="G41" s="483">
        <f ca="1">IF(ROWS($1:27)&gt;COUNT(Dong5),0,IF(OFFSET(TH!O$1,SMALL(Dong5,ROWS($1:27)),)=$E$7,OFFSET(TH!M$1,SMALL(Dong5,ROWS($1:27)),),0))</f>
        <v>0</v>
      </c>
      <c r="H41" s="486">
        <f t="shared" ca="1" si="2"/>
        <v>0</v>
      </c>
      <c r="I41" s="486">
        <f t="shared" ca="1" si="3"/>
        <v>0</v>
      </c>
    </row>
    <row r="42" spans="1:9" s="18" customFormat="1" ht="18" customHeight="1">
      <c r="A42" s="389" t="str">
        <f ca="1">IF(ROWS($1:28)&gt;COUNT(Dong5),"",OFFSET(TH!C$1,SMALL(Dong5,ROWS($1:28)),))</f>
        <v/>
      </c>
      <c r="B42" s="389" t="str">
        <f ca="1">IF(ROWS($1:28)&gt;COUNT(Dong5),"",OFFSET(TH!D$1,SMALL(Dong5,ROWS($1:28)),))</f>
        <v/>
      </c>
      <c r="C42" s="389" t="str">
        <f ca="1">IF(ROWS($1:28)&gt;COUNT(Dong5),"",OFFSET(TH!E$1,SMALL(Dong5,ROWS($1:28)),))</f>
        <v/>
      </c>
      <c r="D42" s="484" t="str">
        <f ca="1">IF(ROWS($1:28)&gt;COUNT(Dong5),"",OFFSET(TH!F$1,SMALL(Dong5,ROWS($1:28)),))</f>
        <v/>
      </c>
      <c r="E42" s="389" t="str">
        <f ca="1">IF(ROWS($1:28)&gt;COUNT(Dong5),"",IF(OFFSET(TH!N$1,SMALL(Dong5,ROWS($1:28)),)=$E$7,OFFSET(TH!O$1,SMALL(Dong5,ROWS($1:28)),),OFFSET(TH!N$1,SMALL(Dong5,ROWS($1:28)),)))</f>
        <v/>
      </c>
      <c r="F42" s="485">
        <f ca="1">IF(ROWS($1:28)&gt;COUNT(Dong5),0,IF(OFFSET(TH!N$1,SMALL(Dong5,ROWS($1:28)),)=$E$7,OFFSET(TH!M$1,SMALL(Dong5,ROWS($1:28)),),0))</f>
        <v>0</v>
      </c>
      <c r="G42" s="483">
        <f ca="1">IF(ROWS($1:28)&gt;COUNT(Dong5),0,IF(OFFSET(TH!O$1,SMALL(Dong5,ROWS($1:28)),)=$E$7,OFFSET(TH!M$1,SMALL(Dong5,ROWS($1:28)),),0))</f>
        <v>0</v>
      </c>
      <c r="H42" s="486">
        <f t="shared" ca="1" si="2"/>
        <v>0</v>
      </c>
      <c r="I42" s="486">
        <f t="shared" ca="1" si="3"/>
        <v>0</v>
      </c>
    </row>
    <row r="43" spans="1:9" s="18" customFormat="1" ht="18" customHeight="1">
      <c r="A43" s="389" t="str">
        <f ca="1">IF(ROWS($1:29)&gt;COUNT(Dong5),"",OFFSET(TH!C$1,SMALL(Dong5,ROWS($1:29)),))</f>
        <v/>
      </c>
      <c r="B43" s="389" t="str">
        <f ca="1">IF(ROWS($1:29)&gt;COUNT(Dong5),"",OFFSET(TH!D$1,SMALL(Dong5,ROWS($1:29)),))</f>
        <v/>
      </c>
      <c r="C43" s="389" t="str">
        <f ca="1">IF(ROWS($1:29)&gt;COUNT(Dong5),"",OFFSET(TH!E$1,SMALL(Dong5,ROWS($1:29)),))</f>
        <v/>
      </c>
      <c r="D43" s="484" t="str">
        <f ca="1">IF(ROWS($1:29)&gt;COUNT(Dong5),"",OFFSET(TH!F$1,SMALL(Dong5,ROWS($1:29)),))</f>
        <v/>
      </c>
      <c r="E43" s="389" t="str">
        <f ca="1">IF(ROWS($1:29)&gt;COUNT(Dong5),"",IF(OFFSET(TH!N$1,SMALL(Dong5,ROWS($1:29)),)=$E$7,OFFSET(TH!O$1,SMALL(Dong5,ROWS($1:29)),),OFFSET(TH!N$1,SMALL(Dong5,ROWS($1:29)),)))</f>
        <v/>
      </c>
      <c r="F43" s="485">
        <f ca="1">IF(ROWS($1:29)&gt;COUNT(Dong5),0,IF(OFFSET(TH!N$1,SMALL(Dong5,ROWS($1:29)),)=$E$7,OFFSET(TH!M$1,SMALL(Dong5,ROWS($1:29)),),0))</f>
        <v>0</v>
      </c>
      <c r="G43" s="483">
        <f ca="1">IF(ROWS($1:29)&gt;COUNT(Dong5),0,IF(OFFSET(TH!O$1,SMALL(Dong5,ROWS($1:29)),)=$E$7,OFFSET(TH!M$1,SMALL(Dong5,ROWS($1:29)),),0))</f>
        <v>0</v>
      </c>
      <c r="H43" s="486">
        <f t="shared" ca="1" si="2"/>
        <v>0</v>
      </c>
      <c r="I43" s="486">
        <f t="shared" ca="1" si="3"/>
        <v>0</v>
      </c>
    </row>
    <row r="44" spans="1:9" s="18" customFormat="1" ht="18" customHeight="1">
      <c r="A44" s="389" t="str">
        <f ca="1">IF(ROWS($1:30)&gt;COUNT(Dong5),"",OFFSET(TH!C$1,SMALL(Dong5,ROWS($1:30)),))</f>
        <v/>
      </c>
      <c r="B44" s="389" t="str">
        <f ca="1">IF(ROWS($1:30)&gt;COUNT(Dong5),"",OFFSET(TH!D$1,SMALL(Dong5,ROWS($1:30)),))</f>
        <v/>
      </c>
      <c r="C44" s="389" t="str">
        <f ca="1">IF(ROWS($1:30)&gt;COUNT(Dong5),"",OFFSET(TH!E$1,SMALL(Dong5,ROWS($1:30)),))</f>
        <v/>
      </c>
      <c r="D44" s="484" t="str">
        <f ca="1">IF(ROWS($1:30)&gt;COUNT(Dong5),"",OFFSET(TH!F$1,SMALL(Dong5,ROWS($1:30)),))</f>
        <v/>
      </c>
      <c r="E44" s="389" t="str">
        <f ca="1">IF(ROWS($1:30)&gt;COUNT(Dong5),"",IF(OFFSET(TH!N$1,SMALL(Dong5,ROWS($1:30)),)=$E$7,OFFSET(TH!O$1,SMALL(Dong5,ROWS($1:30)),),OFFSET(TH!N$1,SMALL(Dong5,ROWS($1:30)),)))</f>
        <v/>
      </c>
      <c r="F44" s="485">
        <f ca="1">IF(ROWS($1:30)&gt;COUNT(Dong5),0,IF(OFFSET(TH!N$1,SMALL(Dong5,ROWS($1:30)),)=$E$7,OFFSET(TH!M$1,SMALL(Dong5,ROWS($1:30)),),0))</f>
        <v>0</v>
      </c>
      <c r="G44" s="483">
        <f ca="1">IF(ROWS($1:30)&gt;COUNT(Dong5),0,IF(OFFSET(TH!O$1,SMALL(Dong5,ROWS($1:30)),)=$E$7,OFFSET(TH!M$1,SMALL(Dong5,ROWS($1:30)),),0))</f>
        <v>0</v>
      </c>
      <c r="H44" s="486">
        <f t="shared" ca="1" si="2"/>
        <v>0</v>
      </c>
      <c r="I44" s="486">
        <f t="shared" ca="1" si="3"/>
        <v>0</v>
      </c>
    </row>
    <row r="45" spans="1:9" s="18" customFormat="1" ht="18" customHeight="1">
      <c r="A45" s="389" t="str">
        <f ca="1">IF(ROWS($1:31)&gt;COUNT(Dong5),"",OFFSET(TH!C$1,SMALL(Dong5,ROWS($1:31)),))</f>
        <v/>
      </c>
      <c r="B45" s="389" t="str">
        <f ca="1">IF(ROWS($1:31)&gt;COUNT(Dong5),"",OFFSET(TH!D$1,SMALL(Dong5,ROWS($1:31)),))</f>
        <v/>
      </c>
      <c r="C45" s="389" t="str">
        <f ca="1">IF(ROWS($1:31)&gt;COUNT(Dong5),"",OFFSET(TH!E$1,SMALL(Dong5,ROWS($1:31)),))</f>
        <v/>
      </c>
      <c r="D45" s="484" t="str">
        <f ca="1">IF(ROWS($1:31)&gt;COUNT(Dong5),"",OFFSET(TH!F$1,SMALL(Dong5,ROWS($1:31)),))</f>
        <v/>
      </c>
      <c r="E45" s="389" t="str">
        <f ca="1">IF(ROWS($1:31)&gt;COUNT(Dong5),"",IF(OFFSET(TH!N$1,SMALL(Dong5,ROWS($1:31)),)=$E$7,OFFSET(TH!O$1,SMALL(Dong5,ROWS($1:31)),),OFFSET(TH!N$1,SMALL(Dong5,ROWS($1:31)),)))</f>
        <v/>
      </c>
      <c r="F45" s="485">
        <f ca="1">IF(ROWS($1:31)&gt;COUNT(Dong5),0,IF(OFFSET(TH!N$1,SMALL(Dong5,ROWS($1:31)),)=$E$7,OFFSET(TH!M$1,SMALL(Dong5,ROWS($1:31)),),0))</f>
        <v>0</v>
      </c>
      <c r="G45" s="483">
        <f ca="1">IF(ROWS($1:31)&gt;COUNT(Dong5),0,IF(OFFSET(TH!O$1,SMALL(Dong5,ROWS($1:31)),)=$E$7,OFFSET(TH!M$1,SMALL(Dong5,ROWS($1:31)),),0))</f>
        <v>0</v>
      </c>
      <c r="H45" s="486">
        <f t="shared" ca="1" si="2"/>
        <v>0</v>
      </c>
      <c r="I45" s="486">
        <f t="shared" ca="1" si="3"/>
        <v>0</v>
      </c>
    </row>
    <row r="46" spans="1:9" s="18" customFormat="1" ht="18" customHeight="1">
      <c r="A46" s="389" t="str">
        <f ca="1">IF(ROWS($1:32)&gt;COUNT(Dong5),"",OFFSET(TH!C$1,SMALL(Dong5,ROWS($1:32)),))</f>
        <v/>
      </c>
      <c r="B46" s="389" t="str">
        <f ca="1">IF(ROWS($1:32)&gt;COUNT(Dong5),"",OFFSET(TH!D$1,SMALL(Dong5,ROWS($1:32)),))</f>
        <v/>
      </c>
      <c r="C46" s="389" t="str">
        <f ca="1">IF(ROWS($1:32)&gt;COUNT(Dong5),"",OFFSET(TH!E$1,SMALL(Dong5,ROWS($1:32)),))</f>
        <v/>
      </c>
      <c r="D46" s="484" t="str">
        <f ca="1">IF(ROWS($1:32)&gt;COUNT(Dong5),"",OFFSET(TH!F$1,SMALL(Dong5,ROWS($1:32)),))</f>
        <v/>
      </c>
      <c r="E46" s="389" t="str">
        <f ca="1">IF(ROWS($1:32)&gt;COUNT(Dong5),"",IF(OFFSET(TH!N$1,SMALL(Dong5,ROWS($1:32)),)=$E$7,OFFSET(TH!O$1,SMALL(Dong5,ROWS($1:32)),),OFFSET(TH!N$1,SMALL(Dong5,ROWS($1:32)),)))</f>
        <v/>
      </c>
      <c r="F46" s="485">
        <f ca="1">IF(ROWS($1:32)&gt;COUNT(Dong5),0,IF(OFFSET(TH!N$1,SMALL(Dong5,ROWS($1:32)),)=$E$7,OFFSET(TH!M$1,SMALL(Dong5,ROWS($1:32)),),0))</f>
        <v>0</v>
      </c>
      <c r="G46" s="483">
        <f ca="1">IF(ROWS($1:32)&gt;COUNT(Dong5),0,IF(OFFSET(TH!O$1,SMALL(Dong5,ROWS($1:32)),)=$E$7,OFFSET(TH!M$1,SMALL(Dong5,ROWS($1:32)),),0))</f>
        <v>0</v>
      </c>
      <c r="H46" s="486">
        <f t="shared" ca="1" si="2"/>
        <v>0</v>
      </c>
      <c r="I46" s="486">
        <f t="shared" ca="1" si="3"/>
        <v>0</v>
      </c>
    </row>
    <row r="47" spans="1:9" s="18" customFormat="1" ht="18" customHeight="1">
      <c r="A47" s="389" t="str">
        <f ca="1">IF(ROWS($1:33)&gt;COUNT(Dong5),"",OFFSET(TH!C$1,SMALL(Dong5,ROWS($1:33)),))</f>
        <v/>
      </c>
      <c r="B47" s="389" t="str">
        <f ca="1">IF(ROWS($1:33)&gt;COUNT(Dong5),"",OFFSET(TH!D$1,SMALL(Dong5,ROWS($1:33)),))</f>
        <v/>
      </c>
      <c r="C47" s="389" t="str">
        <f ca="1">IF(ROWS($1:33)&gt;COUNT(Dong5),"",OFFSET(TH!E$1,SMALL(Dong5,ROWS($1:33)),))</f>
        <v/>
      </c>
      <c r="D47" s="484" t="str">
        <f ca="1">IF(ROWS($1:33)&gt;COUNT(Dong5),"",OFFSET(TH!F$1,SMALL(Dong5,ROWS($1:33)),))</f>
        <v/>
      </c>
      <c r="E47" s="389" t="str">
        <f ca="1">IF(ROWS($1:33)&gt;COUNT(Dong5),"",IF(OFFSET(TH!N$1,SMALL(Dong5,ROWS($1:33)),)=$E$7,OFFSET(TH!O$1,SMALL(Dong5,ROWS($1:33)),),OFFSET(TH!N$1,SMALL(Dong5,ROWS($1:33)),)))</f>
        <v/>
      </c>
      <c r="F47" s="485">
        <f ca="1">IF(ROWS($1:33)&gt;COUNT(Dong5),0,IF(OFFSET(TH!N$1,SMALL(Dong5,ROWS($1:33)),)=$E$7,OFFSET(TH!M$1,SMALL(Dong5,ROWS($1:33)),),0))</f>
        <v>0</v>
      </c>
      <c r="G47" s="483">
        <f ca="1">IF(ROWS($1:33)&gt;COUNT(Dong5),0,IF(OFFSET(TH!O$1,SMALL(Dong5,ROWS($1:33)),)=$E$7,OFFSET(TH!M$1,SMALL(Dong5,ROWS($1:33)),),0))</f>
        <v>0</v>
      </c>
      <c r="H47" s="486">
        <f ca="1">IF(D47&lt;&gt;"",MAX(H46+F47-G47-I46,0),0)</f>
        <v>0</v>
      </c>
      <c r="I47" s="486">
        <f ca="1">IF(D47&lt;&gt;"",MAX(I46+G47-H46-F47,0),0)</f>
        <v>0</v>
      </c>
    </row>
    <row r="48" spans="1:9" s="18" customFormat="1" ht="18" customHeight="1">
      <c r="A48" s="389" t="str">
        <f ca="1">IF(ROWS($1:34)&gt;COUNT(Dong5),"",OFFSET(TH!C$1,SMALL(Dong5,ROWS($1:34)),))</f>
        <v/>
      </c>
      <c r="B48" s="389" t="str">
        <f ca="1">IF(ROWS($1:34)&gt;COUNT(Dong5),"",OFFSET(TH!D$1,SMALL(Dong5,ROWS($1:34)),))</f>
        <v/>
      </c>
      <c r="C48" s="389" t="str">
        <f ca="1">IF(ROWS($1:34)&gt;COUNT(Dong5),"",OFFSET(TH!E$1,SMALL(Dong5,ROWS($1:34)),))</f>
        <v/>
      </c>
      <c r="D48" s="484" t="str">
        <f ca="1">IF(ROWS($1:34)&gt;COUNT(Dong5),"",OFFSET(TH!F$1,SMALL(Dong5,ROWS($1:34)),))</f>
        <v/>
      </c>
      <c r="E48" s="389" t="str">
        <f ca="1">IF(ROWS($1:34)&gt;COUNT(Dong5),"",IF(OFFSET(TH!N$1,SMALL(Dong5,ROWS($1:34)),)=$E$7,OFFSET(TH!O$1,SMALL(Dong5,ROWS($1:34)),),OFFSET(TH!N$1,SMALL(Dong5,ROWS($1:34)),)))</f>
        <v/>
      </c>
      <c r="F48" s="485">
        <f ca="1">IF(ROWS($1:34)&gt;COUNT(Dong5),0,IF(OFFSET(TH!N$1,SMALL(Dong5,ROWS($1:34)),)=$E$7,OFFSET(TH!M$1,SMALL(Dong5,ROWS($1:34)),),0))</f>
        <v>0</v>
      </c>
      <c r="G48" s="483">
        <f ca="1">IF(ROWS($1:34)&gt;COUNT(Dong5),0,IF(OFFSET(TH!O$1,SMALL(Dong5,ROWS($1:34)),)=$E$7,OFFSET(TH!M$1,SMALL(Dong5,ROWS($1:34)),),0))</f>
        <v>0</v>
      </c>
      <c r="H48" s="486">
        <f ca="1">IF(D48&lt;&gt;"",MAX(H47+F48-G48-I47,0),0)</f>
        <v>0</v>
      </c>
      <c r="I48" s="486">
        <f ca="1">IF(D48&lt;&gt;"",MAX(I47+G48-H47-F48,0),0)</f>
        <v>0</v>
      </c>
    </row>
    <row r="49" spans="1:9" s="18" customFormat="1" ht="18" customHeight="1">
      <c r="A49" s="389" t="str">
        <f ca="1">IF(ROWS($1:35)&gt;COUNT(Dong5),"",OFFSET(TH!C$1,SMALL(Dong5,ROWS($1:35)),))</f>
        <v/>
      </c>
      <c r="B49" s="389" t="str">
        <f ca="1">IF(ROWS($1:35)&gt;COUNT(Dong5),"",OFFSET(TH!D$1,SMALL(Dong5,ROWS($1:35)),))</f>
        <v/>
      </c>
      <c r="C49" s="389" t="str">
        <f ca="1">IF(ROWS($1:35)&gt;COUNT(Dong5),"",OFFSET(TH!E$1,SMALL(Dong5,ROWS($1:35)),))</f>
        <v/>
      </c>
      <c r="D49" s="484" t="str">
        <f ca="1">IF(ROWS($1:35)&gt;COUNT(Dong5),"",OFFSET(TH!F$1,SMALL(Dong5,ROWS($1:35)),))</f>
        <v/>
      </c>
      <c r="E49" s="389" t="str">
        <f ca="1">IF(ROWS($1:35)&gt;COUNT(Dong5),"",IF(OFFSET(TH!N$1,SMALL(Dong5,ROWS($1:35)),)=$E$7,OFFSET(TH!O$1,SMALL(Dong5,ROWS($1:35)),),OFFSET(TH!N$1,SMALL(Dong5,ROWS($1:35)),)))</f>
        <v/>
      </c>
      <c r="F49" s="485">
        <f ca="1">IF(ROWS($1:35)&gt;COUNT(Dong5),0,IF(OFFSET(TH!N$1,SMALL(Dong5,ROWS($1:35)),)=$E$7,OFFSET(TH!M$1,SMALL(Dong5,ROWS($1:35)),),0))</f>
        <v>0</v>
      </c>
      <c r="G49" s="483">
        <f ca="1">IF(ROWS($1:35)&gt;COUNT(Dong5),0,IF(OFFSET(TH!O$1,SMALL(Dong5,ROWS($1:35)),)=$E$7,OFFSET(TH!M$1,SMALL(Dong5,ROWS($1:35)),),0))</f>
        <v>0</v>
      </c>
      <c r="H49" s="486">
        <f ca="1">IF(D49&lt;&gt;"",MAX(H48+F49-G49-I48,0),0)</f>
        <v>0</v>
      </c>
      <c r="I49" s="486">
        <f ca="1">IF(D49&lt;&gt;"",MAX(I48+G49-H48-F49,0),0)</f>
        <v>0</v>
      </c>
    </row>
    <row r="50" spans="1:9" s="18" customFormat="1" ht="18" customHeight="1">
      <c r="A50" s="389" t="str">
        <f ca="1">IF(ROWS($1:36)&gt;COUNT(Dong5),"",OFFSET(TH!C$1,SMALL(Dong5,ROWS($1:36)),))</f>
        <v/>
      </c>
      <c r="B50" s="389" t="str">
        <f ca="1">IF(ROWS($1:36)&gt;COUNT(Dong5),"",OFFSET(TH!D$1,SMALL(Dong5,ROWS($1:36)),))</f>
        <v/>
      </c>
      <c r="C50" s="389" t="str">
        <f ca="1">IF(ROWS($1:36)&gt;COUNT(Dong5),"",OFFSET(TH!E$1,SMALL(Dong5,ROWS($1:36)),))</f>
        <v/>
      </c>
      <c r="D50" s="484" t="str">
        <f ca="1">IF(ROWS($1:36)&gt;COUNT(Dong5),"",OFFSET(TH!F$1,SMALL(Dong5,ROWS($1:36)),))</f>
        <v/>
      </c>
      <c r="E50" s="389" t="str">
        <f ca="1">IF(ROWS($1:36)&gt;COUNT(Dong5),"",IF(OFFSET(TH!N$1,SMALL(Dong5,ROWS($1:36)),)=$E$7,OFFSET(TH!O$1,SMALL(Dong5,ROWS($1:36)),),OFFSET(TH!N$1,SMALL(Dong5,ROWS($1:36)),)))</f>
        <v/>
      </c>
      <c r="F50" s="485">
        <f ca="1">IF(ROWS($1:36)&gt;COUNT(Dong5),0,IF(OFFSET(TH!N$1,SMALL(Dong5,ROWS($1:36)),)=$E$7,OFFSET(TH!M$1,SMALL(Dong5,ROWS($1:36)),),0))</f>
        <v>0</v>
      </c>
      <c r="G50" s="483">
        <f ca="1">IF(ROWS($1:36)&gt;COUNT(Dong5),0,IF(OFFSET(TH!O$1,SMALL(Dong5,ROWS($1:36)),)=$E$7,OFFSET(TH!M$1,SMALL(Dong5,ROWS($1:36)),),0))</f>
        <v>0</v>
      </c>
      <c r="H50" s="486">
        <f ca="1">IF(D50&lt;&gt;"",MAX(H49+F50-G50-I49,0),0)</f>
        <v>0</v>
      </c>
      <c r="I50" s="486">
        <f ca="1">IF(D50&lt;&gt;"",MAX(I49+G50-H49-F50,0),0)</f>
        <v>0</v>
      </c>
    </row>
    <row r="51" spans="1:9" s="18" customFormat="1" ht="18" customHeight="1">
      <c r="A51" s="389"/>
      <c r="B51" s="390"/>
      <c r="C51" s="389"/>
      <c r="D51" s="471" t="s">
        <v>160</v>
      </c>
      <c r="E51" s="390" t="s">
        <v>21</v>
      </c>
      <c r="F51" s="487">
        <f ca="1">SUM(F15:F50)</f>
        <v>9645794</v>
      </c>
      <c r="G51" s="487">
        <f ca="1">SUM(G15:G50)</f>
        <v>9645794</v>
      </c>
      <c r="H51" s="487" t="s">
        <v>21</v>
      </c>
      <c r="I51" s="487" t="s">
        <v>21</v>
      </c>
    </row>
    <row r="52" spans="1:9" s="18" customFormat="1" ht="18" customHeight="1">
      <c r="A52" s="488"/>
      <c r="B52" s="476"/>
      <c r="C52" s="488"/>
      <c r="D52" s="475" t="s">
        <v>10</v>
      </c>
      <c r="E52" s="476" t="s">
        <v>21</v>
      </c>
      <c r="F52" s="489" t="s">
        <v>21</v>
      </c>
      <c r="G52" s="489" t="s">
        <v>21</v>
      </c>
      <c r="H52" s="490">
        <f ca="1">MAX(H14+F51-G51-I14,0)</f>
        <v>0</v>
      </c>
      <c r="I52" s="490">
        <f ca="1">MAX(I14+G51-F51-H14,0)</f>
        <v>0</v>
      </c>
    </row>
    <row r="53" spans="1:9" s="18" customFormat="1" ht="9.75" customHeight="1">
      <c r="A53" s="426"/>
      <c r="B53" s="426"/>
      <c r="C53" s="426"/>
      <c r="E53" s="426"/>
    </row>
    <row r="54" spans="1:9" s="18" customFormat="1" ht="12.75">
      <c r="A54" s="426"/>
      <c r="B54" s="426"/>
      <c r="C54" s="491" t="s">
        <v>268</v>
      </c>
      <c r="E54" s="426"/>
    </row>
    <row r="55" spans="1:9" s="18" customFormat="1" ht="12.75">
      <c r="A55" s="426"/>
      <c r="B55" s="426"/>
      <c r="C55" s="28" t="s">
        <v>202</v>
      </c>
      <c r="E55" s="426"/>
    </row>
    <row r="56" spans="1:9" s="18" customFormat="1" ht="13.5" customHeight="1">
      <c r="A56" s="426"/>
      <c r="B56" s="426"/>
      <c r="C56" s="426"/>
      <c r="E56" s="1104" t="s">
        <v>203</v>
      </c>
      <c r="F56" s="1104"/>
      <c r="G56" s="1104"/>
      <c r="H56" s="1104"/>
      <c r="I56" s="1104"/>
    </row>
    <row r="57" spans="1:9" s="18" customFormat="1" ht="12.75">
      <c r="A57" s="1104" t="s">
        <v>11</v>
      </c>
      <c r="B57" s="1104"/>
      <c r="C57" s="1104"/>
      <c r="D57" s="1104"/>
      <c r="E57" s="1104" t="s">
        <v>12</v>
      </c>
      <c r="F57" s="1104"/>
      <c r="G57" s="1104"/>
      <c r="H57" s="1104"/>
      <c r="I57" s="1104"/>
    </row>
    <row r="58" spans="1:9" s="18" customFormat="1" ht="12.75">
      <c r="A58" s="1104" t="s">
        <v>13</v>
      </c>
      <c r="B58" s="1104"/>
      <c r="C58" s="1104"/>
      <c r="D58" s="1104"/>
      <c r="E58" s="1104" t="s">
        <v>13</v>
      </c>
      <c r="F58" s="1104"/>
      <c r="G58" s="1104"/>
      <c r="H58" s="1104"/>
      <c r="I58" s="1104"/>
    </row>
    <row r="59" spans="1:9" s="18" customFormat="1" ht="12.75">
      <c r="A59" s="426"/>
      <c r="B59" s="426"/>
      <c r="C59" s="426"/>
      <c r="E59" s="426"/>
    </row>
    <row r="60" spans="1:9">
      <c r="D60" s="287"/>
      <c r="F60" s="288"/>
    </row>
    <row r="65" spans="1:4">
      <c r="A65" s="1117" t="s">
        <v>244</v>
      </c>
      <c r="B65" s="1117"/>
      <c r="C65" s="1117"/>
      <c r="D65" s="1117"/>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C15" sqref="C15"/>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139</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140</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127</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142</v>
      </c>
      <c r="R3" s="369"/>
      <c r="S3" s="370" t="s">
        <v>241</v>
      </c>
      <c r="T3" s="369"/>
      <c r="U3" s="370" t="s">
        <v>128</v>
      </c>
      <c r="V3" s="117"/>
      <c r="W3" s="118" t="s">
        <v>128</v>
      </c>
    </row>
    <row r="4" spans="1:23" ht="21.75">
      <c r="B4" s="114"/>
      <c r="C4" s="104"/>
      <c r="D4" s="104"/>
      <c r="E4" s="104"/>
      <c r="G4" s="121"/>
      <c r="H4" s="122" t="str">
        <f>IF(LEFT($U$4,1)="T","PHIẾU THU","PHIẾU CHI")</f>
        <v>PHIẾU CHI</v>
      </c>
      <c r="J4" s="121"/>
      <c r="K4" s="123"/>
      <c r="M4" s="123"/>
      <c r="N4" s="123"/>
      <c r="O4" s="123"/>
      <c r="P4" s="124"/>
      <c r="Q4" s="151">
        <v>2016</v>
      </c>
      <c r="R4" s="125"/>
      <c r="S4" s="368">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129</v>
      </c>
      <c r="M8" s="138" t="str">
        <f>IF($U$4="T","1111",IF($U$4="C",IF(ISNA(VLOOKUP($M$7,TM,15,0)),"",VLOOKUP($M$7,TM,14,0)),""))</f>
        <v>642</v>
      </c>
      <c r="N8" s="132"/>
      <c r="O8" s="132"/>
      <c r="P8" s="139"/>
      <c r="Q8" s="129"/>
      <c r="R8" s="129"/>
      <c r="S8" s="129"/>
      <c r="T8" s="129"/>
      <c r="U8" s="129"/>
      <c r="V8" s="129"/>
      <c r="W8" s="129"/>
    </row>
    <row r="9" spans="1:23" ht="13.5">
      <c r="A9" s="129"/>
      <c r="B9" s="129"/>
      <c r="C9" s="129"/>
      <c r="D9" s="129"/>
      <c r="E9" s="127"/>
      <c r="F9" s="127"/>
      <c r="G9" s="127"/>
      <c r="H9" s="127"/>
      <c r="I9" s="127"/>
      <c r="J9" s="129"/>
      <c r="K9" s="137"/>
      <c r="L9" s="135" t="s">
        <v>130</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MTV Tổng Cty Tân Cảng SG</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Phí cấp cont, hạ bãi</v>
      </c>
      <c r="E12" s="140"/>
      <c r="F12" s="140"/>
      <c r="G12" s="140"/>
      <c r="H12" s="140"/>
      <c r="I12" s="140"/>
      <c r="J12" s="140"/>
      <c r="K12" s="140"/>
      <c r="L12" s="140"/>
      <c r="M12" s="140"/>
      <c r="N12" s="140"/>
      <c r="O12" s="140"/>
    </row>
    <row r="13" spans="1:23">
      <c r="C13" s="105" t="s">
        <v>144</v>
      </c>
      <c r="D13" s="142">
        <f ca="1">SUMIF(TM,$M$7,TH)</f>
        <v>4840000</v>
      </c>
      <c r="E13" s="105" t="s">
        <v>131</v>
      </c>
      <c r="F13" s="142"/>
      <c r="G13" s="142"/>
      <c r="P13" s="105"/>
    </row>
    <row r="14" spans="1:23">
      <c r="C14" s="105" t="str">
        <f ca="1">"Viết bằng chữ: " &amp;[4]!VND('IN-TC'!D13, TRUE)</f>
        <v>Viết bằng chữ: Bốn triệu, tám trăm bốn mươi ngàn đồng</v>
      </c>
      <c r="P14" s="120"/>
    </row>
    <row r="15" spans="1:23">
      <c r="C15" s="140" t="str">
        <f>"Kèm theo :     " &amp;IF(OR(ISNA(VLOOKUP($M$7,TM,7,0)),VLOOKUP($M$7,TM,7,0)=""),"                           ",IF(VLOOKUP($M$7,TM,7,0)&lt;&gt;"","    HĐ  "&amp;(VLOOKUP($M$7,TM,7,0)))) &amp; "     chứng từ gốc. "</f>
        <v xml:space="preserve">Kèm theo :         HĐ  0079421; 0085054;0185911;0269450; 0267238; 0270328; 0277475;0277466; 0303032; 0301646; 0346682; 0439405     chứng từ gốc. </v>
      </c>
      <c r="D15" s="140"/>
      <c r="F15" s="140"/>
      <c r="G15" s="140"/>
      <c r="H15" s="140"/>
      <c r="I15" s="140"/>
      <c r="J15" s="140"/>
      <c r="K15" s="140"/>
      <c r="L15" s="140"/>
      <c r="M15" s="140"/>
      <c r="N15" s="140"/>
      <c r="O15" s="140"/>
      <c r="P15" s="143"/>
    </row>
    <row r="16" spans="1:23">
      <c r="K16" s="144"/>
      <c r="L16" s="144"/>
      <c r="M16" s="160" t="str">
        <f>H5</f>
        <v>Ngày  2  tháng  1  năm  2016</v>
      </c>
      <c r="N16" s="144"/>
      <c r="O16" s="144"/>
      <c r="P16" s="105"/>
    </row>
    <row r="17" spans="1:23">
      <c r="C17" s="145" t="s">
        <v>132</v>
      </c>
      <c r="D17" s="146"/>
      <c r="E17" s="145" t="s">
        <v>12</v>
      </c>
      <c r="F17" s="146"/>
      <c r="G17" s="146"/>
      <c r="H17" s="145" t="str">
        <f>IF($U$4="C","Thủ quỹ","Người nộp tiền")</f>
        <v>Thủ quỹ</v>
      </c>
      <c r="J17" s="145" t="s">
        <v>133</v>
      </c>
      <c r="K17" s="146"/>
      <c r="M17" s="147" t="str">
        <f>IF($U$4="T","Thủ quỹ","Người nhận tiền")</f>
        <v>Người nhận tiền</v>
      </c>
      <c r="N17" s="148"/>
      <c r="O17" s="148"/>
      <c r="P17" s="105"/>
    </row>
    <row r="18" spans="1:23">
      <c r="A18" s="146"/>
      <c r="B18" s="146"/>
      <c r="C18" s="149" t="s">
        <v>134</v>
      </c>
      <c r="E18" s="149" t="s">
        <v>135</v>
      </c>
      <c r="H18" s="149" t="s">
        <v>135</v>
      </c>
      <c r="I18" s="146"/>
      <c r="J18" s="149" t="s">
        <v>135</v>
      </c>
      <c r="L18" s="146"/>
      <c r="M18" s="149" t="s">
        <v>135</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17" t="s">
        <v>126</v>
      </c>
      <c r="H24" s="417" t="str">
        <f>IF($U$4="T","","Phạm Thị Đông")</f>
        <v>Phạm Thị Đông</v>
      </c>
      <c r="J24" s="417" t="s">
        <v>244</v>
      </c>
      <c r="M24" s="417" t="str">
        <f>IF($U$4="C","","Phạm Thị Đông")</f>
        <v/>
      </c>
      <c r="P24" s="105"/>
    </row>
    <row r="25" spans="1:23">
      <c r="B25" s="105" t="s">
        <v>136</v>
      </c>
      <c r="P25" s="105"/>
    </row>
    <row r="26" spans="1:23">
      <c r="B26" s="140"/>
      <c r="C26" s="140" t="s">
        <v>137</v>
      </c>
      <c r="D26" s="140"/>
      <c r="E26" s="140"/>
      <c r="F26" s="140"/>
      <c r="G26" s="140"/>
      <c r="H26" s="140"/>
      <c r="I26" s="140"/>
      <c r="J26" s="140"/>
      <c r="K26" s="140"/>
      <c r="L26" s="140"/>
      <c r="M26" s="140"/>
      <c r="N26" s="140"/>
      <c r="O26" s="140"/>
      <c r="P26" s="105"/>
    </row>
    <row r="27" spans="1:23">
      <c r="B27" s="140"/>
      <c r="C27" s="140" t="s">
        <v>138</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6" priority="2" stopIfTrue="1">
      <formula>TYPE(B6)=16</formula>
    </cfRule>
  </conditionalFormatting>
  <conditionalFormatting sqref="D10">
    <cfRule type="expression" dxfId="5"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P120"/>
  <sheetViews>
    <sheetView topLeftCell="A10" zoomScale="90" workbookViewId="0">
      <pane ySplit="4" topLeftCell="A14" activePane="bottomLeft" state="frozen"/>
      <selection activeCell="A10" sqref="A10"/>
      <selection pane="bottomLeft" activeCell="I14" sqref="I14"/>
    </sheetView>
  </sheetViews>
  <sheetFormatPr defaultRowHeight="15"/>
  <cols>
    <col min="1" max="2" width="8.7109375" style="168" customWidth="1"/>
    <col min="3" max="4" width="6.5703125" style="168" customWidth="1"/>
    <col min="5" max="5" width="34.5703125" style="168" customWidth="1"/>
    <col min="6" max="6" width="6.28515625" style="168" customWidth="1"/>
    <col min="7" max="8" width="14.42578125" style="168" customWidth="1"/>
    <col min="9" max="9" width="15.7109375" style="168" customWidth="1"/>
    <col min="10" max="10" width="6.28515625" style="168" customWidth="1"/>
    <col min="11" max="11" width="2.140625" style="168" customWidth="1"/>
    <col min="12" max="12" width="10" style="168" customWidth="1"/>
    <col min="13" max="13" width="3.28515625" style="168" customWidth="1"/>
    <col min="14" max="14" width="9.140625" style="168" customWidth="1"/>
    <col min="15" max="16384" width="9.140625" style="168"/>
  </cols>
  <sheetData>
    <row r="1" spans="1:12" s="3" customFormat="1" ht="16.5" customHeight="1">
      <c r="A1" s="195" t="s">
        <v>139</v>
      </c>
      <c r="B1" s="2"/>
      <c r="C1" s="2"/>
      <c r="D1" s="2"/>
      <c r="E1" s="2"/>
      <c r="G1" s="1107" t="s">
        <v>145</v>
      </c>
      <c r="H1" s="1107"/>
      <c r="I1" s="1107"/>
      <c r="J1" s="1107"/>
    </row>
    <row r="2" spans="1:12" s="3" customFormat="1" ht="16.5" customHeight="1">
      <c r="A2" s="140" t="s">
        <v>140</v>
      </c>
      <c r="B2" s="16"/>
      <c r="C2" s="16"/>
      <c r="D2" s="16"/>
      <c r="E2" s="16"/>
      <c r="G2" s="1108" t="s">
        <v>146</v>
      </c>
      <c r="H2" s="1108"/>
      <c r="I2" s="1108"/>
      <c r="J2" s="1108"/>
    </row>
    <row r="3" spans="1:12" s="3" customFormat="1" ht="16.5" customHeight="1">
      <c r="A3" s="4"/>
      <c r="B3" s="16"/>
      <c r="C3" s="166"/>
      <c r="D3" s="166"/>
      <c r="E3" s="16"/>
      <c r="G3" s="1108"/>
      <c r="H3" s="1108"/>
      <c r="I3" s="1108"/>
      <c r="J3" s="1108"/>
    </row>
    <row r="4" spans="1:12" s="3" customFormat="1" ht="6.75" customHeight="1">
      <c r="A4" s="16"/>
      <c r="B4" s="16"/>
      <c r="C4" s="16"/>
      <c r="D4" s="16"/>
      <c r="E4" s="16"/>
      <c r="G4" s="167"/>
      <c r="H4" s="167"/>
      <c r="I4" s="167"/>
      <c r="J4" s="167"/>
    </row>
    <row r="5" spans="1:12" ht="24.75" customHeight="1">
      <c r="A5" s="1122" t="s">
        <v>147</v>
      </c>
      <c r="B5" s="1122"/>
      <c r="C5" s="1122"/>
      <c r="D5" s="1122"/>
      <c r="E5" s="1122"/>
      <c r="F5" s="1122"/>
      <c r="G5" s="1122"/>
      <c r="H5" s="1122"/>
      <c r="I5" s="1122"/>
      <c r="J5" s="1122"/>
    </row>
    <row r="6" spans="1:12" ht="14.25" customHeight="1">
      <c r="A6" s="1123" t="str">
        <f>$L$11&amp;" / 2015"</f>
        <v>1 / 2015</v>
      </c>
      <c r="B6" s="1123"/>
      <c r="C6" s="1123"/>
      <c r="D6" s="1123"/>
      <c r="E6" s="1123"/>
      <c r="F6" s="1123"/>
      <c r="G6" s="1123"/>
      <c r="H6" s="1123"/>
      <c r="I6" s="1123"/>
      <c r="J6" s="1123"/>
    </row>
    <row r="7" spans="1:12">
      <c r="A7" s="1118" t="s">
        <v>148</v>
      </c>
      <c r="B7" s="1118"/>
      <c r="C7" s="1118"/>
      <c r="D7" s="1118"/>
      <c r="E7" s="1118"/>
      <c r="F7" s="1118"/>
      <c r="G7" s="1118"/>
      <c r="H7" s="1118"/>
      <c r="I7" s="1118"/>
      <c r="J7" s="1118"/>
    </row>
    <row r="8" spans="1:12">
      <c r="A8" s="1118" t="s">
        <v>149</v>
      </c>
      <c r="B8" s="1118"/>
      <c r="C8" s="1118"/>
      <c r="D8" s="1118"/>
      <c r="E8" s="1118"/>
      <c r="F8" s="1118"/>
      <c r="G8" s="1118"/>
      <c r="H8" s="1118"/>
      <c r="I8" s="1118"/>
      <c r="J8" s="1118"/>
    </row>
    <row r="9" spans="1:12">
      <c r="A9" s="169"/>
      <c r="I9" s="169" t="s">
        <v>150</v>
      </c>
    </row>
    <row r="10" spans="1:12" ht="33" customHeight="1" thickBot="1">
      <c r="A10" s="1119" t="s">
        <v>22</v>
      </c>
      <c r="B10" s="1119" t="s">
        <v>151</v>
      </c>
      <c r="C10" s="1121" t="s">
        <v>152</v>
      </c>
      <c r="D10" s="1121"/>
      <c r="E10" s="1121" t="s">
        <v>0</v>
      </c>
      <c r="F10" s="1119" t="s">
        <v>16</v>
      </c>
      <c r="G10" s="1121" t="s">
        <v>23</v>
      </c>
      <c r="H10" s="1121"/>
      <c r="I10" s="1121" t="s">
        <v>153</v>
      </c>
      <c r="J10" s="1121" t="s">
        <v>154</v>
      </c>
      <c r="L10" s="196"/>
    </row>
    <row r="11" spans="1:12" ht="24" customHeight="1" thickBot="1">
      <c r="A11" s="1120"/>
      <c r="B11" s="1120"/>
      <c r="C11" s="170" t="s">
        <v>155</v>
      </c>
      <c r="D11" s="170" t="s">
        <v>156</v>
      </c>
      <c r="E11" s="1121"/>
      <c r="F11" s="1120"/>
      <c r="G11" s="170" t="s">
        <v>24</v>
      </c>
      <c r="H11" s="170" t="s">
        <v>25</v>
      </c>
      <c r="I11" s="1121"/>
      <c r="J11" s="1121"/>
      <c r="L11" s="239">
        <v>1</v>
      </c>
    </row>
    <row r="12" spans="1:12" s="171" customFormat="1" ht="11.25" customHeight="1">
      <c r="A12" s="172" t="s">
        <v>2</v>
      </c>
      <c r="B12" s="172" t="s">
        <v>3</v>
      </c>
      <c r="C12" s="172" t="s">
        <v>4</v>
      </c>
      <c r="D12" s="172" t="s">
        <v>5</v>
      </c>
      <c r="E12" s="172" t="s">
        <v>6</v>
      </c>
      <c r="F12" s="172" t="s">
        <v>157</v>
      </c>
      <c r="G12" s="172">
        <v>1</v>
      </c>
      <c r="H12" s="172">
        <v>2</v>
      </c>
      <c r="I12" s="172">
        <v>3</v>
      </c>
      <c r="J12" s="172" t="s">
        <v>158</v>
      </c>
    </row>
    <row r="13" spans="1:12" s="173" customFormat="1" ht="19.5" customHeight="1">
      <c r="A13" s="174"/>
      <c r="B13" s="174"/>
      <c r="C13" s="174"/>
      <c r="D13" s="174"/>
      <c r="E13" s="174" t="s">
        <v>159</v>
      </c>
      <c r="F13" s="175"/>
      <c r="G13" s="176"/>
      <c r="H13" s="174"/>
      <c r="I13" s="197">
        <f>IF($L$11="All",CDPS!$C$10,CDPS!$C$10+SUMIF(_N111,"x",TH)-SUMIF(_C111,"x",TH))</f>
        <v>3705039095</v>
      </c>
      <c r="J13" s="174"/>
    </row>
    <row r="14" spans="1:12" ht="19.5" customHeight="1">
      <c r="A14" s="177">
        <f ca="1">IF(ROWS($1:1)&gt;COUNT(Dong1),"",OFFSET(TH!C$1,SMALL(Dong1,ROWS($1:1)),))</f>
        <v>42371</v>
      </c>
      <c r="B14" s="177">
        <f ca="1">IF(ROWS($1:1)&gt;COUNT(Dong1),"",OFFSET(TH!E$1,SMALL(Dong1,ROWS($1:1)),))</f>
        <v>42368</v>
      </c>
      <c r="C14" s="178" t="str">
        <f ca="1">IF(ROWS($1:1)&gt;COUNT(Dong1),"",IF(OFFSET(TH!N$1,SMALL(Dong1,ROWS($1:1)),)="1111",OFFSET(TH!D$1,SMALL(Dong1,ROWS($1:1)),),""))</f>
        <v/>
      </c>
      <c r="D14" s="179" t="str">
        <f ca="1">IF(ROWS($1:1)&gt;COUNT(Dong1),"",IF(OFFSET(TH!O$1,SMALL(Dong1,ROWS($1:1)),)="1111",OFFSET(TH!D$1,SMALL(Dong1,ROWS($1:1)),),""))</f>
        <v>C01</v>
      </c>
      <c r="E14" s="446" t="str">
        <f ca="1">IF(ROWS($1:1)&gt;COUNT(Dong1),"",OFFSET(TH!F$1,SMALL(Dong1,ROWS($1:1)),))</f>
        <v>Phí cấp cont, hạ bãi</v>
      </c>
      <c r="F14" s="181" t="str">
        <f ca="1">IF(ROWS($1:1)&gt;COUNT(Dong1),"",IF(OFFSET(TH!O$1,SMALL(Dong1,ROWS($1:1)),)="1111",OFFSET(TH!N$1,SMALL(Dong1,ROWS($1:1)),),OFFSET(TH!O$1,SMALL(Dong1,ROWS($1:1)),)))</f>
        <v>642</v>
      </c>
      <c r="G14" s="182">
        <f ca="1">IF(ROWS($1:1)&gt;COUNT(Dong1),"",IF(OFFSET(TH!N$1,SMALL(Dong1,ROWS($1:1)),)="1111",OFFSET(TH!M$1,SMALL(Dong1,ROWS($1:1)),),0))</f>
        <v>0</v>
      </c>
      <c r="H14" s="180">
        <f ca="1">IF(ROWS($1:1)&gt;COUNT(Dong1),"",IF(OFFSET(TH!O$1,SMALL(Dong1,ROWS($1:1)),)="1111",OFFSET(TH!M$1,SMALL(Dong1,ROWS($1:1)),),0))</f>
        <v>4399997</v>
      </c>
      <c r="I14" s="178">
        <f ca="1">IF(E14&lt;&gt;"",I13+G14-H14,0)</f>
        <v>3700639098</v>
      </c>
      <c r="J14" s="183"/>
    </row>
    <row r="15" spans="1:12" ht="19.5" customHeight="1">
      <c r="A15" s="177">
        <f ca="1">IF(ROWS($1:2)&gt;COUNT(Dong1),"",OFFSET(TH!C$1,SMALL(Dong1,ROWS($1:2)),))</f>
        <v>42371</v>
      </c>
      <c r="B15" s="177">
        <f ca="1">IF(ROWS($1:2)&gt;COUNT(Dong1),"",OFFSET(TH!E$1,SMALL(Dong1,ROWS($1:2)),))</f>
        <v>42368</v>
      </c>
      <c r="C15" s="178" t="str">
        <f ca="1">IF(ROWS($1:2)&gt;COUNT(Dong1),"",IF(OFFSET(TH!N$1,SMALL(Dong1,ROWS($1:2)),)="1111",OFFSET(TH!D$1,SMALL(Dong1,ROWS($1:2)),),""))</f>
        <v/>
      </c>
      <c r="D15" s="179" t="str">
        <f ca="1">IF(ROWS($1:2)&gt;COUNT(Dong1),"",IF(OFFSET(TH!O$1,SMALL(Dong1,ROWS($1:2)),)="1111",OFFSET(TH!D$1,SMALL(Dong1,ROWS($1:2)),),""))</f>
        <v>C01</v>
      </c>
      <c r="E15" s="446" t="str">
        <f ca="1">IF(ROWS($1:2)&gt;COUNT(Dong1),"",OFFSET(TH!F$1,SMALL(Dong1,ROWS($1:2)),))</f>
        <v>VAT Phí cấp cont, hạ bãi</v>
      </c>
      <c r="F15" s="181" t="str">
        <f ca="1">IF(ROWS($1:2)&gt;COUNT(Dong1),"",IF(OFFSET(TH!O$1,SMALL(Dong1,ROWS($1:2)),)="1111",OFFSET(TH!N$1,SMALL(Dong1,ROWS($1:2)),),OFFSET(TH!O$1,SMALL(Dong1,ROWS($1:2)),)))</f>
        <v>1331</v>
      </c>
      <c r="G15" s="182">
        <f ca="1">IF(ROWS($1:2)&gt;COUNT(Dong1),"",IF(OFFSET(TH!N$1,SMALL(Dong1,ROWS($1:2)),)="1111",OFFSET(TH!M$1,SMALL(Dong1,ROWS($1:2)),),0))</f>
        <v>0</v>
      </c>
      <c r="H15" s="180">
        <f ca="1">IF(ROWS($1:2)&gt;COUNT(Dong1),"",IF(OFFSET(TH!O$1,SMALL(Dong1,ROWS($1:2)),)="1111",OFFSET(TH!M$1,SMALL(Dong1,ROWS($1:2)),),0))</f>
        <v>440003</v>
      </c>
      <c r="I15" s="178">
        <f t="shared" ref="I15:I78" ca="1" si="0">IF(E15&lt;&gt;"",I14+G15-H15,0)</f>
        <v>3700199095</v>
      </c>
      <c r="J15" s="183"/>
    </row>
    <row r="16" spans="1:12" ht="19.5" customHeight="1">
      <c r="A16" s="177">
        <f ca="1">IF(ROWS($1:3)&gt;COUNT(Dong1),"",OFFSET(TH!C$1,SMALL(Dong1,ROWS($1:3)),))</f>
        <v>42371</v>
      </c>
      <c r="B16" s="177">
        <f ca="1">IF(ROWS($1:3)&gt;COUNT(Dong1),"",OFFSET(TH!E$1,SMALL(Dong1,ROWS($1:3)),))</f>
        <v>42369</v>
      </c>
      <c r="C16" s="178" t="str">
        <f ca="1">IF(ROWS($1:3)&gt;COUNT(Dong1),"",IF(OFFSET(TH!N$1,SMALL(Dong1,ROWS($1:3)),)="1111",OFFSET(TH!D$1,SMALL(Dong1,ROWS($1:3)),),""))</f>
        <v/>
      </c>
      <c r="D16" s="179" t="str">
        <f ca="1">IF(ROWS($1:3)&gt;COUNT(Dong1),"",IF(OFFSET(TH!O$1,SMALL(Dong1,ROWS($1:3)),)="1111",OFFSET(TH!D$1,SMALL(Dong1,ROWS($1:3)),),""))</f>
        <v>C02</v>
      </c>
      <c r="E16" s="446" t="str">
        <f ca="1">IF(ROWS($1:3)&gt;COUNT(Dong1),"",OFFSET(TH!F$1,SMALL(Dong1,ROWS($1:3)),))</f>
        <v xml:space="preserve">Cước CPN </v>
      </c>
      <c r="F16" s="181" t="str">
        <f ca="1">IF(ROWS($1:3)&gt;COUNT(Dong1),"",IF(OFFSET(TH!O$1,SMALL(Dong1,ROWS($1:3)),)="1111",OFFSET(TH!N$1,SMALL(Dong1,ROWS($1:3)),),OFFSET(TH!O$1,SMALL(Dong1,ROWS($1:3)),)))</f>
        <v>642</v>
      </c>
      <c r="G16" s="182">
        <f ca="1">IF(ROWS($1:3)&gt;COUNT(Dong1),"",IF(OFFSET(TH!N$1,SMALL(Dong1,ROWS($1:3)),)="1111",OFFSET(TH!M$1,SMALL(Dong1,ROWS($1:3)),),0))</f>
        <v>0</v>
      </c>
      <c r="H16" s="180">
        <f ca="1">IF(ROWS($1:3)&gt;COUNT(Dong1),"",IF(OFFSET(TH!O$1,SMALL(Dong1,ROWS($1:3)),)="1111",OFFSET(TH!M$1,SMALL(Dong1,ROWS($1:3)),),0))</f>
        <v>47150</v>
      </c>
      <c r="I16" s="178">
        <f t="shared" ca="1" si="0"/>
        <v>3700151945</v>
      </c>
      <c r="J16" s="183"/>
    </row>
    <row r="17" spans="1:10" ht="19.5" customHeight="1">
      <c r="A17" s="177">
        <f ca="1">IF(ROWS($1:4)&gt;COUNT(Dong1),"",OFFSET(TH!C$1,SMALL(Dong1,ROWS($1:4)),))</f>
        <v>42371</v>
      </c>
      <c r="B17" s="177">
        <f ca="1">IF(ROWS($1:4)&gt;COUNT(Dong1),"",OFFSET(TH!E$1,SMALL(Dong1,ROWS($1:4)),))</f>
        <v>42369</v>
      </c>
      <c r="C17" s="178" t="str">
        <f ca="1">IF(ROWS($1:4)&gt;COUNT(Dong1),"",IF(OFFSET(TH!N$1,SMALL(Dong1,ROWS($1:4)),)="1111",OFFSET(TH!D$1,SMALL(Dong1,ROWS($1:4)),),""))</f>
        <v/>
      </c>
      <c r="D17" s="179" t="str">
        <f ca="1">IF(ROWS($1:4)&gt;COUNT(Dong1),"",IF(OFFSET(TH!O$1,SMALL(Dong1,ROWS($1:4)),)="1111",OFFSET(TH!D$1,SMALL(Dong1,ROWS($1:4)),),""))</f>
        <v>C02</v>
      </c>
      <c r="E17" s="446" t="str">
        <f ca="1">IF(ROWS($1:4)&gt;COUNT(Dong1),"",OFFSET(TH!F$1,SMALL(Dong1,ROWS($1:4)),))</f>
        <v xml:space="preserve">VAT Cước CPN </v>
      </c>
      <c r="F17" s="181" t="str">
        <f ca="1">IF(ROWS($1:4)&gt;COUNT(Dong1),"",IF(OFFSET(TH!O$1,SMALL(Dong1,ROWS($1:4)),)="1111",OFFSET(TH!N$1,SMALL(Dong1,ROWS($1:4)),),OFFSET(TH!O$1,SMALL(Dong1,ROWS($1:4)),)))</f>
        <v>1331</v>
      </c>
      <c r="G17" s="182">
        <f ca="1">IF(ROWS($1:4)&gt;COUNT(Dong1),"",IF(OFFSET(TH!N$1,SMALL(Dong1,ROWS($1:4)),)="1111",OFFSET(TH!M$1,SMALL(Dong1,ROWS($1:4)),),0))</f>
        <v>0</v>
      </c>
      <c r="H17" s="180">
        <f ca="1">IF(ROWS($1:4)&gt;COUNT(Dong1),"",IF(OFFSET(TH!O$1,SMALL(Dong1,ROWS($1:4)),)="1111",OFFSET(TH!M$1,SMALL(Dong1,ROWS($1:4)),),0))</f>
        <v>4715</v>
      </c>
      <c r="I17" s="178">
        <f t="shared" ca="1" si="0"/>
        <v>3700147230</v>
      </c>
      <c r="J17" s="183"/>
    </row>
    <row r="18" spans="1:10" ht="19.5" customHeight="1">
      <c r="A18" s="177">
        <f ca="1">IF(ROWS($1:5)&gt;COUNT(Dong1),"",OFFSET(TH!C$1,SMALL(Dong1,ROWS($1:5)),))</f>
        <v>42371</v>
      </c>
      <c r="B18" s="177">
        <f ca="1">IF(ROWS($1:5)&gt;COUNT(Dong1),"",OFFSET(TH!E$1,SMALL(Dong1,ROWS($1:5)),))</f>
        <v>42367</v>
      </c>
      <c r="C18" s="178" t="str">
        <f ca="1">IF(ROWS($1:5)&gt;COUNT(Dong1),"",IF(OFFSET(TH!N$1,SMALL(Dong1,ROWS($1:5)),)="1111",OFFSET(TH!D$1,SMALL(Dong1,ROWS($1:5)),),""))</f>
        <v/>
      </c>
      <c r="D18" s="179" t="str">
        <f ca="1">IF(ROWS($1:5)&gt;COUNT(Dong1),"",IF(OFFSET(TH!O$1,SMALL(Dong1,ROWS($1:5)),)="1111",OFFSET(TH!D$1,SMALL(Dong1,ROWS($1:5)),),""))</f>
        <v>C03</v>
      </c>
      <c r="E18" s="446" t="str">
        <f ca="1">IF(ROWS($1:5)&gt;COUNT(Dong1),"",OFFSET(TH!F$1,SMALL(Dong1,ROWS($1:5)),))</f>
        <v>Phí cấp cont, hạ bãi</v>
      </c>
      <c r="F18" s="181" t="str">
        <f ca="1">IF(ROWS($1:5)&gt;COUNT(Dong1),"",IF(OFFSET(TH!O$1,SMALL(Dong1,ROWS($1:5)),)="1111",OFFSET(TH!N$1,SMALL(Dong1,ROWS($1:5)),),OFFSET(TH!O$1,SMALL(Dong1,ROWS($1:5)),)))</f>
        <v>642</v>
      </c>
      <c r="G18" s="182">
        <f ca="1">IF(ROWS($1:5)&gt;COUNT(Dong1),"",IF(OFFSET(TH!N$1,SMALL(Dong1,ROWS($1:5)),)="1111",OFFSET(TH!M$1,SMALL(Dong1,ROWS($1:5)),),0))</f>
        <v>0</v>
      </c>
      <c r="H18" s="180">
        <f ca="1">IF(ROWS($1:5)&gt;COUNT(Dong1),"",IF(OFFSET(TH!O$1,SMALL(Dong1,ROWS($1:5)),)="1111",OFFSET(TH!M$1,SMALL(Dong1,ROWS($1:5)),),0))</f>
        <v>2090910</v>
      </c>
      <c r="I18" s="178">
        <f t="shared" ca="1" si="0"/>
        <v>3698056320</v>
      </c>
      <c r="J18" s="183"/>
    </row>
    <row r="19" spans="1:10" ht="19.5" customHeight="1">
      <c r="A19" s="177">
        <f ca="1">IF(ROWS($1:6)&gt;COUNT(Dong1),"",OFFSET(TH!C$1,SMALL(Dong1,ROWS($1:6)),))</f>
        <v>42371</v>
      </c>
      <c r="B19" s="177">
        <f ca="1">IF(ROWS($1:6)&gt;COUNT(Dong1),"",OFFSET(TH!E$1,SMALL(Dong1,ROWS($1:6)),))</f>
        <v>42367</v>
      </c>
      <c r="C19" s="178" t="str">
        <f ca="1">IF(ROWS($1:6)&gt;COUNT(Dong1),"",IF(OFFSET(TH!N$1,SMALL(Dong1,ROWS($1:6)),)="1111",OFFSET(TH!D$1,SMALL(Dong1,ROWS($1:6)),),""))</f>
        <v/>
      </c>
      <c r="D19" s="179" t="str">
        <f ca="1">IF(ROWS($1:6)&gt;COUNT(Dong1),"",IF(OFFSET(TH!O$1,SMALL(Dong1,ROWS($1:6)),)="1111",OFFSET(TH!D$1,SMALL(Dong1,ROWS($1:6)),),""))</f>
        <v>C03</v>
      </c>
      <c r="E19" s="446" t="str">
        <f ca="1">IF(ROWS($1:6)&gt;COUNT(Dong1),"",OFFSET(TH!F$1,SMALL(Dong1,ROWS($1:6)),))</f>
        <v>VAT Phí cấp cont, hạ bãi</v>
      </c>
      <c r="F19" s="181" t="str">
        <f ca="1">IF(ROWS($1:6)&gt;COUNT(Dong1),"",IF(OFFSET(TH!O$1,SMALL(Dong1,ROWS($1:6)),)="1111",OFFSET(TH!N$1,SMALL(Dong1,ROWS($1:6)),),OFFSET(TH!O$1,SMALL(Dong1,ROWS($1:6)),)))</f>
        <v>1331</v>
      </c>
      <c r="G19" s="182">
        <f ca="1">IF(ROWS($1:6)&gt;COUNT(Dong1),"",IF(OFFSET(TH!N$1,SMALL(Dong1,ROWS($1:6)),)="1111",OFFSET(TH!M$1,SMALL(Dong1,ROWS($1:6)),),0))</f>
        <v>0</v>
      </c>
      <c r="H19" s="180">
        <f ca="1">IF(ROWS($1:6)&gt;COUNT(Dong1),"",IF(OFFSET(TH!O$1,SMALL(Dong1,ROWS($1:6)),)="1111",OFFSET(TH!M$1,SMALL(Dong1,ROWS($1:6)),),0))</f>
        <v>209090</v>
      </c>
      <c r="I19" s="178">
        <f t="shared" ca="1" si="0"/>
        <v>3697847230</v>
      </c>
      <c r="J19" s="183"/>
    </row>
    <row r="20" spans="1:10" ht="19.5" customHeight="1">
      <c r="A20" s="177">
        <f ca="1">IF(ROWS($1:7)&gt;COUNT(Dong1),"",OFFSET(TH!C$1,SMALL(Dong1,ROWS($1:7)),))</f>
        <v>42371</v>
      </c>
      <c r="B20" s="177">
        <f ca="1">IF(ROWS($1:7)&gt;COUNT(Dong1),"",OFFSET(TH!E$1,SMALL(Dong1,ROWS($1:7)),))</f>
        <v>42367</v>
      </c>
      <c r="C20" s="178" t="str">
        <f ca="1">IF(ROWS($1:7)&gt;COUNT(Dong1),"",IF(OFFSET(TH!N$1,SMALL(Dong1,ROWS($1:7)),)="1111",OFFSET(TH!D$1,SMALL(Dong1,ROWS($1:7)),),""))</f>
        <v/>
      </c>
      <c r="D20" s="179" t="str">
        <f ca="1">IF(ROWS($1:7)&gt;COUNT(Dong1),"",IF(OFFSET(TH!O$1,SMALL(Dong1,ROWS($1:7)),)="1111",OFFSET(TH!D$1,SMALL(Dong1,ROWS($1:7)),),""))</f>
        <v>C04</v>
      </c>
      <c r="E20" s="446" t="str">
        <f ca="1">IF(ROWS($1:7)&gt;COUNT(Dong1),"",OFFSET(TH!F$1,SMALL(Dong1,ROWS($1:7)),))</f>
        <v>Cước vận chuyển</v>
      </c>
      <c r="F20" s="181" t="str">
        <f ca="1">IF(ROWS($1:7)&gt;COUNT(Dong1),"",IF(OFFSET(TH!O$1,SMALL(Dong1,ROWS($1:7)),)="1111",OFFSET(TH!N$1,SMALL(Dong1,ROWS($1:7)),),OFFSET(TH!O$1,SMALL(Dong1,ROWS($1:7)),)))</f>
        <v>642</v>
      </c>
      <c r="G20" s="182">
        <f ca="1">IF(ROWS($1:7)&gt;COUNT(Dong1),"",IF(OFFSET(TH!N$1,SMALL(Dong1,ROWS($1:7)),)="1111",OFFSET(TH!M$1,SMALL(Dong1,ROWS($1:7)),),0))</f>
        <v>0</v>
      </c>
      <c r="H20" s="180">
        <f ca="1">IF(ROWS($1:7)&gt;COUNT(Dong1),"",IF(OFFSET(TH!O$1,SMALL(Dong1,ROWS($1:7)),)="1111",OFFSET(TH!M$1,SMALL(Dong1,ROWS($1:7)),),0))</f>
        <v>12000000</v>
      </c>
      <c r="I20" s="178">
        <f t="shared" ca="1" si="0"/>
        <v>3685847230</v>
      </c>
      <c r="J20" s="183"/>
    </row>
    <row r="21" spans="1:10" ht="19.5" customHeight="1">
      <c r="A21" s="177">
        <f ca="1">IF(ROWS($1:8)&gt;COUNT(Dong1),"",OFFSET(TH!C$1,SMALL(Dong1,ROWS($1:8)),))</f>
        <v>42371</v>
      </c>
      <c r="B21" s="177">
        <f ca="1">IF(ROWS($1:8)&gt;COUNT(Dong1),"",OFFSET(TH!E$1,SMALL(Dong1,ROWS($1:8)),))</f>
        <v>42367</v>
      </c>
      <c r="C21" s="178" t="str">
        <f ca="1">IF(ROWS($1:8)&gt;COUNT(Dong1),"",IF(OFFSET(TH!N$1,SMALL(Dong1,ROWS($1:8)),)="1111",OFFSET(TH!D$1,SMALL(Dong1,ROWS($1:8)),),""))</f>
        <v/>
      </c>
      <c r="D21" s="179" t="str">
        <f ca="1">IF(ROWS($1:8)&gt;COUNT(Dong1),"",IF(OFFSET(TH!O$1,SMALL(Dong1,ROWS($1:8)),)="1111",OFFSET(TH!D$1,SMALL(Dong1,ROWS($1:8)),),""))</f>
        <v>C04</v>
      </c>
      <c r="E21" s="446" t="str">
        <f ca="1">IF(ROWS($1:8)&gt;COUNT(Dong1),"",OFFSET(TH!F$1,SMALL(Dong1,ROWS($1:8)),))</f>
        <v>VAT Cước vận chuyển</v>
      </c>
      <c r="F21" s="181" t="str">
        <f ca="1">IF(ROWS($1:8)&gt;COUNT(Dong1),"",IF(OFFSET(TH!O$1,SMALL(Dong1,ROWS($1:8)),)="1111",OFFSET(TH!N$1,SMALL(Dong1,ROWS($1:8)),),OFFSET(TH!O$1,SMALL(Dong1,ROWS($1:8)),)))</f>
        <v>1331</v>
      </c>
      <c r="G21" s="182">
        <f ca="1">IF(ROWS($1:8)&gt;COUNT(Dong1),"",IF(OFFSET(TH!N$1,SMALL(Dong1,ROWS($1:8)),)="1111",OFFSET(TH!M$1,SMALL(Dong1,ROWS($1:8)),),0))</f>
        <v>0</v>
      </c>
      <c r="H21" s="180">
        <f ca="1">IF(ROWS($1:8)&gt;COUNT(Dong1),"",IF(OFFSET(TH!O$1,SMALL(Dong1,ROWS($1:8)),)="1111",OFFSET(TH!M$1,SMALL(Dong1,ROWS($1:8)),),0))</f>
        <v>1200000</v>
      </c>
      <c r="I21" s="178">
        <f t="shared" ca="1" si="0"/>
        <v>3684647230</v>
      </c>
      <c r="J21" s="183"/>
    </row>
    <row r="22" spans="1:10" ht="19.5" customHeight="1">
      <c r="A22" s="177">
        <f ca="1">IF(ROWS($1:9)&gt;COUNT(Dong1),"",OFFSET(TH!C$1,SMALL(Dong1,ROWS($1:9)),))</f>
        <v>42371</v>
      </c>
      <c r="B22" s="177">
        <f ca="1">IF(ROWS($1:9)&gt;COUNT(Dong1),"",OFFSET(TH!E$1,SMALL(Dong1,ROWS($1:9)),))</f>
        <v>42370</v>
      </c>
      <c r="C22" s="178" t="str">
        <f ca="1">IF(ROWS($1:9)&gt;COUNT(Dong1),"",IF(OFFSET(TH!N$1,SMALL(Dong1,ROWS($1:9)),)="1111",OFFSET(TH!D$1,SMALL(Dong1,ROWS($1:9)),),""))</f>
        <v/>
      </c>
      <c r="D22" s="179" t="str">
        <f ca="1">IF(ROWS($1:9)&gt;COUNT(Dong1),"",IF(OFFSET(TH!O$1,SMALL(Dong1,ROWS($1:9)),)="1111",OFFSET(TH!D$1,SMALL(Dong1,ROWS($1:9)),),""))</f>
        <v>C05</v>
      </c>
      <c r="E22" s="446" t="str">
        <f ca="1">IF(ROWS($1:9)&gt;COUNT(Dong1),"",OFFSET(TH!F$1,SMALL(Dong1,ROWS($1:9)),))</f>
        <v>Dầu DO</v>
      </c>
      <c r="F22" s="181" t="str">
        <f ca="1">IF(ROWS($1:9)&gt;COUNT(Dong1),"",IF(OFFSET(TH!O$1,SMALL(Dong1,ROWS($1:9)),)="1111",OFFSET(TH!N$1,SMALL(Dong1,ROWS($1:9)),),OFFSET(TH!O$1,SMALL(Dong1,ROWS($1:9)),)))</f>
        <v>642</v>
      </c>
      <c r="G22" s="182">
        <f ca="1">IF(ROWS($1:9)&gt;COUNT(Dong1),"",IF(OFFSET(TH!N$1,SMALL(Dong1,ROWS($1:9)),)="1111",OFFSET(TH!M$1,SMALL(Dong1,ROWS($1:9)),),0))</f>
        <v>0</v>
      </c>
      <c r="H22" s="180">
        <f ca="1">IF(ROWS($1:9)&gt;COUNT(Dong1),"",IF(OFFSET(TH!O$1,SMALL(Dong1,ROWS($1:9)),)="1111",OFFSET(TH!M$1,SMALL(Dong1,ROWS($1:9)),),0))</f>
        <v>620782</v>
      </c>
      <c r="I22" s="178">
        <f t="shared" ca="1" si="0"/>
        <v>3684026448</v>
      </c>
      <c r="J22" s="183"/>
    </row>
    <row r="23" spans="1:10" ht="19.5" customHeight="1">
      <c r="A23" s="177">
        <f ca="1">IF(ROWS($1:10)&gt;COUNT(Dong1),"",OFFSET(TH!C$1,SMALL(Dong1,ROWS($1:10)),))</f>
        <v>42371</v>
      </c>
      <c r="B23" s="177">
        <f ca="1">IF(ROWS($1:10)&gt;COUNT(Dong1),"",OFFSET(TH!E$1,SMALL(Dong1,ROWS($1:10)),))</f>
        <v>42370</v>
      </c>
      <c r="C23" s="178" t="str">
        <f ca="1">IF(ROWS($1:10)&gt;COUNT(Dong1),"",IF(OFFSET(TH!N$1,SMALL(Dong1,ROWS($1:10)),)="1111",OFFSET(TH!D$1,SMALL(Dong1,ROWS($1:10)),),""))</f>
        <v/>
      </c>
      <c r="D23" s="179" t="str">
        <f ca="1">IF(ROWS($1:10)&gt;COUNT(Dong1),"",IF(OFFSET(TH!O$1,SMALL(Dong1,ROWS($1:10)),)="1111",OFFSET(TH!D$1,SMALL(Dong1,ROWS($1:10)),),""))</f>
        <v>C05</v>
      </c>
      <c r="E23" s="446" t="str">
        <f ca="1">IF(ROWS($1:10)&gt;COUNT(Dong1),"",OFFSET(TH!F$1,SMALL(Dong1,ROWS($1:10)),))</f>
        <v>VAT Dầu DO</v>
      </c>
      <c r="F23" s="181" t="str">
        <f ca="1">IF(ROWS($1:10)&gt;COUNT(Dong1),"",IF(OFFSET(TH!O$1,SMALL(Dong1,ROWS($1:10)),)="1111",OFFSET(TH!N$1,SMALL(Dong1,ROWS($1:10)),),OFFSET(TH!O$1,SMALL(Dong1,ROWS($1:10)),)))</f>
        <v>1331</v>
      </c>
      <c r="G23" s="182">
        <f ca="1">IF(ROWS($1:10)&gt;COUNT(Dong1),"",IF(OFFSET(TH!N$1,SMALL(Dong1,ROWS($1:10)),)="1111",OFFSET(TH!M$1,SMALL(Dong1,ROWS($1:10)),),0))</f>
        <v>0</v>
      </c>
      <c r="H23" s="180">
        <f ca="1">IF(ROWS($1:10)&gt;COUNT(Dong1),"",IF(OFFSET(TH!O$1,SMALL(Dong1,ROWS($1:10)),)="1111",OFFSET(TH!M$1,SMALL(Dong1,ROWS($1:10)),),0))</f>
        <v>62078</v>
      </c>
      <c r="I23" s="178">
        <f t="shared" ca="1" si="0"/>
        <v>3683964370</v>
      </c>
      <c r="J23" s="183"/>
    </row>
    <row r="24" spans="1:10" ht="19.5" customHeight="1">
      <c r="A24" s="177">
        <f ca="1">IF(ROWS($1:11)&gt;COUNT(Dong1),"",OFFSET(TH!C$1,SMALL(Dong1,ROWS($1:11)),))</f>
        <v>42371</v>
      </c>
      <c r="B24" s="177">
        <f ca="1">IF(ROWS($1:11)&gt;COUNT(Dong1),"",OFFSET(TH!E$1,SMALL(Dong1,ROWS($1:11)),))</f>
        <v>42370</v>
      </c>
      <c r="C24" s="178" t="str">
        <f ca="1">IF(ROWS($1:11)&gt;COUNT(Dong1),"",IF(OFFSET(TH!N$1,SMALL(Dong1,ROWS($1:11)),)="1111",OFFSET(TH!D$1,SMALL(Dong1,ROWS($1:11)),),""))</f>
        <v/>
      </c>
      <c r="D24" s="179" t="str">
        <f ca="1">IF(ROWS($1:11)&gt;COUNT(Dong1),"",IF(OFFSET(TH!O$1,SMALL(Dong1,ROWS($1:11)),)="1111",OFFSET(TH!D$1,SMALL(Dong1,ROWS($1:11)),),""))</f>
        <v>C06</v>
      </c>
      <c r="E24" s="446" t="str">
        <f ca="1">IF(ROWS($1:11)&gt;COUNT(Dong1),"",OFFSET(TH!F$1,SMALL(Dong1,ROWS($1:11)),))</f>
        <v>Thanh toán tiền diệt chuột</v>
      </c>
      <c r="F24" s="181" t="str">
        <f ca="1">IF(ROWS($1:11)&gt;COUNT(Dong1),"",IF(OFFSET(TH!O$1,SMALL(Dong1,ROWS($1:11)),)="1111",OFFSET(TH!N$1,SMALL(Dong1,ROWS($1:11)),),OFFSET(TH!O$1,SMALL(Dong1,ROWS($1:11)),)))</f>
        <v>331</v>
      </c>
      <c r="G24" s="182">
        <f ca="1">IF(ROWS($1:11)&gt;COUNT(Dong1),"",IF(OFFSET(TH!N$1,SMALL(Dong1,ROWS($1:11)),)="1111",OFFSET(TH!M$1,SMALL(Dong1,ROWS($1:11)),),0))</f>
        <v>0</v>
      </c>
      <c r="H24" s="180">
        <f ca="1">IF(ROWS($1:11)&gt;COUNT(Dong1),"",IF(OFFSET(TH!O$1,SMALL(Dong1,ROWS($1:11)),)="1111",OFFSET(TH!M$1,SMALL(Dong1,ROWS($1:11)),),0))</f>
        <v>7500000</v>
      </c>
      <c r="I24" s="178">
        <f t="shared" ca="1" si="0"/>
        <v>3676464370</v>
      </c>
      <c r="J24" s="183"/>
    </row>
    <row r="25" spans="1:10" ht="19.5" customHeight="1">
      <c r="A25" s="177">
        <f ca="1">IF(ROWS($1:12)&gt;COUNT(Dong1),"",OFFSET(TH!C$1,SMALL(Dong1,ROWS($1:12)),))</f>
        <v>42373</v>
      </c>
      <c r="B25" s="177">
        <f ca="1">IF(ROWS($1:12)&gt;COUNT(Dong1),"",OFFSET(TH!E$1,SMALL(Dong1,ROWS($1:12)),))</f>
        <v>42373</v>
      </c>
      <c r="C25" s="178" t="str">
        <f ca="1">IF(ROWS($1:12)&gt;COUNT(Dong1),"",IF(OFFSET(TH!N$1,SMALL(Dong1,ROWS($1:12)),)="1111",OFFSET(TH!D$1,SMALL(Dong1,ROWS($1:12)),),""))</f>
        <v>T01</v>
      </c>
      <c r="D25" s="179" t="str">
        <f ca="1">IF(ROWS($1:12)&gt;COUNT(Dong1),"",IF(OFFSET(TH!O$1,SMALL(Dong1,ROWS($1:12)),)="1111",OFFSET(TH!D$1,SMALL(Dong1,ROWS($1:12)),),""))</f>
        <v/>
      </c>
      <c r="E25" s="446" t="str">
        <f ca="1">IF(ROWS($1:12)&gt;COUNT(Dong1),"",OFFSET(TH!F$1,SMALL(Dong1,ROWS($1:12)),))</f>
        <v>Q4 - Rút tiền gửi NH nhập quỹ TM</v>
      </c>
      <c r="F25" s="181" t="str">
        <f ca="1">IF(ROWS($1:12)&gt;COUNT(Dong1),"",IF(OFFSET(TH!O$1,SMALL(Dong1,ROWS($1:12)),)="1111",OFFSET(TH!N$1,SMALL(Dong1,ROWS($1:12)),),OFFSET(TH!O$1,SMALL(Dong1,ROWS($1:12)),)))</f>
        <v>1121</v>
      </c>
      <c r="G25" s="182">
        <f ca="1">IF(ROWS($1:12)&gt;COUNT(Dong1),"",IF(OFFSET(TH!N$1,SMALL(Dong1,ROWS($1:12)),)="1111",OFFSET(TH!M$1,SMALL(Dong1,ROWS($1:12)),),0))</f>
        <v>2200000000</v>
      </c>
      <c r="H25" s="180">
        <f ca="1">IF(ROWS($1:12)&gt;COUNT(Dong1),"",IF(OFFSET(TH!O$1,SMALL(Dong1,ROWS($1:12)),)="1111",OFFSET(TH!M$1,SMALL(Dong1,ROWS($1:12)),),0))</f>
        <v>0</v>
      </c>
      <c r="I25" s="178">
        <f t="shared" ca="1" si="0"/>
        <v>5876464370</v>
      </c>
      <c r="J25" s="183"/>
    </row>
    <row r="26" spans="1:10" ht="19.5" customHeight="1">
      <c r="A26" s="177">
        <f ca="1">IF(ROWS($1:13)&gt;COUNT(Dong1),"",OFFSET(TH!C$1,SMALL(Dong1,ROWS($1:13)),))</f>
        <v>42373</v>
      </c>
      <c r="B26" s="177">
        <f ca="1">IF(ROWS($1:13)&gt;COUNT(Dong1),"",OFFSET(TH!E$1,SMALL(Dong1,ROWS($1:13)),))</f>
        <v>42373</v>
      </c>
      <c r="C26" s="178" t="str">
        <f ca="1">IF(ROWS($1:13)&gt;COUNT(Dong1),"",IF(OFFSET(TH!N$1,SMALL(Dong1,ROWS($1:13)),)="1111",OFFSET(TH!D$1,SMALL(Dong1,ROWS($1:13)),),""))</f>
        <v/>
      </c>
      <c r="D26" s="179" t="str">
        <f ca="1">IF(ROWS($1:13)&gt;COUNT(Dong1),"",IF(OFFSET(TH!O$1,SMALL(Dong1,ROWS($1:13)),)="1111",OFFSET(TH!D$1,SMALL(Dong1,ROWS($1:13)),),""))</f>
        <v>C07</v>
      </c>
      <c r="E26" s="446" t="str">
        <f ca="1">IF(ROWS($1:13)&gt;COUNT(Dong1),"",OFFSET(TH!F$1,SMALL(Dong1,ROWS($1:13)),))</f>
        <v>Xi măng Fico</v>
      </c>
      <c r="F26" s="181" t="str">
        <f ca="1">IF(ROWS($1:13)&gt;COUNT(Dong1),"",IF(OFFSET(TH!O$1,SMALL(Dong1,ROWS($1:13)),)="1111",OFFSET(TH!N$1,SMALL(Dong1,ROWS($1:13)),),OFFSET(TH!O$1,SMALL(Dong1,ROWS($1:13)),)))</f>
        <v>2412</v>
      </c>
      <c r="G26" s="182">
        <f ca="1">IF(ROWS($1:13)&gt;COUNT(Dong1),"",IF(OFFSET(TH!N$1,SMALL(Dong1,ROWS($1:13)),)="1111",OFFSET(TH!M$1,SMALL(Dong1,ROWS($1:13)),),0))</f>
        <v>0</v>
      </c>
      <c r="H26" s="180">
        <f ca="1">IF(ROWS($1:13)&gt;COUNT(Dong1),"",IF(OFFSET(TH!O$1,SMALL(Dong1,ROWS($1:13)),)="1111",OFFSET(TH!M$1,SMALL(Dong1,ROWS($1:13)),),0))</f>
        <v>16650000</v>
      </c>
      <c r="I26" s="178">
        <f t="shared" ca="1" si="0"/>
        <v>5859814370</v>
      </c>
      <c r="J26" s="183"/>
    </row>
    <row r="27" spans="1:10" ht="19.5" customHeight="1">
      <c r="A27" s="177">
        <f ca="1">IF(ROWS($1:14)&gt;COUNT(Dong1),"",OFFSET(TH!C$1,SMALL(Dong1,ROWS($1:14)),))</f>
        <v>42373</v>
      </c>
      <c r="B27" s="177">
        <f ca="1">IF(ROWS($1:14)&gt;COUNT(Dong1),"",OFFSET(TH!E$1,SMALL(Dong1,ROWS($1:14)),))</f>
        <v>42373</v>
      </c>
      <c r="C27" s="178" t="str">
        <f ca="1">IF(ROWS($1:14)&gt;COUNT(Dong1),"",IF(OFFSET(TH!N$1,SMALL(Dong1,ROWS($1:14)),)="1111",OFFSET(TH!D$1,SMALL(Dong1,ROWS($1:14)),),""))</f>
        <v/>
      </c>
      <c r="D27" s="179" t="str">
        <f ca="1">IF(ROWS($1:14)&gt;COUNT(Dong1),"",IF(OFFSET(TH!O$1,SMALL(Dong1,ROWS($1:14)),)="1111",OFFSET(TH!D$1,SMALL(Dong1,ROWS($1:14)),),""))</f>
        <v>C07</v>
      </c>
      <c r="E27" s="446" t="str">
        <f ca="1">IF(ROWS($1:14)&gt;COUNT(Dong1),"",OFFSET(TH!F$1,SMALL(Dong1,ROWS($1:14)),))</f>
        <v>VAT Xi măng Fico</v>
      </c>
      <c r="F27" s="181" t="str">
        <f ca="1">IF(ROWS($1:14)&gt;COUNT(Dong1),"",IF(OFFSET(TH!O$1,SMALL(Dong1,ROWS($1:14)),)="1111",OFFSET(TH!N$1,SMALL(Dong1,ROWS($1:14)),),OFFSET(TH!O$1,SMALL(Dong1,ROWS($1:14)),)))</f>
        <v>1331</v>
      </c>
      <c r="G27" s="182">
        <f ca="1">IF(ROWS($1:14)&gt;COUNT(Dong1),"",IF(OFFSET(TH!N$1,SMALL(Dong1,ROWS($1:14)),)="1111",OFFSET(TH!M$1,SMALL(Dong1,ROWS($1:14)),),0))</f>
        <v>0</v>
      </c>
      <c r="H27" s="180">
        <f ca="1">IF(ROWS($1:14)&gt;COUNT(Dong1),"",IF(OFFSET(TH!O$1,SMALL(Dong1,ROWS($1:14)),)="1111",OFFSET(TH!M$1,SMALL(Dong1,ROWS($1:14)),),0))</f>
        <v>1665000</v>
      </c>
      <c r="I27" s="178">
        <f t="shared" ca="1" si="0"/>
        <v>5858149370</v>
      </c>
      <c r="J27" s="183"/>
    </row>
    <row r="28" spans="1:10" ht="19.5" customHeight="1">
      <c r="A28" s="177">
        <f ca="1">IF(ROWS($1:15)&gt;COUNT(Dong1),"",OFFSET(TH!C$1,SMALL(Dong1,ROWS($1:15)),))</f>
        <v>42373</v>
      </c>
      <c r="B28" s="177">
        <f ca="1">IF(ROWS($1:15)&gt;COUNT(Dong1),"",OFFSET(TH!E$1,SMALL(Dong1,ROWS($1:15)),))</f>
        <v>42336</v>
      </c>
      <c r="C28" s="178" t="str">
        <f ca="1">IF(ROWS($1:15)&gt;COUNT(Dong1),"",IF(OFFSET(TH!N$1,SMALL(Dong1,ROWS($1:15)),)="1111",OFFSET(TH!D$1,SMALL(Dong1,ROWS($1:15)),),""))</f>
        <v/>
      </c>
      <c r="D28" s="179" t="str">
        <f ca="1">IF(ROWS($1:15)&gt;COUNT(Dong1),"",IF(OFFSET(TH!O$1,SMALL(Dong1,ROWS($1:15)),)="1111",OFFSET(TH!D$1,SMALL(Dong1,ROWS($1:15)),),""))</f>
        <v>C08</v>
      </c>
      <c r="E28" s="446" t="str">
        <f ca="1">IF(ROWS($1:15)&gt;COUNT(Dong1),"",OFFSET(TH!F$1,SMALL(Dong1,ROWS($1:15)),))</f>
        <v>Cước vận chuyển</v>
      </c>
      <c r="F28" s="181" t="str">
        <f ca="1">IF(ROWS($1:15)&gt;COUNT(Dong1),"",IF(OFFSET(TH!O$1,SMALL(Dong1,ROWS($1:15)),)="1111",OFFSET(TH!N$1,SMALL(Dong1,ROWS($1:15)),),OFFSET(TH!O$1,SMALL(Dong1,ROWS($1:15)),)))</f>
        <v>642</v>
      </c>
      <c r="G28" s="182">
        <f ca="1">IF(ROWS($1:15)&gt;COUNT(Dong1),"",IF(OFFSET(TH!N$1,SMALL(Dong1,ROWS($1:15)),)="1111",OFFSET(TH!M$1,SMALL(Dong1,ROWS($1:15)),),0))</f>
        <v>0</v>
      </c>
      <c r="H28" s="180">
        <f ca="1">IF(ROWS($1:15)&gt;COUNT(Dong1),"",IF(OFFSET(TH!O$1,SMALL(Dong1,ROWS($1:15)),)="1111",OFFSET(TH!M$1,SMALL(Dong1,ROWS($1:15)),),0))</f>
        <v>12000000</v>
      </c>
      <c r="I28" s="178">
        <f t="shared" ca="1" si="0"/>
        <v>5846149370</v>
      </c>
      <c r="J28" s="183"/>
    </row>
    <row r="29" spans="1:10" ht="19.5" customHeight="1">
      <c r="A29" s="177">
        <f ca="1">IF(ROWS($1:16)&gt;COUNT(Dong1),"",OFFSET(TH!C$1,SMALL(Dong1,ROWS($1:16)),))</f>
        <v>42373</v>
      </c>
      <c r="B29" s="177">
        <f ca="1">IF(ROWS($1:16)&gt;COUNT(Dong1),"",OFFSET(TH!E$1,SMALL(Dong1,ROWS($1:16)),))</f>
        <v>42336</v>
      </c>
      <c r="C29" s="178" t="str">
        <f ca="1">IF(ROWS($1:16)&gt;COUNT(Dong1),"",IF(OFFSET(TH!N$1,SMALL(Dong1,ROWS($1:16)),)="1111",OFFSET(TH!D$1,SMALL(Dong1,ROWS($1:16)),),""))</f>
        <v/>
      </c>
      <c r="D29" s="179" t="str">
        <f ca="1">IF(ROWS($1:16)&gt;COUNT(Dong1),"",IF(OFFSET(TH!O$1,SMALL(Dong1,ROWS($1:16)),)="1111",OFFSET(TH!D$1,SMALL(Dong1,ROWS($1:16)),),""))</f>
        <v>C08</v>
      </c>
      <c r="E29" s="446" t="str">
        <f ca="1">IF(ROWS($1:16)&gt;COUNT(Dong1),"",OFFSET(TH!F$1,SMALL(Dong1,ROWS($1:16)),))</f>
        <v>VAT Cước vận chuyển</v>
      </c>
      <c r="F29" s="181" t="str">
        <f ca="1">IF(ROWS($1:16)&gt;COUNT(Dong1),"",IF(OFFSET(TH!O$1,SMALL(Dong1,ROWS($1:16)),)="1111",OFFSET(TH!N$1,SMALL(Dong1,ROWS($1:16)),),OFFSET(TH!O$1,SMALL(Dong1,ROWS($1:16)),)))</f>
        <v>1331</v>
      </c>
      <c r="G29" s="182">
        <f ca="1">IF(ROWS($1:16)&gt;COUNT(Dong1),"",IF(OFFSET(TH!N$1,SMALL(Dong1,ROWS($1:16)),)="1111",OFFSET(TH!M$1,SMALL(Dong1,ROWS($1:16)),),0))</f>
        <v>0</v>
      </c>
      <c r="H29" s="180">
        <f ca="1">IF(ROWS($1:16)&gt;COUNT(Dong1),"",IF(OFFSET(TH!O$1,SMALL(Dong1,ROWS($1:16)),)="1111",OFFSET(TH!M$1,SMALL(Dong1,ROWS($1:16)),),0))</f>
        <v>1200000</v>
      </c>
      <c r="I29" s="178">
        <f t="shared" ca="1" si="0"/>
        <v>5844949370</v>
      </c>
      <c r="J29" s="183"/>
    </row>
    <row r="30" spans="1:10" ht="19.5" customHeight="1">
      <c r="A30" s="177">
        <f ca="1">IF(ROWS($1:17)&gt;COUNT(Dong1),"",OFFSET(TH!C$1,SMALL(Dong1,ROWS($1:17)),))</f>
        <v>42373</v>
      </c>
      <c r="B30" s="177">
        <f ca="1">IF(ROWS($1:17)&gt;COUNT(Dong1),"",OFFSET(TH!E$1,SMALL(Dong1,ROWS($1:17)),))</f>
        <v>42373</v>
      </c>
      <c r="C30" s="178" t="str">
        <f ca="1">IF(ROWS($1:17)&gt;COUNT(Dong1),"",IF(OFFSET(TH!N$1,SMALL(Dong1,ROWS($1:17)),)="1111",OFFSET(TH!D$1,SMALL(Dong1,ROWS($1:17)),),""))</f>
        <v/>
      </c>
      <c r="D30" s="179" t="str">
        <f ca="1">IF(ROWS($1:17)&gt;COUNT(Dong1),"",IF(OFFSET(TH!O$1,SMALL(Dong1,ROWS($1:17)),)="1111",OFFSET(TH!D$1,SMALL(Dong1,ROWS($1:17)),),""))</f>
        <v>C09</v>
      </c>
      <c r="E30" s="446" t="str">
        <f ca="1">IF(ROWS($1:17)&gt;COUNT(Dong1),"",OFFSET(TH!F$1,SMALL(Dong1,ROWS($1:17)),))</f>
        <v>Xăng</v>
      </c>
      <c r="F30" s="181" t="str">
        <f ca="1">IF(ROWS($1:17)&gt;COUNT(Dong1),"",IF(OFFSET(TH!O$1,SMALL(Dong1,ROWS($1:17)),)="1111",OFFSET(TH!N$1,SMALL(Dong1,ROWS($1:17)),),OFFSET(TH!O$1,SMALL(Dong1,ROWS($1:17)),)))</f>
        <v>642</v>
      </c>
      <c r="G30" s="182">
        <f ca="1">IF(ROWS($1:17)&gt;COUNT(Dong1),"",IF(OFFSET(TH!N$1,SMALL(Dong1,ROWS($1:17)),)="1111",OFFSET(TH!M$1,SMALL(Dong1,ROWS($1:17)),),0))</f>
        <v>0</v>
      </c>
      <c r="H30" s="180">
        <f ca="1">IF(ROWS($1:17)&gt;COUNT(Dong1),"",IF(OFFSET(TH!O$1,SMALL(Dong1,ROWS($1:17)),)="1111",OFFSET(TH!M$1,SMALL(Dong1,ROWS($1:17)),),0))</f>
        <v>684000</v>
      </c>
      <c r="I30" s="178">
        <f t="shared" ca="1" si="0"/>
        <v>5844265370</v>
      </c>
      <c r="J30" s="183"/>
    </row>
    <row r="31" spans="1:10" ht="19.5" customHeight="1">
      <c r="A31" s="177">
        <f ca="1">IF(ROWS($1:18)&gt;COUNT(Dong1),"",OFFSET(TH!C$1,SMALL(Dong1,ROWS($1:18)),))</f>
        <v>42373</v>
      </c>
      <c r="B31" s="177">
        <f ca="1">IF(ROWS($1:18)&gt;COUNT(Dong1),"",OFFSET(TH!E$1,SMALL(Dong1,ROWS($1:18)),))</f>
        <v>42373</v>
      </c>
      <c r="C31" s="178" t="str">
        <f ca="1">IF(ROWS($1:18)&gt;COUNT(Dong1),"",IF(OFFSET(TH!N$1,SMALL(Dong1,ROWS($1:18)),)="1111",OFFSET(TH!D$1,SMALL(Dong1,ROWS($1:18)),),""))</f>
        <v/>
      </c>
      <c r="D31" s="179" t="str">
        <f ca="1">IF(ROWS($1:18)&gt;COUNT(Dong1),"",IF(OFFSET(TH!O$1,SMALL(Dong1,ROWS($1:18)),)="1111",OFFSET(TH!D$1,SMALL(Dong1,ROWS($1:18)),),""))</f>
        <v>C09</v>
      </c>
      <c r="E31" s="446" t="str">
        <f ca="1">IF(ROWS($1:18)&gt;COUNT(Dong1),"",OFFSET(TH!F$1,SMALL(Dong1,ROWS($1:18)),))</f>
        <v>VAT Xăng</v>
      </c>
      <c r="F31" s="181" t="str">
        <f ca="1">IF(ROWS($1:18)&gt;COUNT(Dong1),"",IF(OFFSET(TH!O$1,SMALL(Dong1,ROWS($1:18)),)="1111",OFFSET(TH!N$1,SMALL(Dong1,ROWS($1:18)),),OFFSET(TH!O$1,SMALL(Dong1,ROWS($1:18)),)))</f>
        <v>1331</v>
      </c>
      <c r="G31" s="182">
        <f ca="1">IF(ROWS($1:18)&gt;COUNT(Dong1),"",IF(OFFSET(TH!N$1,SMALL(Dong1,ROWS($1:18)),)="1111",OFFSET(TH!M$1,SMALL(Dong1,ROWS($1:18)),),0))</f>
        <v>0</v>
      </c>
      <c r="H31" s="180">
        <f ca="1">IF(ROWS($1:18)&gt;COUNT(Dong1),"",IF(OFFSET(TH!O$1,SMALL(Dong1,ROWS($1:18)),)="1111",OFFSET(TH!M$1,SMALL(Dong1,ROWS($1:18)),),0))</f>
        <v>68400</v>
      </c>
      <c r="I31" s="178">
        <f t="shared" ca="1" si="0"/>
        <v>5844196970</v>
      </c>
      <c r="J31" s="183"/>
    </row>
    <row r="32" spans="1:10" ht="19.5" customHeight="1">
      <c r="A32" s="177">
        <f ca="1">IF(ROWS($1:19)&gt;COUNT(Dong1),"",OFFSET(TH!C$1,SMALL(Dong1,ROWS($1:19)),))</f>
        <v>42373</v>
      </c>
      <c r="B32" s="177">
        <f ca="1">IF(ROWS($1:19)&gt;COUNT(Dong1),"",OFFSET(TH!E$1,SMALL(Dong1,ROWS($1:19)),))</f>
        <v>42373</v>
      </c>
      <c r="C32" s="178" t="str">
        <f ca="1">IF(ROWS($1:19)&gt;COUNT(Dong1),"",IF(OFFSET(TH!N$1,SMALL(Dong1,ROWS($1:19)),)="1111",OFFSET(TH!D$1,SMALL(Dong1,ROWS($1:19)),),""))</f>
        <v/>
      </c>
      <c r="D32" s="179" t="str">
        <f ca="1">IF(ROWS($1:19)&gt;COUNT(Dong1),"",IF(OFFSET(TH!O$1,SMALL(Dong1,ROWS($1:19)),)="1111",OFFSET(TH!D$1,SMALL(Dong1,ROWS($1:19)),),""))</f>
        <v>C10</v>
      </c>
      <c r="E32" s="446" t="str">
        <f ca="1">IF(ROWS($1:19)&gt;COUNT(Dong1),"",OFFSET(TH!F$1,SMALL(Dong1,ROWS($1:19)),))</f>
        <v>Xăng</v>
      </c>
      <c r="F32" s="181" t="str">
        <f ca="1">IF(ROWS($1:19)&gt;COUNT(Dong1),"",IF(OFFSET(TH!O$1,SMALL(Dong1,ROWS($1:19)),)="1111",OFFSET(TH!N$1,SMALL(Dong1,ROWS($1:19)),),OFFSET(TH!O$1,SMALL(Dong1,ROWS($1:19)),)))</f>
        <v>642</v>
      </c>
      <c r="G32" s="182">
        <f ca="1">IF(ROWS($1:19)&gt;COUNT(Dong1),"",IF(OFFSET(TH!N$1,SMALL(Dong1,ROWS($1:19)),)="1111",OFFSET(TH!M$1,SMALL(Dong1,ROWS($1:19)),),0))</f>
        <v>0</v>
      </c>
      <c r="H32" s="180">
        <f ca="1">IF(ROWS($1:19)&gt;COUNT(Dong1),"",IF(OFFSET(TH!O$1,SMALL(Dong1,ROWS($1:19)),)="1111",OFFSET(TH!M$1,SMALL(Dong1,ROWS($1:19)),),0))</f>
        <v>29818</v>
      </c>
      <c r="I32" s="178">
        <f t="shared" ca="1" si="0"/>
        <v>5844167152</v>
      </c>
      <c r="J32" s="183"/>
    </row>
    <row r="33" spans="1:10" ht="19.5" customHeight="1">
      <c r="A33" s="177">
        <f ca="1">IF(ROWS($1:20)&gt;COUNT(Dong1),"",OFFSET(TH!C$1,SMALL(Dong1,ROWS($1:20)),))</f>
        <v>42373</v>
      </c>
      <c r="B33" s="177">
        <f ca="1">IF(ROWS($1:20)&gt;COUNT(Dong1),"",OFFSET(TH!E$1,SMALL(Dong1,ROWS($1:20)),))</f>
        <v>42373</v>
      </c>
      <c r="C33" s="178" t="str">
        <f ca="1">IF(ROWS($1:20)&gt;COUNT(Dong1),"",IF(OFFSET(TH!N$1,SMALL(Dong1,ROWS($1:20)),)="1111",OFFSET(TH!D$1,SMALL(Dong1,ROWS($1:20)),),""))</f>
        <v/>
      </c>
      <c r="D33" s="179" t="str">
        <f ca="1">IF(ROWS($1:20)&gt;COUNT(Dong1),"",IF(OFFSET(TH!O$1,SMALL(Dong1,ROWS($1:20)),)="1111",OFFSET(TH!D$1,SMALL(Dong1,ROWS($1:20)),),""))</f>
        <v>C10</v>
      </c>
      <c r="E33" s="446" t="str">
        <f ca="1">IF(ROWS($1:20)&gt;COUNT(Dong1),"",OFFSET(TH!F$1,SMALL(Dong1,ROWS($1:20)),))</f>
        <v>VAT Xăng</v>
      </c>
      <c r="F33" s="181" t="str">
        <f ca="1">IF(ROWS($1:20)&gt;COUNT(Dong1),"",IF(OFFSET(TH!O$1,SMALL(Dong1,ROWS($1:20)),)="1111",OFFSET(TH!N$1,SMALL(Dong1,ROWS($1:20)),),OFFSET(TH!O$1,SMALL(Dong1,ROWS($1:20)),)))</f>
        <v>1331</v>
      </c>
      <c r="G33" s="182">
        <f ca="1">IF(ROWS($1:20)&gt;COUNT(Dong1),"",IF(OFFSET(TH!N$1,SMALL(Dong1,ROWS($1:20)),)="1111",OFFSET(TH!M$1,SMALL(Dong1,ROWS($1:20)),),0))</f>
        <v>0</v>
      </c>
      <c r="H33" s="180">
        <f ca="1">IF(ROWS($1:20)&gt;COUNT(Dong1),"",IF(OFFSET(TH!O$1,SMALL(Dong1,ROWS($1:20)),)="1111",OFFSET(TH!M$1,SMALL(Dong1,ROWS($1:20)),),0))</f>
        <v>2982</v>
      </c>
      <c r="I33" s="178">
        <f t="shared" ca="1" si="0"/>
        <v>5844164170</v>
      </c>
      <c r="J33" s="183"/>
    </row>
    <row r="34" spans="1:10" ht="19.5" customHeight="1">
      <c r="A34" s="177">
        <f ca="1">IF(ROWS($1:21)&gt;COUNT(Dong1),"",OFFSET(TH!C$1,SMALL(Dong1,ROWS($1:21)),))</f>
        <v>42374</v>
      </c>
      <c r="B34" s="177">
        <f ca="1">IF(ROWS($1:21)&gt;COUNT(Dong1),"",OFFSET(TH!E$1,SMALL(Dong1,ROWS($1:21)),))</f>
        <v>42374</v>
      </c>
      <c r="C34" s="178" t="str">
        <f ca="1">IF(ROWS($1:21)&gt;COUNT(Dong1),"",IF(OFFSET(TH!N$1,SMALL(Dong1,ROWS($1:21)),)="1111",OFFSET(TH!D$1,SMALL(Dong1,ROWS($1:21)),),""))</f>
        <v/>
      </c>
      <c r="D34" s="179" t="str">
        <f ca="1">IF(ROWS($1:21)&gt;COUNT(Dong1),"",IF(OFFSET(TH!O$1,SMALL(Dong1,ROWS($1:21)),)="1111",OFFSET(TH!D$1,SMALL(Dong1,ROWS($1:21)),),""))</f>
        <v>C11</v>
      </c>
      <c r="E34" s="446" t="str">
        <f ca="1">IF(ROWS($1:21)&gt;COUNT(Dong1),"",OFFSET(TH!F$1,SMALL(Dong1,ROWS($1:21)),))</f>
        <v>Gạch ống, cát vàng</v>
      </c>
      <c r="F34" s="181" t="str">
        <f ca="1">IF(ROWS($1:21)&gt;COUNT(Dong1),"",IF(OFFSET(TH!O$1,SMALL(Dong1,ROWS($1:21)),)="1111",OFFSET(TH!N$1,SMALL(Dong1,ROWS($1:21)),),OFFSET(TH!O$1,SMALL(Dong1,ROWS($1:21)),)))</f>
        <v>2412</v>
      </c>
      <c r="G34" s="182">
        <f ca="1">IF(ROWS($1:21)&gt;COUNT(Dong1),"",IF(OFFSET(TH!N$1,SMALL(Dong1,ROWS($1:21)),)="1111",OFFSET(TH!M$1,SMALL(Dong1,ROWS($1:21)),),0))</f>
        <v>0</v>
      </c>
      <c r="H34" s="180">
        <f ca="1">IF(ROWS($1:21)&gt;COUNT(Dong1),"",IF(OFFSET(TH!O$1,SMALL(Dong1,ROWS($1:21)),)="1111",OFFSET(TH!M$1,SMALL(Dong1,ROWS($1:21)),),0))</f>
        <v>16890000</v>
      </c>
      <c r="I34" s="178">
        <f t="shared" ca="1" si="0"/>
        <v>5827274170</v>
      </c>
      <c r="J34" s="183"/>
    </row>
    <row r="35" spans="1:10" ht="19.5" customHeight="1">
      <c r="A35" s="177">
        <f ca="1">IF(ROWS($1:22)&gt;COUNT(Dong1),"",OFFSET(TH!C$1,SMALL(Dong1,ROWS($1:22)),))</f>
        <v>42374</v>
      </c>
      <c r="B35" s="177">
        <f ca="1">IF(ROWS($1:22)&gt;COUNT(Dong1),"",OFFSET(TH!E$1,SMALL(Dong1,ROWS($1:22)),))</f>
        <v>42374</v>
      </c>
      <c r="C35" s="178" t="str">
        <f ca="1">IF(ROWS($1:22)&gt;COUNT(Dong1),"",IF(OFFSET(TH!N$1,SMALL(Dong1,ROWS($1:22)),)="1111",OFFSET(TH!D$1,SMALL(Dong1,ROWS($1:22)),),""))</f>
        <v/>
      </c>
      <c r="D35" s="179" t="str">
        <f ca="1">IF(ROWS($1:22)&gt;COUNT(Dong1),"",IF(OFFSET(TH!O$1,SMALL(Dong1,ROWS($1:22)),)="1111",OFFSET(TH!D$1,SMALL(Dong1,ROWS($1:22)),),""))</f>
        <v>C11</v>
      </c>
      <c r="E35" s="446" t="str">
        <f ca="1">IF(ROWS($1:22)&gt;COUNT(Dong1),"",OFFSET(TH!F$1,SMALL(Dong1,ROWS($1:22)),))</f>
        <v>VAT Gạch ống, cát vàng</v>
      </c>
      <c r="F35" s="181" t="str">
        <f ca="1">IF(ROWS($1:22)&gt;COUNT(Dong1),"",IF(OFFSET(TH!O$1,SMALL(Dong1,ROWS($1:22)),)="1111",OFFSET(TH!N$1,SMALL(Dong1,ROWS($1:22)),),OFFSET(TH!O$1,SMALL(Dong1,ROWS($1:22)),)))</f>
        <v>1331</v>
      </c>
      <c r="G35" s="182">
        <f ca="1">IF(ROWS($1:22)&gt;COUNT(Dong1),"",IF(OFFSET(TH!N$1,SMALL(Dong1,ROWS($1:22)),)="1111",OFFSET(TH!M$1,SMALL(Dong1,ROWS($1:22)),),0))</f>
        <v>0</v>
      </c>
      <c r="H35" s="180">
        <f ca="1">IF(ROWS($1:22)&gt;COUNT(Dong1),"",IF(OFFSET(TH!O$1,SMALL(Dong1,ROWS($1:22)),)="1111",OFFSET(TH!M$1,SMALL(Dong1,ROWS($1:22)),),0))</f>
        <v>1689000</v>
      </c>
      <c r="I35" s="178">
        <f t="shared" ca="1" si="0"/>
        <v>5825585170</v>
      </c>
      <c r="J35" s="183"/>
    </row>
    <row r="36" spans="1:10" ht="19.5" customHeight="1">
      <c r="A36" s="177">
        <f ca="1">IF(ROWS($1:23)&gt;COUNT(Dong1),"",OFFSET(TH!C$1,SMALL(Dong1,ROWS($1:23)),))</f>
        <v>42374</v>
      </c>
      <c r="B36" s="177">
        <f ca="1">IF(ROWS($1:23)&gt;COUNT(Dong1),"",OFFSET(TH!E$1,SMALL(Dong1,ROWS($1:23)),))</f>
        <v>42350</v>
      </c>
      <c r="C36" s="178" t="str">
        <f ca="1">IF(ROWS($1:23)&gt;COUNT(Dong1),"",IF(OFFSET(TH!N$1,SMALL(Dong1,ROWS($1:23)),)="1111",OFFSET(TH!D$1,SMALL(Dong1,ROWS($1:23)),),""))</f>
        <v/>
      </c>
      <c r="D36" s="179" t="str">
        <f ca="1">IF(ROWS($1:23)&gt;COUNT(Dong1),"",IF(OFFSET(TH!O$1,SMALL(Dong1,ROWS($1:23)),)="1111",OFFSET(TH!D$1,SMALL(Dong1,ROWS($1:23)),),""))</f>
        <v>C12</v>
      </c>
      <c r="E36" s="446" t="str">
        <f ca="1">IF(ROWS($1:23)&gt;COUNT(Dong1),"",OFFSET(TH!F$1,SMALL(Dong1,ROWS($1:23)),))</f>
        <v>Cước vận chuyển</v>
      </c>
      <c r="F36" s="181" t="str">
        <f ca="1">IF(ROWS($1:23)&gt;COUNT(Dong1),"",IF(OFFSET(TH!O$1,SMALL(Dong1,ROWS($1:23)),)="1111",OFFSET(TH!N$1,SMALL(Dong1,ROWS($1:23)),),OFFSET(TH!O$1,SMALL(Dong1,ROWS($1:23)),)))</f>
        <v>642</v>
      </c>
      <c r="G36" s="182">
        <f ca="1">IF(ROWS($1:23)&gt;COUNT(Dong1),"",IF(OFFSET(TH!N$1,SMALL(Dong1,ROWS($1:23)),)="1111",OFFSET(TH!M$1,SMALL(Dong1,ROWS($1:23)),),0))</f>
        <v>0</v>
      </c>
      <c r="H36" s="180">
        <f ca="1">IF(ROWS($1:23)&gt;COUNT(Dong1),"",IF(OFFSET(TH!O$1,SMALL(Dong1,ROWS($1:23)),)="1111",OFFSET(TH!M$1,SMALL(Dong1,ROWS($1:23)),),0))</f>
        <v>12000000</v>
      </c>
      <c r="I36" s="178">
        <f t="shared" ca="1" si="0"/>
        <v>5813585170</v>
      </c>
      <c r="J36" s="183"/>
    </row>
    <row r="37" spans="1:10" ht="19.5" customHeight="1">
      <c r="A37" s="177">
        <f ca="1">IF(ROWS($1:24)&gt;COUNT(Dong1),"",OFFSET(TH!C$1,SMALL(Dong1,ROWS($1:24)),))</f>
        <v>42374</v>
      </c>
      <c r="B37" s="177">
        <f ca="1">IF(ROWS($1:24)&gt;COUNT(Dong1),"",OFFSET(TH!E$1,SMALL(Dong1,ROWS($1:24)),))</f>
        <v>42350</v>
      </c>
      <c r="C37" s="178" t="str">
        <f ca="1">IF(ROWS($1:24)&gt;COUNT(Dong1),"",IF(OFFSET(TH!N$1,SMALL(Dong1,ROWS($1:24)),)="1111",OFFSET(TH!D$1,SMALL(Dong1,ROWS($1:24)),),""))</f>
        <v/>
      </c>
      <c r="D37" s="179" t="str">
        <f ca="1">IF(ROWS($1:24)&gt;COUNT(Dong1),"",IF(OFFSET(TH!O$1,SMALL(Dong1,ROWS($1:24)),)="1111",OFFSET(TH!D$1,SMALL(Dong1,ROWS($1:24)),),""))</f>
        <v>C12</v>
      </c>
      <c r="E37" s="446" t="str">
        <f ca="1">IF(ROWS($1:24)&gt;COUNT(Dong1),"",OFFSET(TH!F$1,SMALL(Dong1,ROWS($1:24)),))</f>
        <v>VAT Cước vận chuyển</v>
      </c>
      <c r="F37" s="181" t="str">
        <f ca="1">IF(ROWS($1:24)&gt;COUNT(Dong1),"",IF(OFFSET(TH!O$1,SMALL(Dong1,ROWS($1:24)),)="1111",OFFSET(TH!N$1,SMALL(Dong1,ROWS($1:24)),),OFFSET(TH!O$1,SMALL(Dong1,ROWS($1:24)),)))</f>
        <v>1331</v>
      </c>
      <c r="G37" s="182">
        <f ca="1">IF(ROWS($1:24)&gt;COUNT(Dong1),"",IF(OFFSET(TH!N$1,SMALL(Dong1,ROWS($1:24)),)="1111",OFFSET(TH!M$1,SMALL(Dong1,ROWS($1:24)),),0))</f>
        <v>0</v>
      </c>
      <c r="H37" s="180">
        <f ca="1">IF(ROWS($1:24)&gt;COUNT(Dong1),"",IF(OFFSET(TH!O$1,SMALL(Dong1,ROWS($1:24)),)="1111",OFFSET(TH!M$1,SMALL(Dong1,ROWS($1:24)),),0))</f>
        <v>1200000</v>
      </c>
      <c r="I37" s="178">
        <f t="shared" ca="1" si="0"/>
        <v>5812385170</v>
      </c>
      <c r="J37" s="183"/>
    </row>
    <row r="38" spans="1:10" ht="19.5" customHeight="1">
      <c r="A38" s="177">
        <f ca="1">IF(ROWS($1:25)&gt;COUNT(Dong1),"",OFFSET(TH!C$1,SMALL(Dong1,ROWS($1:25)),))</f>
        <v>42374</v>
      </c>
      <c r="B38" s="177">
        <f ca="1">IF(ROWS($1:25)&gt;COUNT(Dong1),"",OFFSET(TH!E$1,SMALL(Dong1,ROWS($1:25)),))</f>
        <v>42374</v>
      </c>
      <c r="C38" s="178" t="str">
        <f ca="1">IF(ROWS($1:25)&gt;COUNT(Dong1),"",IF(OFFSET(TH!N$1,SMALL(Dong1,ROWS($1:25)),)="1111",OFFSET(TH!D$1,SMALL(Dong1,ROWS($1:25)),),""))</f>
        <v/>
      </c>
      <c r="D38" s="179" t="str">
        <f ca="1">IF(ROWS($1:25)&gt;COUNT(Dong1),"",IF(OFFSET(TH!O$1,SMALL(Dong1,ROWS($1:25)),)="1111",OFFSET(TH!D$1,SMALL(Dong1,ROWS($1:25)),),""))</f>
        <v>C13</v>
      </c>
      <c r="E38" s="446" t="str">
        <f ca="1">IF(ROWS($1:25)&gt;COUNT(Dong1),"",OFFSET(TH!F$1,SMALL(Dong1,ROWS($1:25)),))</f>
        <v>Xăng</v>
      </c>
      <c r="F38" s="181" t="str">
        <f ca="1">IF(ROWS($1:25)&gt;COUNT(Dong1),"",IF(OFFSET(TH!O$1,SMALL(Dong1,ROWS($1:25)),)="1111",OFFSET(TH!N$1,SMALL(Dong1,ROWS($1:25)),),OFFSET(TH!O$1,SMALL(Dong1,ROWS($1:25)),)))</f>
        <v>642</v>
      </c>
      <c r="G38" s="182">
        <f ca="1">IF(ROWS($1:25)&gt;COUNT(Dong1),"",IF(OFFSET(TH!N$1,SMALL(Dong1,ROWS($1:25)),)="1111",OFFSET(TH!M$1,SMALL(Dong1,ROWS($1:25)),),0))</f>
        <v>0</v>
      </c>
      <c r="H38" s="180">
        <f ca="1">IF(ROWS($1:25)&gt;COUNT(Dong1),"",IF(OFFSET(TH!O$1,SMALL(Dong1,ROWS($1:25)),)="1111",OFFSET(TH!M$1,SMALL(Dong1,ROWS($1:25)),),0))</f>
        <v>676700</v>
      </c>
      <c r="I38" s="178">
        <f t="shared" ca="1" si="0"/>
        <v>5811708470</v>
      </c>
      <c r="J38" s="183"/>
    </row>
    <row r="39" spans="1:10" ht="19.5" customHeight="1">
      <c r="A39" s="177">
        <f ca="1">IF(ROWS($1:26)&gt;COUNT(Dong1),"",OFFSET(TH!C$1,SMALL(Dong1,ROWS($1:26)),))</f>
        <v>42374</v>
      </c>
      <c r="B39" s="177">
        <f ca="1">IF(ROWS($1:26)&gt;COUNT(Dong1),"",OFFSET(TH!E$1,SMALL(Dong1,ROWS($1:26)),))</f>
        <v>42374</v>
      </c>
      <c r="C39" s="178" t="str">
        <f ca="1">IF(ROWS($1:26)&gt;COUNT(Dong1),"",IF(OFFSET(TH!N$1,SMALL(Dong1,ROWS($1:26)),)="1111",OFFSET(TH!D$1,SMALL(Dong1,ROWS($1:26)),),""))</f>
        <v/>
      </c>
      <c r="D39" s="179" t="str">
        <f ca="1">IF(ROWS($1:26)&gt;COUNT(Dong1),"",IF(OFFSET(TH!O$1,SMALL(Dong1,ROWS($1:26)),)="1111",OFFSET(TH!D$1,SMALL(Dong1,ROWS($1:26)),),""))</f>
        <v>C13</v>
      </c>
      <c r="E39" s="446" t="str">
        <f ca="1">IF(ROWS($1:26)&gt;COUNT(Dong1),"",OFFSET(TH!F$1,SMALL(Dong1,ROWS($1:26)),))</f>
        <v>VAT Xăng</v>
      </c>
      <c r="F39" s="181" t="str">
        <f ca="1">IF(ROWS($1:26)&gt;COUNT(Dong1),"",IF(OFFSET(TH!O$1,SMALL(Dong1,ROWS($1:26)),)="1111",OFFSET(TH!N$1,SMALL(Dong1,ROWS($1:26)),),OFFSET(TH!O$1,SMALL(Dong1,ROWS($1:26)),)))</f>
        <v>1331</v>
      </c>
      <c r="G39" s="182">
        <f ca="1">IF(ROWS($1:26)&gt;COUNT(Dong1),"",IF(OFFSET(TH!N$1,SMALL(Dong1,ROWS($1:26)),)="1111",OFFSET(TH!M$1,SMALL(Dong1,ROWS($1:26)),),0))</f>
        <v>0</v>
      </c>
      <c r="H39" s="180">
        <f ca="1">IF(ROWS($1:26)&gt;COUNT(Dong1),"",IF(OFFSET(TH!O$1,SMALL(Dong1,ROWS($1:26)),)="1111",OFFSET(TH!M$1,SMALL(Dong1,ROWS($1:26)),),0))</f>
        <v>67670</v>
      </c>
      <c r="I39" s="178">
        <f t="shared" ca="1" si="0"/>
        <v>5811640800</v>
      </c>
      <c r="J39" s="183"/>
    </row>
    <row r="40" spans="1:10" ht="19.5" customHeight="1">
      <c r="A40" s="177">
        <f ca="1">IF(ROWS($1:27)&gt;COUNT(Dong1),"",OFFSET(TH!C$1,SMALL(Dong1,ROWS($1:27)),))</f>
        <v>42374</v>
      </c>
      <c r="B40" s="177">
        <f ca="1">IF(ROWS($1:27)&gt;COUNT(Dong1),"",OFFSET(TH!E$1,SMALL(Dong1,ROWS($1:27)),))</f>
        <v>42374</v>
      </c>
      <c r="C40" s="178" t="str">
        <f ca="1">IF(ROWS($1:27)&gt;COUNT(Dong1),"",IF(OFFSET(TH!N$1,SMALL(Dong1,ROWS($1:27)),)="1111",OFFSET(TH!D$1,SMALL(Dong1,ROWS($1:27)),),""))</f>
        <v/>
      </c>
      <c r="D40" s="179" t="str">
        <f ca="1">IF(ROWS($1:27)&gt;COUNT(Dong1),"",IF(OFFSET(TH!O$1,SMALL(Dong1,ROWS($1:27)),)="1111",OFFSET(TH!D$1,SMALL(Dong1,ROWS($1:27)),),""))</f>
        <v>C14</v>
      </c>
      <c r="E40" s="446" t="str">
        <f ca="1">IF(ROWS($1:27)&gt;COUNT(Dong1),"",OFFSET(TH!F$1,SMALL(Dong1,ROWS($1:27)),))</f>
        <v>Thanh toán tiền đường</v>
      </c>
      <c r="F40" s="181" t="str">
        <f ca="1">IF(ROWS($1:27)&gt;COUNT(Dong1),"",IF(OFFSET(TH!O$1,SMALL(Dong1,ROWS($1:27)),)="1111",OFFSET(TH!N$1,SMALL(Dong1,ROWS($1:27)),),OFFSET(TH!O$1,SMALL(Dong1,ROWS($1:27)),)))</f>
        <v>331</v>
      </c>
      <c r="G40" s="182">
        <f ca="1">IF(ROWS($1:27)&gt;COUNT(Dong1),"",IF(OFFSET(TH!N$1,SMALL(Dong1,ROWS($1:27)),)="1111",OFFSET(TH!M$1,SMALL(Dong1,ROWS($1:27)),),0))</f>
        <v>0</v>
      </c>
      <c r="H40" s="180">
        <f ca="1">IF(ROWS($1:27)&gt;COUNT(Dong1),"",IF(OFFSET(TH!O$1,SMALL(Dong1,ROWS($1:27)),)="1111",OFFSET(TH!M$1,SMALL(Dong1,ROWS($1:27)),),0))</f>
        <v>14250000</v>
      </c>
      <c r="I40" s="178">
        <f t="shared" ca="1" si="0"/>
        <v>5797390800</v>
      </c>
      <c r="J40" s="183"/>
    </row>
    <row r="41" spans="1:10" ht="19.5" customHeight="1">
      <c r="A41" s="177">
        <f ca="1">IF(ROWS($1:28)&gt;COUNT(Dong1),"",OFFSET(TH!C$1,SMALL(Dong1,ROWS($1:28)),))</f>
        <v>42376</v>
      </c>
      <c r="B41" s="177">
        <f ca="1">IF(ROWS($1:28)&gt;COUNT(Dong1),"",OFFSET(TH!E$1,SMALL(Dong1,ROWS($1:28)),))</f>
        <v>42376</v>
      </c>
      <c r="C41" s="178" t="str">
        <f ca="1">IF(ROWS($1:28)&gt;COUNT(Dong1),"",IF(OFFSET(TH!N$1,SMALL(Dong1,ROWS($1:28)),)="1111",OFFSET(TH!D$1,SMALL(Dong1,ROWS($1:28)),),""))</f>
        <v/>
      </c>
      <c r="D41" s="179" t="str">
        <f ca="1">IF(ROWS($1:28)&gt;COUNT(Dong1),"",IF(OFFSET(TH!O$1,SMALL(Dong1,ROWS($1:28)),)="1111",OFFSET(TH!D$1,SMALL(Dong1,ROWS($1:28)),),""))</f>
        <v>C15</v>
      </c>
      <c r="E41" s="446" t="str">
        <f ca="1">IF(ROWS($1:28)&gt;COUNT(Dong1),"",OFFSET(TH!F$1,SMALL(Dong1,ROWS($1:28)),))</f>
        <v>Q11 - Nộp tiền mặt vào TK</v>
      </c>
      <c r="F41" s="181" t="str">
        <f ca="1">IF(ROWS($1:28)&gt;COUNT(Dong1),"",IF(OFFSET(TH!O$1,SMALL(Dong1,ROWS($1:28)),)="1111",OFFSET(TH!N$1,SMALL(Dong1,ROWS($1:28)),),OFFSET(TH!O$1,SMALL(Dong1,ROWS($1:28)),)))</f>
        <v>1121</v>
      </c>
      <c r="G41" s="182">
        <f ca="1">IF(ROWS($1:28)&gt;COUNT(Dong1),"",IF(OFFSET(TH!N$1,SMALL(Dong1,ROWS($1:28)),)="1111",OFFSET(TH!M$1,SMALL(Dong1,ROWS($1:28)),),0))</f>
        <v>0</v>
      </c>
      <c r="H41" s="180">
        <f ca="1">IF(ROWS($1:28)&gt;COUNT(Dong1),"",IF(OFFSET(TH!O$1,SMALL(Dong1,ROWS($1:28)),)="1111",OFFSET(TH!M$1,SMALL(Dong1,ROWS($1:28)),),0))</f>
        <v>50000000</v>
      </c>
      <c r="I41" s="178">
        <f t="shared" ca="1" si="0"/>
        <v>5747390800</v>
      </c>
      <c r="J41" s="183"/>
    </row>
    <row r="42" spans="1:10" ht="19.5" customHeight="1">
      <c r="A42" s="177">
        <f ca="1">IF(ROWS($1:29)&gt;COUNT(Dong1),"",OFFSET(TH!C$1,SMALL(Dong1,ROWS($1:29)),))</f>
        <v>42376</v>
      </c>
      <c r="B42" s="177">
        <f ca="1">IF(ROWS($1:29)&gt;COUNT(Dong1),"",OFFSET(TH!E$1,SMALL(Dong1,ROWS($1:29)),))</f>
        <v>42376</v>
      </c>
      <c r="C42" s="178" t="str">
        <f ca="1">IF(ROWS($1:29)&gt;COUNT(Dong1),"",IF(OFFSET(TH!N$1,SMALL(Dong1,ROWS($1:29)),)="1111",OFFSET(TH!D$1,SMALL(Dong1,ROWS($1:29)),),""))</f>
        <v/>
      </c>
      <c r="D42" s="179" t="str">
        <f ca="1">IF(ROWS($1:29)&gt;COUNT(Dong1),"",IF(OFFSET(TH!O$1,SMALL(Dong1,ROWS($1:29)),)="1111",OFFSET(TH!D$1,SMALL(Dong1,ROWS($1:29)),),""))</f>
        <v>C16</v>
      </c>
      <c r="E42" s="446" t="str">
        <f ca="1">IF(ROWS($1:29)&gt;COUNT(Dong1),"",OFFSET(TH!F$1,SMALL(Dong1,ROWS($1:29)),))</f>
        <v>Bảo dưỡng xe 51F - 080.56</v>
      </c>
      <c r="F42" s="181" t="str">
        <f ca="1">IF(ROWS($1:29)&gt;COUNT(Dong1),"",IF(OFFSET(TH!O$1,SMALL(Dong1,ROWS($1:29)),)="1111",OFFSET(TH!N$1,SMALL(Dong1,ROWS($1:29)),),OFFSET(TH!O$1,SMALL(Dong1,ROWS($1:29)),)))</f>
        <v>642</v>
      </c>
      <c r="G42" s="182">
        <f ca="1">IF(ROWS($1:29)&gt;COUNT(Dong1),"",IF(OFFSET(TH!N$1,SMALL(Dong1,ROWS($1:29)),)="1111",OFFSET(TH!M$1,SMALL(Dong1,ROWS($1:29)),),0))</f>
        <v>0</v>
      </c>
      <c r="H42" s="180">
        <f ca="1">IF(ROWS($1:29)&gt;COUNT(Dong1),"",IF(OFFSET(TH!O$1,SMALL(Dong1,ROWS($1:29)),)="1111",OFFSET(TH!M$1,SMALL(Dong1,ROWS($1:29)),),0))</f>
        <v>1341060</v>
      </c>
      <c r="I42" s="178">
        <f t="shared" ca="1" si="0"/>
        <v>5746049740</v>
      </c>
      <c r="J42" s="183"/>
    </row>
    <row r="43" spans="1:10" ht="19.5" customHeight="1">
      <c r="A43" s="177">
        <f ca="1">IF(ROWS($1:30)&gt;COUNT(Dong1),"",OFFSET(TH!C$1,SMALL(Dong1,ROWS($1:30)),))</f>
        <v>42376</v>
      </c>
      <c r="B43" s="177">
        <f ca="1">IF(ROWS($1:30)&gt;COUNT(Dong1),"",OFFSET(TH!E$1,SMALL(Dong1,ROWS($1:30)),))</f>
        <v>42376</v>
      </c>
      <c r="C43" s="178" t="str">
        <f ca="1">IF(ROWS($1:30)&gt;COUNT(Dong1),"",IF(OFFSET(TH!N$1,SMALL(Dong1,ROWS($1:30)),)="1111",OFFSET(TH!D$1,SMALL(Dong1,ROWS($1:30)),),""))</f>
        <v/>
      </c>
      <c r="D43" s="179" t="str">
        <f ca="1">IF(ROWS($1:30)&gt;COUNT(Dong1),"",IF(OFFSET(TH!O$1,SMALL(Dong1,ROWS($1:30)),)="1111",OFFSET(TH!D$1,SMALL(Dong1,ROWS($1:30)),),""))</f>
        <v>C16</v>
      </c>
      <c r="E43" s="446" t="str">
        <f ca="1">IF(ROWS($1:30)&gt;COUNT(Dong1),"",OFFSET(TH!F$1,SMALL(Dong1,ROWS($1:30)),))</f>
        <v>VAT Bảo dưỡng xe 51F - 080.56</v>
      </c>
      <c r="F43" s="181" t="str">
        <f ca="1">IF(ROWS($1:30)&gt;COUNT(Dong1),"",IF(OFFSET(TH!O$1,SMALL(Dong1,ROWS($1:30)),)="1111",OFFSET(TH!N$1,SMALL(Dong1,ROWS($1:30)),),OFFSET(TH!O$1,SMALL(Dong1,ROWS($1:30)),)))</f>
        <v>1331</v>
      </c>
      <c r="G43" s="182">
        <f ca="1">IF(ROWS($1:30)&gt;COUNT(Dong1),"",IF(OFFSET(TH!N$1,SMALL(Dong1,ROWS($1:30)),)="1111",OFFSET(TH!M$1,SMALL(Dong1,ROWS($1:30)),),0))</f>
        <v>0</v>
      </c>
      <c r="H43" s="180">
        <f ca="1">IF(ROWS($1:30)&gt;COUNT(Dong1),"",IF(OFFSET(TH!O$1,SMALL(Dong1,ROWS($1:30)),)="1111",OFFSET(TH!M$1,SMALL(Dong1,ROWS($1:30)),),0))</f>
        <v>134106</v>
      </c>
      <c r="I43" s="178">
        <f t="shared" ca="1" si="0"/>
        <v>5745915634</v>
      </c>
      <c r="J43" s="183"/>
    </row>
    <row r="44" spans="1:10" ht="19.5" customHeight="1">
      <c r="A44" s="177">
        <f ca="1">IF(ROWS($1:31)&gt;COUNT(Dong1),"",OFFSET(TH!C$1,SMALL(Dong1,ROWS($1:31)),))</f>
        <v>42377</v>
      </c>
      <c r="B44" s="177">
        <f ca="1">IF(ROWS($1:31)&gt;COUNT(Dong1),"",OFFSET(TH!E$1,SMALL(Dong1,ROWS($1:31)),))</f>
        <v>42377</v>
      </c>
      <c r="C44" s="178" t="str">
        <f ca="1">IF(ROWS($1:31)&gt;COUNT(Dong1),"",IF(OFFSET(TH!N$1,SMALL(Dong1,ROWS($1:31)),)="1111",OFFSET(TH!D$1,SMALL(Dong1,ROWS($1:31)),),""))</f>
        <v/>
      </c>
      <c r="D44" s="179" t="str">
        <f ca="1">IF(ROWS($1:31)&gt;COUNT(Dong1),"",IF(OFFSET(TH!O$1,SMALL(Dong1,ROWS($1:31)),)="1111",OFFSET(TH!D$1,SMALL(Dong1,ROWS($1:31)),),""))</f>
        <v>C17</v>
      </c>
      <c r="E44" s="446" t="str">
        <f ca="1">IF(ROWS($1:31)&gt;COUNT(Dong1),"",OFFSET(TH!F$1,SMALL(Dong1,ROWS($1:31)),))</f>
        <v>Máy tính</v>
      </c>
      <c r="F44" s="181" t="str">
        <f ca="1">IF(ROWS($1:31)&gt;COUNT(Dong1),"",IF(OFFSET(TH!O$1,SMALL(Dong1,ROWS($1:31)),)="1111",OFFSET(TH!N$1,SMALL(Dong1,ROWS($1:31)),),OFFSET(TH!O$1,SMALL(Dong1,ROWS($1:31)),)))</f>
        <v>642</v>
      </c>
      <c r="G44" s="182">
        <f ca="1">IF(ROWS($1:31)&gt;COUNT(Dong1),"",IF(OFFSET(TH!N$1,SMALL(Dong1,ROWS($1:31)),)="1111",OFFSET(TH!M$1,SMALL(Dong1,ROWS($1:31)),),0))</f>
        <v>0</v>
      </c>
      <c r="H44" s="180">
        <f ca="1">IF(ROWS($1:31)&gt;COUNT(Dong1),"",IF(OFFSET(TH!O$1,SMALL(Dong1,ROWS($1:31)),)="1111",OFFSET(TH!M$1,SMALL(Dong1,ROWS($1:31)),),0))</f>
        <v>5363636</v>
      </c>
      <c r="I44" s="178">
        <f t="shared" ca="1" si="0"/>
        <v>5740551998</v>
      </c>
      <c r="J44" s="183"/>
    </row>
    <row r="45" spans="1:10" ht="19.5" customHeight="1">
      <c r="A45" s="177">
        <f ca="1">IF(ROWS($1:32)&gt;COUNT(Dong1),"",OFFSET(TH!C$1,SMALL(Dong1,ROWS($1:32)),))</f>
        <v>42377</v>
      </c>
      <c r="B45" s="177">
        <f ca="1">IF(ROWS($1:32)&gt;COUNT(Dong1),"",OFFSET(TH!E$1,SMALL(Dong1,ROWS($1:32)),))</f>
        <v>42377</v>
      </c>
      <c r="C45" s="178" t="str">
        <f ca="1">IF(ROWS($1:32)&gt;COUNT(Dong1),"",IF(OFFSET(TH!N$1,SMALL(Dong1,ROWS($1:32)),)="1111",OFFSET(TH!D$1,SMALL(Dong1,ROWS($1:32)),),""))</f>
        <v/>
      </c>
      <c r="D45" s="179" t="str">
        <f ca="1">IF(ROWS($1:32)&gt;COUNT(Dong1),"",IF(OFFSET(TH!O$1,SMALL(Dong1,ROWS($1:32)),)="1111",OFFSET(TH!D$1,SMALL(Dong1,ROWS($1:32)),),""))</f>
        <v>C17</v>
      </c>
      <c r="E45" s="446" t="str">
        <f ca="1">IF(ROWS($1:32)&gt;COUNT(Dong1),"",OFFSET(TH!F$1,SMALL(Dong1,ROWS($1:32)),))</f>
        <v>VAT Máy tính</v>
      </c>
      <c r="F45" s="181" t="str">
        <f ca="1">IF(ROWS($1:32)&gt;COUNT(Dong1),"",IF(OFFSET(TH!O$1,SMALL(Dong1,ROWS($1:32)),)="1111",OFFSET(TH!N$1,SMALL(Dong1,ROWS($1:32)),),OFFSET(TH!O$1,SMALL(Dong1,ROWS($1:32)),)))</f>
        <v>1331</v>
      </c>
      <c r="G45" s="182">
        <f ca="1">IF(ROWS($1:32)&gt;COUNT(Dong1),"",IF(OFFSET(TH!N$1,SMALL(Dong1,ROWS($1:32)),)="1111",OFFSET(TH!M$1,SMALL(Dong1,ROWS($1:32)),),0))</f>
        <v>0</v>
      </c>
      <c r="H45" s="180">
        <f ca="1">IF(ROWS($1:32)&gt;COUNT(Dong1),"",IF(OFFSET(TH!O$1,SMALL(Dong1,ROWS($1:32)),)="1111",OFFSET(TH!M$1,SMALL(Dong1,ROWS($1:32)),),0))</f>
        <v>536364</v>
      </c>
      <c r="I45" s="178">
        <f t="shared" ca="1" si="0"/>
        <v>5740015634</v>
      </c>
      <c r="J45" s="183"/>
    </row>
    <row r="46" spans="1:10" ht="19.5" customHeight="1">
      <c r="A46" s="177">
        <f ca="1">IF(ROWS($1:33)&gt;COUNT(Dong1),"",OFFSET(TH!C$1,SMALL(Dong1,ROWS($1:33)),))</f>
        <v>42377</v>
      </c>
      <c r="B46" s="177">
        <f ca="1">IF(ROWS($1:33)&gt;COUNT(Dong1),"",OFFSET(TH!E$1,SMALL(Dong1,ROWS($1:33)),))</f>
        <v>42377</v>
      </c>
      <c r="C46" s="178" t="str">
        <f ca="1">IF(ROWS($1:33)&gt;COUNT(Dong1),"",IF(OFFSET(TH!N$1,SMALL(Dong1,ROWS($1:33)),)="1111",OFFSET(TH!D$1,SMALL(Dong1,ROWS($1:33)),),""))</f>
        <v/>
      </c>
      <c r="D46" s="179" t="str">
        <f ca="1">IF(ROWS($1:33)&gt;COUNT(Dong1),"",IF(OFFSET(TH!O$1,SMALL(Dong1,ROWS($1:33)),)="1111",OFFSET(TH!D$1,SMALL(Dong1,ROWS($1:33)),),""))</f>
        <v>C18</v>
      </c>
      <c r="E46" s="446" t="str">
        <f ca="1">IF(ROWS($1:33)&gt;COUNT(Dong1),"",OFFSET(TH!F$1,SMALL(Dong1,ROWS($1:33)),))</f>
        <v xml:space="preserve">Xăng </v>
      </c>
      <c r="F46" s="181" t="str">
        <f ca="1">IF(ROWS($1:33)&gt;COUNT(Dong1),"",IF(OFFSET(TH!O$1,SMALL(Dong1,ROWS($1:33)),)="1111",OFFSET(TH!N$1,SMALL(Dong1,ROWS($1:33)),),OFFSET(TH!O$1,SMALL(Dong1,ROWS($1:33)),)))</f>
        <v>642</v>
      </c>
      <c r="G46" s="182">
        <f ca="1">IF(ROWS($1:33)&gt;COUNT(Dong1),"",IF(OFFSET(TH!N$1,SMALL(Dong1,ROWS($1:33)),)="1111",OFFSET(TH!M$1,SMALL(Dong1,ROWS($1:33)),),0))</f>
        <v>0</v>
      </c>
      <c r="H46" s="180">
        <f ca="1">IF(ROWS($1:33)&gt;COUNT(Dong1),"",IF(OFFSET(TH!O$1,SMALL(Dong1,ROWS($1:33)),)="1111",OFFSET(TH!M$1,SMALL(Dong1,ROWS($1:33)),),0))</f>
        <v>851709</v>
      </c>
      <c r="I46" s="178">
        <f t="shared" ca="1" si="0"/>
        <v>5739163925</v>
      </c>
      <c r="J46" s="183"/>
    </row>
    <row r="47" spans="1:10" ht="19.5" customHeight="1">
      <c r="A47" s="177">
        <f ca="1">IF(ROWS($1:34)&gt;COUNT(Dong1),"",OFFSET(TH!C$1,SMALL(Dong1,ROWS($1:34)),))</f>
        <v>42377</v>
      </c>
      <c r="B47" s="177">
        <f ca="1">IF(ROWS($1:34)&gt;COUNT(Dong1),"",OFFSET(TH!E$1,SMALL(Dong1,ROWS($1:34)),))</f>
        <v>42377</v>
      </c>
      <c r="C47" s="178" t="str">
        <f ca="1">IF(ROWS($1:34)&gt;COUNT(Dong1),"",IF(OFFSET(TH!N$1,SMALL(Dong1,ROWS($1:34)),)="1111",OFFSET(TH!D$1,SMALL(Dong1,ROWS($1:34)),),""))</f>
        <v/>
      </c>
      <c r="D47" s="179" t="str">
        <f ca="1">IF(ROWS($1:34)&gt;COUNT(Dong1),"",IF(OFFSET(TH!O$1,SMALL(Dong1,ROWS($1:34)),)="1111",OFFSET(TH!D$1,SMALL(Dong1,ROWS($1:34)),),""))</f>
        <v>C18</v>
      </c>
      <c r="E47" s="446" t="str">
        <f ca="1">IF(ROWS($1:34)&gt;COUNT(Dong1),"",OFFSET(TH!F$1,SMALL(Dong1,ROWS($1:34)),))</f>
        <v xml:space="preserve">VAT Xăng </v>
      </c>
      <c r="F47" s="181" t="str">
        <f ca="1">IF(ROWS($1:34)&gt;COUNT(Dong1),"",IF(OFFSET(TH!O$1,SMALL(Dong1,ROWS($1:34)),)="1111",OFFSET(TH!N$1,SMALL(Dong1,ROWS($1:34)),),OFFSET(TH!O$1,SMALL(Dong1,ROWS($1:34)),)))</f>
        <v>1331</v>
      </c>
      <c r="G47" s="182">
        <f ca="1">IF(ROWS($1:34)&gt;COUNT(Dong1),"",IF(OFFSET(TH!N$1,SMALL(Dong1,ROWS($1:34)),)="1111",OFFSET(TH!M$1,SMALL(Dong1,ROWS($1:34)),),0))</f>
        <v>0</v>
      </c>
      <c r="H47" s="180">
        <f ca="1">IF(ROWS($1:34)&gt;COUNT(Dong1),"",IF(OFFSET(TH!O$1,SMALL(Dong1,ROWS($1:34)),)="1111",OFFSET(TH!M$1,SMALL(Dong1,ROWS($1:34)),),0))</f>
        <v>85171</v>
      </c>
      <c r="I47" s="178">
        <f t="shared" ca="1" si="0"/>
        <v>5739078754</v>
      </c>
      <c r="J47" s="183"/>
    </row>
    <row r="48" spans="1:10" ht="19.5" customHeight="1">
      <c r="A48" s="177">
        <f ca="1">IF(ROWS($1:35)&gt;COUNT(Dong1),"",OFFSET(TH!C$1,SMALL(Dong1,ROWS($1:35)),))</f>
        <v>42380</v>
      </c>
      <c r="B48" s="177">
        <f ca="1">IF(ROWS($1:35)&gt;COUNT(Dong1),"",OFFSET(TH!E$1,SMALL(Dong1,ROWS($1:35)),))</f>
        <v>42380</v>
      </c>
      <c r="C48" s="178" t="str">
        <f ca="1">IF(ROWS($1:35)&gt;COUNT(Dong1),"",IF(OFFSET(TH!N$1,SMALL(Dong1,ROWS($1:35)),)="1111",OFFSET(TH!D$1,SMALL(Dong1,ROWS($1:35)),),""))</f>
        <v/>
      </c>
      <c r="D48" s="179" t="str">
        <f ca="1">IF(ROWS($1:35)&gt;COUNT(Dong1),"",IF(OFFSET(TH!O$1,SMALL(Dong1,ROWS($1:35)),)="1111",OFFSET(TH!D$1,SMALL(Dong1,ROWS($1:35)),),""))</f>
        <v>C19</v>
      </c>
      <c r="E48" s="446" t="str">
        <f ca="1">IF(ROWS($1:35)&gt;COUNT(Dong1),"",OFFSET(TH!F$1,SMALL(Dong1,ROWS($1:35)),))</f>
        <v>Dầu DO</v>
      </c>
      <c r="F48" s="181" t="str">
        <f ca="1">IF(ROWS($1:35)&gt;COUNT(Dong1),"",IF(OFFSET(TH!O$1,SMALL(Dong1,ROWS($1:35)),)="1111",OFFSET(TH!N$1,SMALL(Dong1,ROWS($1:35)),),OFFSET(TH!O$1,SMALL(Dong1,ROWS($1:35)),)))</f>
        <v>154</v>
      </c>
      <c r="G48" s="182">
        <f ca="1">IF(ROWS($1:35)&gt;COUNT(Dong1),"",IF(OFFSET(TH!N$1,SMALL(Dong1,ROWS($1:35)),)="1111",OFFSET(TH!M$1,SMALL(Dong1,ROWS($1:35)),),0))</f>
        <v>0</v>
      </c>
      <c r="H48" s="180">
        <f ca="1">IF(ROWS($1:35)&gt;COUNT(Dong1),"",IF(OFFSET(TH!O$1,SMALL(Dong1,ROWS($1:35)),)="1111",OFFSET(TH!M$1,SMALL(Dong1,ROWS($1:35)),),0))</f>
        <v>595900</v>
      </c>
      <c r="I48" s="178">
        <f t="shared" ca="1" si="0"/>
        <v>5738482854</v>
      </c>
      <c r="J48" s="183"/>
    </row>
    <row r="49" spans="1:10" ht="19.5" customHeight="1">
      <c r="A49" s="177">
        <f ca="1">IF(ROWS($1:36)&gt;COUNT(Dong1),"",OFFSET(TH!C$1,SMALL(Dong1,ROWS($1:36)),))</f>
        <v>42380</v>
      </c>
      <c r="B49" s="177">
        <f ca="1">IF(ROWS($1:36)&gt;COUNT(Dong1),"",OFFSET(TH!E$1,SMALL(Dong1,ROWS($1:36)),))</f>
        <v>42380</v>
      </c>
      <c r="C49" s="178" t="str">
        <f ca="1">IF(ROWS($1:36)&gt;COUNT(Dong1),"",IF(OFFSET(TH!N$1,SMALL(Dong1,ROWS($1:36)),)="1111",OFFSET(TH!D$1,SMALL(Dong1,ROWS($1:36)),),""))</f>
        <v/>
      </c>
      <c r="D49" s="179" t="str">
        <f ca="1">IF(ROWS($1:36)&gt;COUNT(Dong1),"",IF(OFFSET(TH!O$1,SMALL(Dong1,ROWS($1:36)),)="1111",OFFSET(TH!D$1,SMALL(Dong1,ROWS($1:36)),),""))</f>
        <v>C19</v>
      </c>
      <c r="E49" s="446" t="str">
        <f ca="1">IF(ROWS($1:36)&gt;COUNT(Dong1),"",OFFSET(TH!F$1,SMALL(Dong1,ROWS($1:36)),))</f>
        <v>VAT Dầu DO</v>
      </c>
      <c r="F49" s="181" t="str">
        <f ca="1">IF(ROWS($1:36)&gt;COUNT(Dong1),"",IF(OFFSET(TH!O$1,SMALL(Dong1,ROWS($1:36)),)="1111",OFFSET(TH!N$1,SMALL(Dong1,ROWS($1:36)),),OFFSET(TH!O$1,SMALL(Dong1,ROWS($1:36)),)))</f>
        <v>1331</v>
      </c>
      <c r="G49" s="182">
        <f ca="1">IF(ROWS($1:36)&gt;COUNT(Dong1),"",IF(OFFSET(TH!N$1,SMALL(Dong1,ROWS($1:36)),)="1111",OFFSET(TH!M$1,SMALL(Dong1,ROWS($1:36)),),0))</f>
        <v>0</v>
      </c>
      <c r="H49" s="180">
        <f ca="1">IF(ROWS($1:36)&gt;COUNT(Dong1),"",IF(OFFSET(TH!O$1,SMALL(Dong1,ROWS($1:36)),)="1111",OFFSET(TH!M$1,SMALL(Dong1,ROWS($1:36)),),0))</f>
        <v>59590</v>
      </c>
      <c r="I49" s="178">
        <f t="shared" ca="1" si="0"/>
        <v>5738423264</v>
      </c>
      <c r="J49" s="183"/>
    </row>
    <row r="50" spans="1:10" ht="19.5" customHeight="1">
      <c r="A50" s="177">
        <f ca="1">IF(ROWS($1:37)&gt;COUNT(Dong1),"",OFFSET(TH!C$1,SMALL(Dong1,ROWS($1:37)),))</f>
        <v>42381</v>
      </c>
      <c r="B50" s="177">
        <f ca="1">IF(ROWS($1:37)&gt;COUNT(Dong1),"",OFFSET(TH!E$1,SMALL(Dong1,ROWS($1:37)),))</f>
        <v>42381</v>
      </c>
      <c r="C50" s="178" t="str">
        <f ca="1">IF(ROWS($1:37)&gt;COUNT(Dong1),"",IF(OFFSET(TH!N$1,SMALL(Dong1,ROWS($1:37)),)="1111",OFFSET(TH!D$1,SMALL(Dong1,ROWS($1:37)),),""))</f>
        <v/>
      </c>
      <c r="D50" s="179" t="str">
        <f ca="1">IF(ROWS($1:37)&gt;COUNT(Dong1),"",IF(OFFSET(TH!O$1,SMALL(Dong1,ROWS($1:37)),)="1111",OFFSET(TH!D$1,SMALL(Dong1,ROWS($1:37)),),""))</f>
        <v>C20</v>
      </c>
      <c r="E50" s="446" t="str">
        <f ca="1">IF(ROWS($1:37)&gt;COUNT(Dong1),"",OFFSET(TH!F$1,SMALL(Dong1,ROWS($1:37)),))</f>
        <v>Xăng</v>
      </c>
      <c r="F50" s="181" t="str">
        <f ca="1">IF(ROWS($1:37)&gt;COUNT(Dong1),"",IF(OFFSET(TH!O$1,SMALL(Dong1,ROWS($1:37)),)="1111",OFFSET(TH!N$1,SMALL(Dong1,ROWS($1:37)),),OFFSET(TH!O$1,SMALL(Dong1,ROWS($1:37)),)))</f>
        <v>642</v>
      </c>
      <c r="G50" s="182">
        <f ca="1">IF(ROWS($1:37)&gt;COUNT(Dong1),"",IF(OFFSET(TH!N$1,SMALL(Dong1,ROWS($1:37)),)="1111",OFFSET(TH!M$1,SMALL(Dong1,ROWS($1:37)),),0))</f>
        <v>0</v>
      </c>
      <c r="H50" s="180">
        <f ca="1">IF(ROWS($1:37)&gt;COUNT(Dong1),"",IF(OFFSET(TH!O$1,SMALL(Dong1,ROWS($1:37)),)="1111",OFFSET(TH!M$1,SMALL(Dong1,ROWS($1:37)),),0))</f>
        <v>790873</v>
      </c>
      <c r="I50" s="178">
        <f t="shared" ca="1" si="0"/>
        <v>5737632391</v>
      </c>
      <c r="J50" s="183"/>
    </row>
    <row r="51" spans="1:10" ht="19.5" customHeight="1">
      <c r="A51" s="177">
        <f ca="1">IF(ROWS($1:38)&gt;COUNT(Dong1),"",OFFSET(TH!C$1,SMALL(Dong1,ROWS($1:38)),))</f>
        <v>42381</v>
      </c>
      <c r="B51" s="177">
        <f ca="1">IF(ROWS($1:38)&gt;COUNT(Dong1),"",OFFSET(TH!E$1,SMALL(Dong1,ROWS($1:38)),))</f>
        <v>42381</v>
      </c>
      <c r="C51" s="178" t="str">
        <f ca="1">IF(ROWS($1:38)&gt;COUNT(Dong1),"",IF(OFFSET(TH!N$1,SMALL(Dong1,ROWS($1:38)),)="1111",OFFSET(TH!D$1,SMALL(Dong1,ROWS($1:38)),),""))</f>
        <v/>
      </c>
      <c r="D51" s="179" t="str">
        <f ca="1">IF(ROWS($1:38)&gt;COUNT(Dong1),"",IF(OFFSET(TH!O$1,SMALL(Dong1,ROWS($1:38)),)="1111",OFFSET(TH!D$1,SMALL(Dong1,ROWS($1:38)),),""))</f>
        <v>C20</v>
      </c>
      <c r="E51" s="446" t="str">
        <f ca="1">IF(ROWS($1:38)&gt;COUNT(Dong1),"",OFFSET(TH!F$1,SMALL(Dong1,ROWS($1:38)),))</f>
        <v>VAT Xăng</v>
      </c>
      <c r="F51" s="181" t="str">
        <f ca="1">IF(ROWS($1:38)&gt;COUNT(Dong1),"",IF(OFFSET(TH!O$1,SMALL(Dong1,ROWS($1:38)),)="1111",OFFSET(TH!N$1,SMALL(Dong1,ROWS($1:38)),),OFFSET(TH!O$1,SMALL(Dong1,ROWS($1:38)),)))</f>
        <v>1331</v>
      </c>
      <c r="G51" s="182">
        <f ca="1">IF(ROWS($1:38)&gt;COUNT(Dong1),"",IF(OFFSET(TH!N$1,SMALL(Dong1,ROWS($1:38)),)="1111",OFFSET(TH!M$1,SMALL(Dong1,ROWS($1:38)),),0))</f>
        <v>0</v>
      </c>
      <c r="H51" s="180">
        <f ca="1">IF(ROWS($1:38)&gt;COUNT(Dong1),"",IF(OFFSET(TH!O$1,SMALL(Dong1,ROWS($1:38)),)="1111",OFFSET(TH!M$1,SMALL(Dong1,ROWS($1:38)),),0))</f>
        <v>79087</v>
      </c>
      <c r="I51" s="178">
        <f t="shared" ca="1" si="0"/>
        <v>5737553304</v>
      </c>
      <c r="J51" s="183"/>
    </row>
    <row r="52" spans="1:10" ht="19.5" customHeight="1">
      <c r="A52" s="177">
        <f ca="1">IF(ROWS($1:39)&gt;COUNT(Dong1),"",OFFSET(TH!C$1,SMALL(Dong1,ROWS($1:39)),))</f>
        <v>42381</v>
      </c>
      <c r="B52" s="177">
        <f ca="1">IF(ROWS($1:39)&gt;COUNT(Dong1),"",OFFSET(TH!E$1,SMALL(Dong1,ROWS($1:39)),))</f>
        <v>42381</v>
      </c>
      <c r="C52" s="178" t="str">
        <f ca="1">IF(ROWS($1:39)&gt;COUNT(Dong1),"",IF(OFFSET(TH!N$1,SMALL(Dong1,ROWS($1:39)),)="1111",OFFSET(TH!D$1,SMALL(Dong1,ROWS($1:39)),),""))</f>
        <v/>
      </c>
      <c r="D52" s="179" t="str">
        <f ca="1">IF(ROWS($1:39)&gt;COUNT(Dong1),"",IF(OFFSET(TH!O$1,SMALL(Dong1,ROWS($1:39)),)="1111",OFFSET(TH!D$1,SMALL(Dong1,ROWS($1:39)),),""))</f>
        <v>C21</v>
      </c>
      <c r="E52" s="446" t="str">
        <f ca="1">IF(ROWS($1:39)&gt;COUNT(Dong1),"",OFFSET(TH!F$1,SMALL(Dong1,ROWS($1:39)),))</f>
        <v>Tư vấn giám sát môi trường</v>
      </c>
      <c r="F52" s="181" t="str">
        <f ca="1">IF(ROWS($1:39)&gt;COUNT(Dong1),"",IF(OFFSET(TH!O$1,SMALL(Dong1,ROWS($1:39)),)="1111",OFFSET(TH!N$1,SMALL(Dong1,ROWS($1:39)),),OFFSET(TH!O$1,SMALL(Dong1,ROWS($1:39)),)))</f>
        <v>642</v>
      </c>
      <c r="G52" s="182">
        <f ca="1">IF(ROWS($1:39)&gt;COUNT(Dong1),"",IF(OFFSET(TH!N$1,SMALL(Dong1,ROWS($1:39)),)="1111",OFFSET(TH!M$1,SMALL(Dong1,ROWS($1:39)),),0))</f>
        <v>0</v>
      </c>
      <c r="H52" s="180">
        <f ca="1">IF(ROWS($1:39)&gt;COUNT(Dong1),"",IF(OFFSET(TH!O$1,SMALL(Dong1,ROWS($1:39)),)="1111",OFFSET(TH!M$1,SMALL(Dong1,ROWS($1:39)),),0))</f>
        <v>3325000</v>
      </c>
      <c r="I52" s="178">
        <f t="shared" ca="1" si="0"/>
        <v>5734228304</v>
      </c>
      <c r="J52" s="183"/>
    </row>
    <row r="53" spans="1:10" ht="19.5" customHeight="1">
      <c r="A53" s="177">
        <f ca="1">IF(ROWS($1:40)&gt;COUNT(Dong1),"",OFFSET(TH!C$1,SMALL(Dong1,ROWS($1:40)),))</f>
        <v>42381</v>
      </c>
      <c r="B53" s="177">
        <f ca="1">IF(ROWS($1:40)&gt;COUNT(Dong1),"",OFFSET(TH!E$1,SMALL(Dong1,ROWS($1:40)),))</f>
        <v>42381</v>
      </c>
      <c r="C53" s="178" t="str">
        <f ca="1">IF(ROWS($1:40)&gt;COUNT(Dong1),"",IF(OFFSET(TH!N$1,SMALL(Dong1,ROWS($1:40)),)="1111",OFFSET(TH!D$1,SMALL(Dong1,ROWS($1:40)),),""))</f>
        <v/>
      </c>
      <c r="D53" s="179" t="str">
        <f ca="1">IF(ROWS($1:40)&gt;COUNT(Dong1),"",IF(OFFSET(TH!O$1,SMALL(Dong1,ROWS($1:40)),)="1111",OFFSET(TH!D$1,SMALL(Dong1,ROWS($1:40)),),""))</f>
        <v>C21</v>
      </c>
      <c r="E53" s="446" t="str">
        <f ca="1">IF(ROWS($1:40)&gt;COUNT(Dong1),"",OFFSET(TH!F$1,SMALL(Dong1,ROWS($1:40)),))</f>
        <v>VAT Tư vấn giám sát môi trường</v>
      </c>
      <c r="F53" s="181" t="str">
        <f ca="1">IF(ROWS($1:40)&gt;COUNT(Dong1),"",IF(OFFSET(TH!O$1,SMALL(Dong1,ROWS($1:40)),)="1111",OFFSET(TH!N$1,SMALL(Dong1,ROWS($1:40)),),OFFSET(TH!O$1,SMALL(Dong1,ROWS($1:40)),)))</f>
        <v>1331</v>
      </c>
      <c r="G53" s="182">
        <f ca="1">IF(ROWS($1:40)&gt;COUNT(Dong1),"",IF(OFFSET(TH!N$1,SMALL(Dong1,ROWS($1:40)),)="1111",OFFSET(TH!M$1,SMALL(Dong1,ROWS($1:40)),),0))</f>
        <v>0</v>
      </c>
      <c r="H53" s="180">
        <f ca="1">IF(ROWS($1:40)&gt;COUNT(Dong1),"",IF(OFFSET(TH!O$1,SMALL(Dong1,ROWS($1:40)),)="1111",OFFSET(TH!M$1,SMALL(Dong1,ROWS($1:40)),),0))</f>
        <v>332500</v>
      </c>
      <c r="I53" s="178">
        <f t="shared" ca="1" si="0"/>
        <v>5733895804</v>
      </c>
      <c r="J53" s="183"/>
    </row>
    <row r="54" spans="1:10" ht="19.5" customHeight="1">
      <c r="A54" s="177">
        <f ca="1">IF(ROWS($1:41)&gt;COUNT(Dong1),"",OFFSET(TH!C$1,SMALL(Dong1,ROWS($1:41)),))</f>
        <v>42383</v>
      </c>
      <c r="B54" s="177">
        <f ca="1">IF(ROWS($1:41)&gt;COUNT(Dong1),"",OFFSET(TH!E$1,SMALL(Dong1,ROWS($1:41)),))</f>
        <v>42383</v>
      </c>
      <c r="C54" s="178" t="str">
        <f ca="1">IF(ROWS($1:41)&gt;COUNT(Dong1),"",IF(OFFSET(TH!N$1,SMALL(Dong1,ROWS($1:41)),)="1111",OFFSET(TH!D$1,SMALL(Dong1,ROWS($1:41)),),""))</f>
        <v/>
      </c>
      <c r="D54" s="179" t="str">
        <f ca="1">IF(ROWS($1:41)&gt;COUNT(Dong1),"",IF(OFFSET(TH!O$1,SMALL(Dong1,ROWS($1:41)),)="1111",OFFSET(TH!D$1,SMALL(Dong1,ROWS($1:41)),),""))</f>
        <v>C22</v>
      </c>
      <c r="E54" s="446" t="str">
        <f ca="1">IF(ROWS($1:41)&gt;COUNT(Dong1),"",OFFSET(TH!F$1,SMALL(Dong1,ROWS($1:41)),))</f>
        <v>Bảo dưỡng xe 51F - 080.56</v>
      </c>
      <c r="F54" s="181" t="str">
        <f ca="1">IF(ROWS($1:41)&gt;COUNT(Dong1),"",IF(OFFSET(TH!O$1,SMALL(Dong1,ROWS($1:41)),)="1111",OFFSET(TH!N$1,SMALL(Dong1,ROWS($1:41)),),OFFSET(TH!O$1,SMALL(Dong1,ROWS($1:41)),)))</f>
        <v>642</v>
      </c>
      <c r="G54" s="182">
        <f ca="1">IF(ROWS($1:41)&gt;COUNT(Dong1),"",IF(OFFSET(TH!N$1,SMALL(Dong1,ROWS($1:41)),)="1111",OFFSET(TH!M$1,SMALL(Dong1,ROWS($1:41)),),0))</f>
        <v>0</v>
      </c>
      <c r="H54" s="180">
        <f ca="1">IF(ROWS($1:41)&gt;COUNT(Dong1),"",IF(OFFSET(TH!O$1,SMALL(Dong1,ROWS($1:41)),)="1111",OFFSET(TH!M$1,SMALL(Dong1,ROWS($1:41)),),0))</f>
        <v>16662900</v>
      </c>
      <c r="I54" s="178">
        <f t="shared" ca="1" si="0"/>
        <v>5717232904</v>
      </c>
      <c r="J54" s="183"/>
    </row>
    <row r="55" spans="1:10" ht="19.5" customHeight="1">
      <c r="A55" s="177">
        <f ca="1">IF(ROWS($1:42)&gt;COUNT(Dong1),"",OFFSET(TH!C$1,SMALL(Dong1,ROWS($1:42)),))</f>
        <v>42383</v>
      </c>
      <c r="B55" s="177">
        <f ca="1">IF(ROWS($1:42)&gt;COUNT(Dong1),"",OFFSET(TH!E$1,SMALL(Dong1,ROWS($1:42)),))</f>
        <v>42383</v>
      </c>
      <c r="C55" s="178" t="str">
        <f ca="1">IF(ROWS($1:42)&gt;COUNT(Dong1),"",IF(OFFSET(TH!N$1,SMALL(Dong1,ROWS($1:42)),)="1111",OFFSET(TH!D$1,SMALL(Dong1,ROWS($1:42)),),""))</f>
        <v/>
      </c>
      <c r="D55" s="179" t="str">
        <f ca="1">IF(ROWS($1:42)&gt;COUNT(Dong1),"",IF(OFFSET(TH!O$1,SMALL(Dong1,ROWS($1:42)),)="1111",OFFSET(TH!D$1,SMALL(Dong1,ROWS($1:42)),),""))</f>
        <v>C22</v>
      </c>
      <c r="E55" s="446" t="str">
        <f ca="1">IF(ROWS($1:42)&gt;COUNT(Dong1),"",OFFSET(TH!F$1,SMALL(Dong1,ROWS($1:42)),))</f>
        <v>VAT Bảo dưỡng xe 51F - 080.56</v>
      </c>
      <c r="F55" s="181" t="str">
        <f ca="1">IF(ROWS($1:42)&gt;COUNT(Dong1),"",IF(OFFSET(TH!O$1,SMALL(Dong1,ROWS($1:42)),)="1111",OFFSET(TH!N$1,SMALL(Dong1,ROWS($1:42)),),OFFSET(TH!O$1,SMALL(Dong1,ROWS($1:42)),)))</f>
        <v>1331</v>
      </c>
      <c r="G55" s="182">
        <f ca="1">IF(ROWS($1:42)&gt;COUNT(Dong1),"",IF(OFFSET(TH!N$1,SMALL(Dong1,ROWS($1:42)),)="1111",OFFSET(TH!M$1,SMALL(Dong1,ROWS($1:42)),),0))</f>
        <v>0</v>
      </c>
      <c r="H55" s="180">
        <f ca="1">IF(ROWS($1:42)&gt;COUNT(Dong1),"",IF(OFFSET(TH!O$1,SMALL(Dong1,ROWS($1:42)),)="1111",OFFSET(TH!M$1,SMALL(Dong1,ROWS($1:42)),),0))</f>
        <v>1666290</v>
      </c>
      <c r="I55" s="178">
        <f t="shared" ca="1" si="0"/>
        <v>5715566614</v>
      </c>
      <c r="J55" s="183"/>
    </row>
    <row r="56" spans="1:10" ht="19.5" customHeight="1">
      <c r="A56" s="177">
        <f ca="1">IF(ROWS($1:43)&gt;COUNT(Dong1),"",OFFSET(TH!C$1,SMALL(Dong1,ROWS($1:43)),))</f>
        <v>42384</v>
      </c>
      <c r="B56" s="177">
        <f ca="1">IF(ROWS($1:43)&gt;COUNT(Dong1),"",OFFSET(TH!E$1,SMALL(Dong1,ROWS($1:43)),))</f>
        <v>42384</v>
      </c>
      <c r="C56" s="178" t="str">
        <f ca="1">IF(ROWS($1:43)&gt;COUNT(Dong1),"",IF(OFFSET(TH!N$1,SMALL(Dong1,ROWS($1:43)),)="1111",OFFSET(TH!D$1,SMALL(Dong1,ROWS($1:43)),),""))</f>
        <v>T02</v>
      </c>
      <c r="D56" s="179" t="str">
        <f ca="1">IF(ROWS($1:43)&gt;COUNT(Dong1),"",IF(OFFSET(TH!O$1,SMALL(Dong1,ROWS($1:43)),)="1111",OFFSET(TH!D$1,SMALL(Dong1,ROWS($1:43)),),""))</f>
        <v/>
      </c>
      <c r="E56" s="446" t="str">
        <f ca="1">IF(ROWS($1:43)&gt;COUNT(Dong1),"",OFFSET(TH!F$1,SMALL(Dong1,ROWS($1:43)),))</f>
        <v>Q11 - Rút tiền gửi NH nhập quỹ TM</v>
      </c>
      <c r="F56" s="181" t="str">
        <f ca="1">IF(ROWS($1:43)&gt;COUNT(Dong1),"",IF(OFFSET(TH!O$1,SMALL(Dong1,ROWS($1:43)),)="1111",OFFSET(TH!N$1,SMALL(Dong1,ROWS($1:43)),),OFFSET(TH!O$1,SMALL(Dong1,ROWS($1:43)),)))</f>
        <v>1121</v>
      </c>
      <c r="G56" s="182">
        <f ca="1">IF(ROWS($1:43)&gt;COUNT(Dong1),"",IF(OFFSET(TH!N$1,SMALL(Dong1,ROWS($1:43)),)="1111",OFFSET(TH!M$1,SMALL(Dong1,ROWS($1:43)),),0))</f>
        <v>100000000</v>
      </c>
      <c r="H56" s="180">
        <f ca="1">IF(ROWS($1:43)&gt;COUNT(Dong1),"",IF(OFFSET(TH!O$1,SMALL(Dong1,ROWS($1:43)),)="1111",OFFSET(TH!M$1,SMALL(Dong1,ROWS($1:43)),),0))</f>
        <v>0</v>
      </c>
      <c r="I56" s="178">
        <f t="shared" ca="1" si="0"/>
        <v>5815566614</v>
      </c>
      <c r="J56" s="183"/>
    </row>
    <row r="57" spans="1:10" ht="19.5" customHeight="1">
      <c r="A57" s="177">
        <f ca="1">IF(ROWS($1:44)&gt;COUNT(Dong1),"",OFFSET(TH!C$1,SMALL(Dong1,ROWS($1:44)),))</f>
        <v>42384</v>
      </c>
      <c r="B57" s="177">
        <f ca="1">IF(ROWS($1:44)&gt;COUNT(Dong1),"",OFFSET(TH!E$1,SMALL(Dong1,ROWS($1:44)),))</f>
        <v>42384</v>
      </c>
      <c r="C57" s="178" t="str">
        <f ca="1">IF(ROWS($1:44)&gt;COUNT(Dong1),"",IF(OFFSET(TH!N$1,SMALL(Dong1,ROWS($1:44)),)="1111",OFFSET(TH!D$1,SMALL(Dong1,ROWS($1:44)),),""))</f>
        <v/>
      </c>
      <c r="D57" s="179" t="str">
        <f ca="1">IF(ROWS($1:44)&gt;COUNT(Dong1),"",IF(OFFSET(TH!O$1,SMALL(Dong1,ROWS($1:44)),)="1111",OFFSET(TH!D$1,SMALL(Dong1,ROWS($1:44)),),""))</f>
        <v>C23</v>
      </c>
      <c r="E57" s="446" t="str">
        <f ca="1">IF(ROWS($1:44)&gt;COUNT(Dong1),"",OFFSET(TH!F$1,SMALL(Dong1,ROWS($1:44)),))</f>
        <v>Xăng</v>
      </c>
      <c r="F57" s="181" t="str">
        <f ca="1">IF(ROWS($1:44)&gt;COUNT(Dong1),"",IF(OFFSET(TH!O$1,SMALL(Dong1,ROWS($1:44)),)="1111",OFFSET(TH!N$1,SMALL(Dong1,ROWS($1:44)),),OFFSET(TH!O$1,SMALL(Dong1,ROWS($1:44)),)))</f>
        <v>642</v>
      </c>
      <c r="G57" s="182">
        <f ca="1">IF(ROWS($1:44)&gt;COUNT(Dong1),"",IF(OFFSET(TH!N$1,SMALL(Dong1,ROWS($1:44)),)="1111",OFFSET(TH!M$1,SMALL(Dong1,ROWS($1:44)),),0))</f>
        <v>0</v>
      </c>
      <c r="H57" s="180">
        <f ca="1">IF(ROWS($1:44)&gt;COUNT(Dong1),"",IF(OFFSET(TH!O$1,SMALL(Dong1,ROWS($1:44)),)="1111",OFFSET(TH!M$1,SMALL(Dong1,ROWS($1:44)),),0))</f>
        <v>306027</v>
      </c>
      <c r="I57" s="178">
        <f t="shared" ca="1" si="0"/>
        <v>5815260587</v>
      </c>
      <c r="J57" s="183"/>
    </row>
    <row r="58" spans="1:10" ht="19.5" customHeight="1">
      <c r="A58" s="177">
        <f ca="1">IF(ROWS($1:45)&gt;COUNT(Dong1),"",OFFSET(TH!C$1,SMALL(Dong1,ROWS($1:45)),))</f>
        <v>42384</v>
      </c>
      <c r="B58" s="177">
        <f ca="1">IF(ROWS($1:45)&gt;COUNT(Dong1),"",OFFSET(TH!E$1,SMALL(Dong1,ROWS($1:45)),))</f>
        <v>42384</v>
      </c>
      <c r="C58" s="178" t="str">
        <f ca="1">IF(ROWS($1:45)&gt;COUNT(Dong1),"",IF(OFFSET(TH!N$1,SMALL(Dong1,ROWS($1:45)),)="1111",OFFSET(TH!D$1,SMALL(Dong1,ROWS($1:45)),),""))</f>
        <v/>
      </c>
      <c r="D58" s="179" t="str">
        <f ca="1">IF(ROWS($1:45)&gt;COUNT(Dong1),"",IF(OFFSET(TH!O$1,SMALL(Dong1,ROWS($1:45)),)="1111",OFFSET(TH!D$1,SMALL(Dong1,ROWS($1:45)),),""))</f>
        <v>C23</v>
      </c>
      <c r="E58" s="446" t="str">
        <f ca="1">IF(ROWS($1:45)&gt;COUNT(Dong1),"",OFFSET(TH!F$1,SMALL(Dong1,ROWS($1:45)),))</f>
        <v>VAT Xăng</v>
      </c>
      <c r="F58" s="181" t="str">
        <f ca="1">IF(ROWS($1:45)&gt;COUNT(Dong1),"",IF(OFFSET(TH!O$1,SMALL(Dong1,ROWS($1:45)),)="1111",OFFSET(TH!N$1,SMALL(Dong1,ROWS($1:45)),),OFFSET(TH!O$1,SMALL(Dong1,ROWS($1:45)),)))</f>
        <v>1331</v>
      </c>
      <c r="G58" s="182">
        <f ca="1">IF(ROWS($1:45)&gt;COUNT(Dong1),"",IF(OFFSET(TH!N$1,SMALL(Dong1,ROWS($1:45)),)="1111",OFFSET(TH!M$1,SMALL(Dong1,ROWS($1:45)),),0))</f>
        <v>0</v>
      </c>
      <c r="H58" s="180">
        <f ca="1">IF(ROWS($1:45)&gt;COUNT(Dong1),"",IF(OFFSET(TH!O$1,SMALL(Dong1,ROWS($1:45)),)="1111",OFFSET(TH!M$1,SMALL(Dong1,ROWS($1:45)),),0))</f>
        <v>30603</v>
      </c>
      <c r="I58" s="178">
        <f t="shared" ca="1" si="0"/>
        <v>5815229984</v>
      </c>
      <c r="J58" s="183"/>
    </row>
    <row r="59" spans="1:10" ht="19.5" customHeight="1">
      <c r="A59" s="177">
        <f ca="1">IF(ROWS($1:46)&gt;COUNT(Dong1),"",OFFSET(TH!C$1,SMALL(Dong1,ROWS($1:46)),))</f>
        <v>42384</v>
      </c>
      <c r="B59" s="177">
        <f ca="1">IF(ROWS($1:46)&gt;COUNT(Dong1),"",OFFSET(TH!E$1,SMALL(Dong1,ROWS($1:46)),))</f>
        <v>42384</v>
      </c>
      <c r="C59" s="178" t="str">
        <f ca="1">IF(ROWS($1:46)&gt;COUNT(Dong1),"",IF(OFFSET(TH!N$1,SMALL(Dong1,ROWS($1:46)),)="1111",OFFSET(TH!D$1,SMALL(Dong1,ROWS($1:46)),),""))</f>
        <v/>
      </c>
      <c r="D59" s="179" t="str">
        <f ca="1">IF(ROWS($1:46)&gt;COUNT(Dong1),"",IF(OFFSET(TH!O$1,SMALL(Dong1,ROWS($1:46)),)="1111",OFFSET(TH!D$1,SMALL(Dong1,ROWS($1:46)),),""))</f>
        <v>C24</v>
      </c>
      <c r="E59" s="446" t="str">
        <f ca="1">IF(ROWS($1:46)&gt;COUNT(Dong1),"",OFFSET(TH!F$1,SMALL(Dong1,ROWS($1:46)),))</f>
        <v>Xăng</v>
      </c>
      <c r="F59" s="181" t="str">
        <f ca="1">IF(ROWS($1:46)&gt;COUNT(Dong1),"",IF(OFFSET(TH!O$1,SMALL(Dong1,ROWS($1:46)),)="1111",OFFSET(TH!N$1,SMALL(Dong1,ROWS($1:46)),),OFFSET(TH!O$1,SMALL(Dong1,ROWS($1:46)),)))</f>
        <v>642</v>
      </c>
      <c r="G59" s="182">
        <f ca="1">IF(ROWS($1:46)&gt;COUNT(Dong1),"",IF(OFFSET(TH!N$1,SMALL(Dong1,ROWS($1:46)),)="1111",OFFSET(TH!M$1,SMALL(Dong1,ROWS($1:46)),),0))</f>
        <v>0</v>
      </c>
      <c r="H59" s="180">
        <f ca="1">IF(ROWS($1:46)&gt;COUNT(Dong1),"",IF(OFFSET(TH!O$1,SMALL(Dong1,ROWS($1:46)),)="1111",OFFSET(TH!M$1,SMALL(Dong1,ROWS($1:46)),),0))</f>
        <v>593155</v>
      </c>
      <c r="I59" s="178">
        <f t="shared" ca="1" si="0"/>
        <v>5814636829</v>
      </c>
      <c r="J59" s="183"/>
    </row>
    <row r="60" spans="1:10" ht="19.5" customHeight="1">
      <c r="A60" s="177">
        <f ca="1">IF(ROWS($1:47)&gt;COUNT(Dong1),"",OFFSET(TH!C$1,SMALL(Dong1,ROWS($1:47)),))</f>
        <v>42384</v>
      </c>
      <c r="B60" s="177">
        <f ca="1">IF(ROWS($1:47)&gt;COUNT(Dong1),"",OFFSET(TH!E$1,SMALL(Dong1,ROWS($1:47)),))</f>
        <v>42384</v>
      </c>
      <c r="C60" s="178" t="str">
        <f ca="1">IF(ROWS($1:47)&gt;COUNT(Dong1),"",IF(OFFSET(TH!N$1,SMALL(Dong1,ROWS($1:47)),)="1111",OFFSET(TH!D$1,SMALL(Dong1,ROWS($1:47)),),""))</f>
        <v/>
      </c>
      <c r="D60" s="179" t="str">
        <f ca="1">IF(ROWS($1:47)&gt;COUNT(Dong1),"",IF(OFFSET(TH!O$1,SMALL(Dong1,ROWS($1:47)),)="1111",OFFSET(TH!D$1,SMALL(Dong1,ROWS($1:47)),),""))</f>
        <v>C24</v>
      </c>
      <c r="E60" s="446" t="str">
        <f ca="1">IF(ROWS($1:47)&gt;COUNT(Dong1),"",OFFSET(TH!F$1,SMALL(Dong1,ROWS($1:47)),))</f>
        <v>VAT Xăng</v>
      </c>
      <c r="F60" s="181" t="str">
        <f ca="1">IF(ROWS($1:47)&gt;COUNT(Dong1),"",IF(OFFSET(TH!O$1,SMALL(Dong1,ROWS($1:47)),)="1111",OFFSET(TH!N$1,SMALL(Dong1,ROWS($1:47)),),OFFSET(TH!O$1,SMALL(Dong1,ROWS($1:47)),)))</f>
        <v>1331</v>
      </c>
      <c r="G60" s="182">
        <f ca="1">IF(ROWS($1:47)&gt;COUNT(Dong1),"",IF(OFFSET(TH!N$1,SMALL(Dong1,ROWS($1:47)),)="1111",OFFSET(TH!M$1,SMALL(Dong1,ROWS($1:47)),),0))</f>
        <v>0</v>
      </c>
      <c r="H60" s="180">
        <f ca="1">IF(ROWS($1:47)&gt;COUNT(Dong1),"",IF(OFFSET(TH!O$1,SMALL(Dong1,ROWS($1:47)),)="1111",OFFSET(TH!M$1,SMALL(Dong1,ROWS($1:47)),),0))</f>
        <v>59315</v>
      </c>
      <c r="I60" s="178">
        <f t="shared" ca="1" si="0"/>
        <v>5814577514</v>
      </c>
      <c r="J60" s="183"/>
    </row>
    <row r="61" spans="1:10" ht="19.5" customHeight="1">
      <c r="A61" s="177">
        <f ca="1">IF(ROWS($1:48)&gt;COUNT(Dong1),"",OFFSET(TH!C$1,SMALL(Dong1,ROWS($1:48)),))</f>
        <v>42384</v>
      </c>
      <c r="B61" s="177">
        <f ca="1">IF(ROWS($1:48)&gt;COUNT(Dong1),"",OFFSET(TH!E$1,SMALL(Dong1,ROWS($1:48)),))</f>
        <v>42384</v>
      </c>
      <c r="C61" s="178" t="str">
        <f ca="1">IF(ROWS($1:48)&gt;COUNT(Dong1),"",IF(OFFSET(TH!N$1,SMALL(Dong1,ROWS($1:48)),)="1111",OFFSET(TH!D$1,SMALL(Dong1,ROWS($1:48)),),""))</f>
        <v/>
      </c>
      <c r="D61" s="179" t="str">
        <f ca="1">IF(ROWS($1:48)&gt;COUNT(Dong1),"",IF(OFFSET(TH!O$1,SMALL(Dong1,ROWS($1:48)),)="1111",OFFSET(TH!D$1,SMALL(Dong1,ROWS($1:48)),),""))</f>
        <v>C25</v>
      </c>
      <c r="E61" s="446" t="str">
        <f ca="1">IF(ROWS($1:48)&gt;COUNT(Dong1),"",OFFSET(TH!F$1,SMALL(Dong1,ROWS($1:48)),))</f>
        <v>Phí phân tích cá khô</v>
      </c>
      <c r="F61" s="181" t="str">
        <f ca="1">IF(ROWS($1:48)&gt;COUNT(Dong1),"",IF(OFFSET(TH!O$1,SMALL(Dong1,ROWS($1:48)),)="1111",OFFSET(TH!N$1,SMALL(Dong1,ROWS($1:48)),),OFFSET(TH!O$1,SMALL(Dong1,ROWS($1:48)),)))</f>
        <v>642</v>
      </c>
      <c r="G61" s="182">
        <f ca="1">IF(ROWS($1:48)&gt;COUNT(Dong1),"",IF(OFFSET(TH!N$1,SMALL(Dong1,ROWS($1:48)),)="1111",OFFSET(TH!M$1,SMALL(Dong1,ROWS($1:48)),),0))</f>
        <v>0</v>
      </c>
      <c r="H61" s="180">
        <f ca="1">IF(ROWS($1:48)&gt;COUNT(Dong1),"",IF(OFFSET(TH!O$1,SMALL(Dong1,ROWS($1:48)),)="1111",OFFSET(TH!M$1,SMALL(Dong1,ROWS($1:48)),),0))</f>
        <v>400000</v>
      </c>
      <c r="I61" s="178">
        <f t="shared" ca="1" si="0"/>
        <v>5814177514</v>
      </c>
      <c r="J61" s="183"/>
    </row>
    <row r="62" spans="1:10" ht="19.5" customHeight="1">
      <c r="A62" s="177">
        <f ca="1">IF(ROWS($1:49)&gt;COUNT(Dong1),"",OFFSET(TH!C$1,SMALL(Dong1,ROWS($1:49)),))</f>
        <v>42384</v>
      </c>
      <c r="B62" s="177">
        <f ca="1">IF(ROWS($1:49)&gt;COUNT(Dong1),"",OFFSET(TH!E$1,SMALL(Dong1,ROWS($1:49)),))</f>
        <v>42384</v>
      </c>
      <c r="C62" s="178" t="str">
        <f ca="1">IF(ROWS($1:49)&gt;COUNT(Dong1),"",IF(OFFSET(TH!N$1,SMALL(Dong1,ROWS($1:49)),)="1111",OFFSET(TH!D$1,SMALL(Dong1,ROWS($1:49)),),""))</f>
        <v/>
      </c>
      <c r="D62" s="179" t="str">
        <f ca="1">IF(ROWS($1:49)&gt;COUNT(Dong1),"",IF(OFFSET(TH!O$1,SMALL(Dong1,ROWS($1:49)),)="1111",OFFSET(TH!D$1,SMALL(Dong1,ROWS($1:49)),),""))</f>
        <v>C25</v>
      </c>
      <c r="E62" s="446" t="str">
        <f ca="1">IF(ROWS($1:49)&gt;COUNT(Dong1),"",OFFSET(TH!F$1,SMALL(Dong1,ROWS($1:49)),))</f>
        <v>VAT Phí phân tích cá khô</v>
      </c>
      <c r="F62" s="181" t="str">
        <f ca="1">IF(ROWS($1:49)&gt;COUNT(Dong1),"",IF(OFFSET(TH!O$1,SMALL(Dong1,ROWS($1:49)),)="1111",OFFSET(TH!N$1,SMALL(Dong1,ROWS($1:49)),),OFFSET(TH!O$1,SMALL(Dong1,ROWS($1:49)),)))</f>
        <v>1331</v>
      </c>
      <c r="G62" s="182">
        <f ca="1">IF(ROWS($1:49)&gt;COUNT(Dong1),"",IF(OFFSET(TH!N$1,SMALL(Dong1,ROWS($1:49)),)="1111",OFFSET(TH!M$1,SMALL(Dong1,ROWS($1:49)),),0))</f>
        <v>0</v>
      </c>
      <c r="H62" s="180">
        <f ca="1">IF(ROWS($1:49)&gt;COUNT(Dong1),"",IF(OFFSET(TH!O$1,SMALL(Dong1,ROWS($1:49)),)="1111",OFFSET(TH!M$1,SMALL(Dong1,ROWS($1:49)),),0))</f>
        <v>20000</v>
      </c>
      <c r="I62" s="178">
        <f t="shared" ca="1" si="0"/>
        <v>5814157514</v>
      </c>
      <c r="J62" s="183"/>
    </row>
    <row r="63" spans="1:10" ht="19.5" customHeight="1">
      <c r="A63" s="177">
        <f ca="1">IF(ROWS($1:50)&gt;COUNT(Dong1),"",OFFSET(TH!C$1,SMALL(Dong1,ROWS($1:50)),))</f>
        <v>42384</v>
      </c>
      <c r="B63" s="177">
        <f ca="1">IF(ROWS($1:50)&gt;COUNT(Dong1),"",OFFSET(TH!E$1,SMALL(Dong1,ROWS($1:50)),))</f>
        <v>42384</v>
      </c>
      <c r="C63" s="178" t="str">
        <f ca="1">IF(ROWS($1:50)&gt;COUNT(Dong1),"",IF(OFFSET(TH!N$1,SMALL(Dong1,ROWS($1:50)),)="1111",OFFSET(TH!D$1,SMALL(Dong1,ROWS($1:50)),),""))</f>
        <v/>
      </c>
      <c r="D63" s="179" t="str">
        <f ca="1">IF(ROWS($1:50)&gt;COUNT(Dong1),"",IF(OFFSET(TH!O$1,SMALL(Dong1,ROWS($1:50)),)="1111",OFFSET(TH!D$1,SMALL(Dong1,ROWS($1:50)),),""))</f>
        <v>C26</v>
      </c>
      <c r="E63" s="446" t="str">
        <f ca="1">IF(ROWS($1:50)&gt;COUNT(Dong1),"",OFFSET(TH!F$1,SMALL(Dong1,ROWS($1:50)),))</f>
        <v>Bảo dưỡng xe 51F - 080.56</v>
      </c>
      <c r="F63" s="181" t="str">
        <f ca="1">IF(ROWS($1:50)&gt;COUNT(Dong1),"",IF(OFFSET(TH!O$1,SMALL(Dong1,ROWS($1:50)),)="1111",OFFSET(TH!N$1,SMALL(Dong1,ROWS($1:50)),),OFFSET(TH!O$1,SMALL(Dong1,ROWS($1:50)),)))</f>
        <v>642</v>
      </c>
      <c r="G63" s="182">
        <f ca="1">IF(ROWS($1:50)&gt;COUNT(Dong1),"",IF(OFFSET(TH!N$1,SMALL(Dong1,ROWS($1:50)),)="1111",OFFSET(TH!M$1,SMALL(Dong1,ROWS($1:50)),),0))</f>
        <v>0</v>
      </c>
      <c r="H63" s="180">
        <f ca="1">IF(ROWS($1:50)&gt;COUNT(Dong1),"",IF(OFFSET(TH!O$1,SMALL(Dong1,ROWS($1:50)),)="1111",OFFSET(TH!M$1,SMALL(Dong1,ROWS($1:50)),),0))</f>
        <v>17435800</v>
      </c>
      <c r="I63" s="178">
        <f t="shared" ca="1" si="0"/>
        <v>5796721714</v>
      </c>
      <c r="J63" s="183"/>
    </row>
    <row r="64" spans="1:10" ht="19.5" customHeight="1">
      <c r="A64" s="177">
        <f ca="1">IF(ROWS($1:51)&gt;COUNT(Dong1),"",OFFSET(TH!C$1,SMALL(Dong1,ROWS($1:51)),))</f>
        <v>42384</v>
      </c>
      <c r="B64" s="177">
        <f ca="1">IF(ROWS($1:51)&gt;COUNT(Dong1),"",OFFSET(TH!E$1,SMALL(Dong1,ROWS($1:51)),))</f>
        <v>42384</v>
      </c>
      <c r="C64" s="178" t="str">
        <f ca="1">IF(ROWS($1:51)&gt;COUNT(Dong1),"",IF(OFFSET(TH!N$1,SMALL(Dong1,ROWS($1:51)),)="1111",OFFSET(TH!D$1,SMALL(Dong1,ROWS($1:51)),),""))</f>
        <v/>
      </c>
      <c r="D64" s="179" t="str">
        <f ca="1">IF(ROWS($1:51)&gt;COUNT(Dong1),"",IF(OFFSET(TH!O$1,SMALL(Dong1,ROWS($1:51)),)="1111",OFFSET(TH!D$1,SMALL(Dong1,ROWS($1:51)),),""))</f>
        <v>C26</v>
      </c>
      <c r="E64" s="446" t="str">
        <f ca="1">IF(ROWS($1:51)&gt;COUNT(Dong1),"",OFFSET(TH!F$1,SMALL(Dong1,ROWS($1:51)),))</f>
        <v>VAT Bảo dưỡng xe 51F - 080.56</v>
      </c>
      <c r="F64" s="181" t="str">
        <f ca="1">IF(ROWS($1:51)&gt;COUNT(Dong1),"",IF(OFFSET(TH!O$1,SMALL(Dong1,ROWS($1:51)),)="1111",OFFSET(TH!N$1,SMALL(Dong1,ROWS($1:51)),),OFFSET(TH!O$1,SMALL(Dong1,ROWS($1:51)),)))</f>
        <v>1331</v>
      </c>
      <c r="G64" s="182">
        <f ca="1">IF(ROWS($1:51)&gt;COUNT(Dong1),"",IF(OFFSET(TH!N$1,SMALL(Dong1,ROWS($1:51)),)="1111",OFFSET(TH!M$1,SMALL(Dong1,ROWS($1:51)),),0))</f>
        <v>0</v>
      </c>
      <c r="H64" s="180">
        <f ca="1">IF(ROWS($1:51)&gt;COUNT(Dong1),"",IF(OFFSET(TH!O$1,SMALL(Dong1,ROWS($1:51)),)="1111",OFFSET(TH!M$1,SMALL(Dong1,ROWS($1:51)),),0))</f>
        <v>1743580</v>
      </c>
      <c r="I64" s="178">
        <f t="shared" ca="1" si="0"/>
        <v>5794978134</v>
      </c>
      <c r="J64" s="183"/>
    </row>
    <row r="65" spans="1:10" ht="19.5" customHeight="1">
      <c r="A65" s="177">
        <f ca="1">IF(ROWS($1:52)&gt;COUNT(Dong1),"",OFFSET(TH!C$1,SMALL(Dong1,ROWS($1:52)),))</f>
        <v>42387</v>
      </c>
      <c r="B65" s="177">
        <f ca="1">IF(ROWS($1:52)&gt;COUNT(Dong1),"",OFFSET(TH!E$1,SMALL(Dong1,ROWS($1:52)),))</f>
        <v>42387</v>
      </c>
      <c r="C65" s="178" t="str">
        <f ca="1">IF(ROWS($1:52)&gt;COUNT(Dong1),"",IF(OFFSET(TH!N$1,SMALL(Dong1,ROWS($1:52)),)="1111",OFFSET(TH!D$1,SMALL(Dong1,ROWS($1:52)),),""))</f>
        <v/>
      </c>
      <c r="D65" s="179" t="str">
        <f ca="1">IF(ROWS($1:52)&gt;COUNT(Dong1),"",IF(OFFSET(TH!O$1,SMALL(Dong1,ROWS($1:52)),)="1111",OFFSET(TH!D$1,SMALL(Dong1,ROWS($1:52)),),""))</f>
        <v>C27</v>
      </c>
      <c r="E65" s="446" t="str">
        <f ca="1">IF(ROWS($1:52)&gt;COUNT(Dong1),"",OFFSET(TH!F$1,SMALL(Dong1,ROWS($1:52)),))</f>
        <v>Dầu DO, Xăng</v>
      </c>
      <c r="F65" s="181" t="str">
        <f ca="1">IF(ROWS($1:52)&gt;COUNT(Dong1),"",IF(OFFSET(TH!O$1,SMALL(Dong1,ROWS($1:52)),)="1111",OFFSET(TH!N$1,SMALL(Dong1,ROWS($1:52)),),OFFSET(TH!O$1,SMALL(Dong1,ROWS($1:52)),)))</f>
        <v>642</v>
      </c>
      <c r="G65" s="182">
        <f ca="1">IF(ROWS($1:52)&gt;COUNT(Dong1),"",IF(OFFSET(TH!N$1,SMALL(Dong1,ROWS($1:52)),)="1111",OFFSET(TH!M$1,SMALL(Dong1,ROWS($1:52)),),0))</f>
        <v>0</v>
      </c>
      <c r="H65" s="180">
        <f ca="1">IF(ROWS($1:52)&gt;COUNT(Dong1),"",IF(OFFSET(TH!O$1,SMALL(Dong1,ROWS($1:52)),)="1111",OFFSET(TH!M$1,SMALL(Dong1,ROWS($1:52)),),0))</f>
        <v>1346136</v>
      </c>
      <c r="I65" s="178">
        <f t="shared" ca="1" si="0"/>
        <v>5793631998</v>
      </c>
      <c r="J65" s="183"/>
    </row>
    <row r="66" spans="1:10" ht="19.5" customHeight="1">
      <c r="A66" s="177">
        <f ca="1">IF(ROWS($1:53)&gt;COUNT(Dong1),"",OFFSET(TH!C$1,SMALL(Dong1,ROWS($1:53)),))</f>
        <v>42387</v>
      </c>
      <c r="B66" s="177">
        <f ca="1">IF(ROWS($1:53)&gt;COUNT(Dong1),"",OFFSET(TH!E$1,SMALL(Dong1,ROWS($1:53)),))</f>
        <v>42387</v>
      </c>
      <c r="C66" s="178" t="str">
        <f ca="1">IF(ROWS($1:53)&gt;COUNT(Dong1),"",IF(OFFSET(TH!N$1,SMALL(Dong1,ROWS($1:53)),)="1111",OFFSET(TH!D$1,SMALL(Dong1,ROWS($1:53)),),""))</f>
        <v/>
      </c>
      <c r="D66" s="179" t="str">
        <f ca="1">IF(ROWS($1:53)&gt;COUNT(Dong1),"",IF(OFFSET(TH!O$1,SMALL(Dong1,ROWS($1:53)),)="1111",OFFSET(TH!D$1,SMALL(Dong1,ROWS($1:53)),),""))</f>
        <v>C27</v>
      </c>
      <c r="E66" s="446" t="str">
        <f ca="1">IF(ROWS($1:53)&gt;COUNT(Dong1),"",OFFSET(TH!F$1,SMALL(Dong1,ROWS($1:53)),))</f>
        <v>VAT Dầu DO, Xăng</v>
      </c>
      <c r="F66" s="181" t="str">
        <f ca="1">IF(ROWS($1:53)&gt;COUNT(Dong1),"",IF(OFFSET(TH!O$1,SMALL(Dong1,ROWS($1:53)),)="1111",OFFSET(TH!N$1,SMALL(Dong1,ROWS($1:53)),),OFFSET(TH!O$1,SMALL(Dong1,ROWS($1:53)),)))</f>
        <v>1331</v>
      </c>
      <c r="G66" s="182">
        <f ca="1">IF(ROWS($1:53)&gt;COUNT(Dong1),"",IF(OFFSET(TH!N$1,SMALL(Dong1,ROWS($1:53)),)="1111",OFFSET(TH!M$1,SMALL(Dong1,ROWS($1:53)),),0))</f>
        <v>0</v>
      </c>
      <c r="H66" s="180">
        <f ca="1">IF(ROWS($1:53)&gt;COUNT(Dong1),"",IF(OFFSET(TH!O$1,SMALL(Dong1,ROWS($1:53)),)="1111",OFFSET(TH!M$1,SMALL(Dong1,ROWS($1:53)),),0))</f>
        <v>134614</v>
      </c>
      <c r="I66" s="178">
        <f t="shared" ca="1" si="0"/>
        <v>5793497384</v>
      </c>
      <c r="J66" s="183"/>
    </row>
    <row r="67" spans="1:10" ht="19.5" customHeight="1">
      <c r="A67" s="177">
        <f ca="1">IF(ROWS($1:54)&gt;COUNT(Dong1),"",OFFSET(TH!C$1,SMALL(Dong1,ROWS($1:54)),))</f>
        <v>42387</v>
      </c>
      <c r="B67" s="177">
        <f ca="1">IF(ROWS($1:54)&gt;COUNT(Dong1),"",OFFSET(TH!E$1,SMALL(Dong1,ROWS($1:54)),))</f>
        <v>42387</v>
      </c>
      <c r="C67" s="178" t="str">
        <f ca="1">IF(ROWS($1:54)&gt;COUNT(Dong1),"",IF(OFFSET(TH!N$1,SMALL(Dong1,ROWS($1:54)),)="1111",OFFSET(TH!D$1,SMALL(Dong1,ROWS($1:54)),),""))</f>
        <v/>
      </c>
      <c r="D67" s="179" t="str">
        <f ca="1">IF(ROWS($1:54)&gt;COUNT(Dong1),"",IF(OFFSET(TH!O$1,SMALL(Dong1,ROWS($1:54)),)="1111",OFFSET(TH!D$1,SMALL(Dong1,ROWS($1:54)),),""))</f>
        <v>C28</v>
      </c>
      <c r="E67" s="446" t="str">
        <f ca="1">IF(ROWS($1:54)&gt;COUNT(Dong1),"",OFFSET(TH!F$1,SMALL(Dong1,ROWS($1:54)),))</f>
        <v>Thanh toán tiền đường</v>
      </c>
      <c r="F67" s="181" t="str">
        <f ca="1">IF(ROWS($1:54)&gt;COUNT(Dong1),"",IF(OFFSET(TH!O$1,SMALL(Dong1,ROWS($1:54)),)="1111",OFFSET(TH!N$1,SMALL(Dong1,ROWS($1:54)),),OFFSET(TH!O$1,SMALL(Dong1,ROWS($1:54)),)))</f>
        <v>331</v>
      </c>
      <c r="G67" s="182">
        <f ca="1">IF(ROWS($1:54)&gt;COUNT(Dong1),"",IF(OFFSET(TH!N$1,SMALL(Dong1,ROWS($1:54)),)="1111",OFFSET(TH!M$1,SMALL(Dong1,ROWS($1:54)),),0))</f>
        <v>0</v>
      </c>
      <c r="H67" s="180">
        <f ca="1">IF(ROWS($1:54)&gt;COUNT(Dong1),"",IF(OFFSET(TH!O$1,SMALL(Dong1,ROWS($1:54)),)="1111",OFFSET(TH!M$1,SMALL(Dong1,ROWS($1:54)),),0))</f>
        <v>15250000</v>
      </c>
      <c r="I67" s="178">
        <f t="shared" ca="1" si="0"/>
        <v>5778247384</v>
      </c>
      <c r="J67" s="183"/>
    </row>
    <row r="68" spans="1:10" ht="19.5" customHeight="1">
      <c r="A68" s="177">
        <f ca="1">IF(ROWS($1:55)&gt;COUNT(Dong1),"",OFFSET(TH!C$1,SMALL(Dong1,ROWS($1:55)),))</f>
        <v>42388</v>
      </c>
      <c r="B68" s="177">
        <f ca="1">IF(ROWS($1:55)&gt;COUNT(Dong1),"",OFFSET(TH!E$1,SMALL(Dong1,ROWS($1:55)),))</f>
        <v>42388</v>
      </c>
      <c r="C68" s="178" t="str">
        <f ca="1">IF(ROWS($1:55)&gt;COUNT(Dong1),"",IF(OFFSET(TH!N$1,SMALL(Dong1,ROWS($1:55)),)="1111",OFFSET(TH!D$1,SMALL(Dong1,ROWS($1:55)),),""))</f>
        <v/>
      </c>
      <c r="D68" s="179" t="str">
        <f ca="1">IF(ROWS($1:55)&gt;COUNT(Dong1),"",IF(OFFSET(TH!O$1,SMALL(Dong1,ROWS($1:55)),)="1111",OFFSET(TH!D$1,SMALL(Dong1,ROWS($1:55)),),""))</f>
        <v>C29</v>
      </c>
      <c r="E68" s="446" t="str">
        <f ca="1">IF(ROWS($1:55)&gt;COUNT(Dong1),"",OFFSET(TH!F$1,SMALL(Dong1,ROWS($1:55)),))</f>
        <v>Xăng</v>
      </c>
      <c r="F68" s="181" t="str">
        <f ca="1">IF(ROWS($1:55)&gt;COUNT(Dong1),"",IF(OFFSET(TH!O$1,SMALL(Dong1,ROWS($1:55)),)="1111",OFFSET(TH!N$1,SMALL(Dong1,ROWS($1:55)),),OFFSET(TH!O$1,SMALL(Dong1,ROWS($1:55)),)))</f>
        <v>642</v>
      </c>
      <c r="G68" s="182">
        <f ca="1">IF(ROWS($1:55)&gt;COUNT(Dong1),"",IF(OFFSET(TH!N$1,SMALL(Dong1,ROWS($1:55)),)="1111",OFFSET(TH!M$1,SMALL(Dong1,ROWS($1:55)),),0))</f>
        <v>0</v>
      </c>
      <c r="H68" s="180">
        <f ca="1">IF(ROWS($1:55)&gt;COUNT(Dong1),"",IF(OFFSET(TH!O$1,SMALL(Dong1,ROWS($1:55)),)="1111",OFFSET(TH!M$1,SMALL(Dong1,ROWS($1:55)),),0))</f>
        <v>29145</v>
      </c>
      <c r="I68" s="178">
        <f t="shared" ca="1" si="0"/>
        <v>5778218239</v>
      </c>
      <c r="J68" s="183"/>
    </row>
    <row r="69" spans="1:10" ht="19.5" customHeight="1">
      <c r="A69" s="177">
        <f ca="1">IF(ROWS($1:56)&gt;COUNT(Dong1),"",OFFSET(TH!C$1,SMALL(Dong1,ROWS($1:56)),))</f>
        <v>42388</v>
      </c>
      <c r="B69" s="177">
        <f ca="1">IF(ROWS($1:56)&gt;COUNT(Dong1),"",OFFSET(TH!E$1,SMALL(Dong1,ROWS($1:56)),))</f>
        <v>42388</v>
      </c>
      <c r="C69" s="178" t="str">
        <f ca="1">IF(ROWS($1:56)&gt;COUNT(Dong1),"",IF(OFFSET(TH!N$1,SMALL(Dong1,ROWS($1:56)),)="1111",OFFSET(TH!D$1,SMALL(Dong1,ROWS($1:56)),),""))</f>
        <v/>
      </c>
      <c r="D69" s="179" t="str">
        <f ca="1">IF(ROWS($1:56)&gt;COUNT(Dong1),"",IF(OFFSET(TH!O$1,SMALL(Dong1,ROWS($1:56)),)="1111",OFFSET(TH!D$1,SMALL(Dong1,ROWS($1:56)),),""))</f>
        <v>C29</v>
      </c>
      <c r="E69" s="446" t="str">
        <f ca="1">IF(ROWS($1:56)&gt;COUNT(Dong1),"",OFFSET(TH!F$1,SMALL(Dong1,ROWS($1:56)),))</f>
        <v>VAT Xăng</v>
      </c>
      <c r="F69" s="181" t="str">
        <f ca="1">IF(ROWS($1:56)&gt;COUNT(Dong1),"",IF(OFFSET(TH!O$1,SMALL(Dong1,ROWS($1:56)),)="1111",OFFSET(TH!N$1,SMALL(Dong1,ROWS($1:56)),),OFFSET(TH!O$1,SMALL(Dong1,ROWS($1:56)),)))</f>
        <v>1331</v>
      </c>
      <c r="G69" s="182">
        <f ca="1">IF(ROWS($1:56)&gt;COUNT(Dong1),"",IF(OFFSET(TH!N$1,SMALL(Dong1,ROWS($1:56)),)="1111",OFFSET(TH!M$1,SMALL(Dong1,ROWS($1:56)),),0))</f>
        <v>0</v>
      </c>
      <c r="H69" s="180">
        <f ca="1">IF(ROWS($1:56)&gt;COUNT(Dong1),"",IF(OFFSET(TH!O$1,SMALL(Dong1,ROWS($1:56)),)="1111",OFFSET(TH!M$1,SMALL(Dong1,ROWS($1:56)),),0))</f>
        <v>2915</v>
      </c>
      <c r="I69" s="178">
        <f t="shared" ca="1" si="0"/>
        <v>5778215324</v>
      </c>
      <c r="J69" s="183"/>
    </row>
    <row r="70" spans="1:10" ht="19.5" customHeight="1">
      <c r="A70" s="177">
        <f ca="1">IF(ROWS($1:57)&gt;COUNT(Dong1),"",OFFSET(TH!C$1,SMALL(Dong1,ROWS($1:57)),))</f>
        <v>42389</v>
      </c>
      <c r="B70" s="177">
        <f ca="1">IF(ROWS($1:57)&gt;COUNT(Dong1),"",OFFSET(TH!E$1,SMALL(Dong1,ROWS($1:57)),))</f>
        <v>42389</v>
      </c>
      <c r="C70" s="178" t="str">
        <f ca="1">IF(ROWS($1:57)&gt;COUNT(Dong1),"",IF(OFFSET(TH!N$1,SMALL(Dong1,ROWS($1:57)),)="1111",OFFSET(TH!D$1,SMALL(Dong1,ROWS($1:57)),),""))</f>
        <v/>
      </c>
      <c r="D70" s="179" t="str">
        <f ca="1">IF(ROWS($1:57)&gt;COUNT(Dong1),"",IF(OFFSET(TH!O$1,SMALL(Dong1,ROWS($1:57)),)="1111",OFFSET(TH!D$1,SMALL(Dong1,ROWS($1:57)),),""))</f>
        <v>C30</v>
      </c>
      <c r="E70" s="446" t="str">
        <f ca="1">IF(ROWS($1:57)&gt;COUNT(Dong1),"",OFFSET(TH!F$1,SMALL(Dong1,ROWS($1:57)),))</f>
        <v>Xăng</v>
      </c>
      <c r="F70" s="181" t="str">
        <f ca="1">IF(ROWS($1:57)&gt;COUNT(Dong1),"",IF(OFFSET(TH!O$1,SMALL(Dong1,ROWS($1:57)),)="1111",OFFSET(TH!N$1,SMALL(Dong1,ROWS($1:57)),),OFFSET(TH!O$1,SMALL(Dong1,ROWS($1:57)),)))</f>
        <v>642</v>
      </c>
      <c r="G70" s="182">
        <f ca="1">IF(ROWS($1:57)&gt;COUNT(Dong1),"",IF(OFFSET(TH!N$1,SMALL(Dong1,ROWS($1:57)),)="1111",OFFSET(TH!M$1,SMALL(Dong1,ROWS($1:57)),),0))</f>
        <v>0</v>
      </c>
      <c r="H70" s="180">
        <f ca="1">IF(ROWS($1:57)&gt;COUNT(Dong1),"",IF(OFFSET(TH!O$1,SMALL(Dong1,ROWS($1:57)),)="1111",OFFSET(TH!M$1,SMALL(Dong1,ROWS($1:57)),),0))</f>
        <v>689618</v>
      </c>
      <c r="I70" s="178">
        <f t="shared" ca="1" si="0"/>
        <v>5777525706</v>
      </c>
      <c r="J70" s="183"/>
    </row>
    <row r="71" spans="1:10" ht="19.5" customHeight="1">
      <c r="A71" s="177">
        <f ca="1">IF(ROWS($1:58)&gt;COUNT(Dong1),"",OFFSET(TH!C$1,SMALL(Dong1,ROWS($1:58)),))</f>
        <v>42389</v>
      </c>
      <c r="B71" s="177">
        <f ca="1">IF(ROWS($1:58)&gt;COUNT(Dong1),"",OFFSET(TH!E$1,SMALL(Dong1,ROWS($1:58)),))</f>
        <v>42389</v>
      </c>
      <c r="C71" s="178" t="str">
        <f ca="1">IF(ROWS($1:58)&gt;COUNT(Dong1),"",IF(OFFSET(TH!N$1,SMALL(Dong1,ROWS($1:58)),)="1111",OFFSET(TH!D$1,SMALL(Dong1,ROWS($1:58)),),""))</f>
        <v/>
      </c>
      <c r="D71" s="179" t="str">
        <f ca="1">IF(ROWS($1:58)&gt;COUNT(Dong1),"",IF(OFFSET(TH!O$1,SMALL(Dong1,ROWS($1:58)),)="1111",OFFSET(TH!D$1,SMALL(Dong1,ROWS($1:58)),),""))</f>
        <v>C30</v>
      </c>
      <c r="E71" s="446" t="str">
        <f ca="1">IF(ROWS($1:58)&gt;COUNT(Dong1),"",OFFSET(TH!F$1,SMALL(Dong1,ROWS($1:58)),))</f>
        <v>VAT Xăng</v>
      </c>
      <c r="F71" s="181" t="str">
        <f ca="1">IF(ROWS($1:58)&gt;COUNT(Dong1),"",IF(OFFSET(TH!O$1,SMALL(Dong1,ROWS($1:58)),)="1111",OFFSET(TH!N$1,SMALL(Dong1,ROWS($1:58)),),OFFSET(TH!O$1,SMALL(Dong1,ROWS($1:58)),)))</f>
        <v>1331</v>
      </c>
      <c r="G71" s="182">
        <f ca="1">IF(ROWS($1:58)&gt;COUNT(Dong1),"",IF(OFFSET(TH!N$1,SMALL(Dong1,ROWS($1:58)),)="1111",OFFSET(TH!M$1,SMALL(Dong1,ROWS($1:58)),),0))</f>
        <v>0</v>
      </c>
      <c r="H71" s="180">
        <f ca="1">IF(ROWS($1:58)&gt;COUNT(Dong1),"",IF(OFFSET(TH!O$1,SMALL(Dong1,ROWS($1:58)),)="1111",OFFSET(TH!M$1,SMALL(Dong1,ROWS($1:58)),),0))</f>
        <v>68962</v>
      </c>
      <c r="I71" s="178">
        <f t="shared" ca="1" si="0"/>
        <v>5777456744</v>
      </c>
      <c r="J71" s="183"/>
    </row>
    <row r="72" spans="1:10" ht="19.5" customHeight="1">
      <c r="A72" s="177">
        <f ca="1">IF(ROWS($1:59)&gt;COUNT(Dong1),"",OFFSET(TH!C$1,SMALL(Dong1,ROWS($1:59)),))</f>
        <v>42390</v>
      </c>
      <c r="B72" s="177">
        <f ca="1">IF(ROWS($1:59)&gt;COUNT(Dong1),"",OFFSET(TH!E$1,SMALL(Dong1,ROWS($1:59)),))</f>
        <v>42390</v>
      </c>
      <c r="C72" s="178" t="str">
        <f ca="1">IF(ROWS($1:59)&gt;COUNT(Dong1),"",IF(OFFSET(TH!N$1,SMALL(Dong1,ROWS($1:59)),)="1111",OFFSET(TH!D$1,SMALL(Dong1,ROWS($1:59)),),""))</f>
        <v/>
      </c>
      <c r="D72" s="179" t="str">
        <f ca="1">IF(ROWS($1:59)&gt;COUNT(Dong1),"",IF(OFFSET(TH!O$1,SMALL(Dong1,ROWS($1:59)),)="1111",OFFSET(TH!D$1,SMALL(Dong1,ROWS($1:59)),),""))</f>
        <v>C31</v>
      </c>
      <c r="E72" s="446" t="str">
        <f ca="1">IF(ROWS($1:59)&gt;COUNT(Dong1),"",OFFSET(TH!F$1,SMALL(Dong1,ROWS($1:59)),))</f>
        <v>Dầu DO</v>
      </c>
      <c r="F72" s="181" t="str">
        <f ca="1">IF(ROWS($1:59)&gt;COUNT(Dong1),"",IF(OFFSET(TH!O$1,SMALL(Dong1,ROWS($1:59)),)="1111",OFFSET(TH!N$1,SMALL(Dong1,ROWS($1:59)),),OFFSET(TH!O$1,SMALL(Dong1,ROWS($1:59)),)))</f>
        <v>642</v>
      </c>
      <c r="G72" s="182">
        <f ca="1">IF(ROWS($1:59)&gt;COUNT(Dong1),"",IF(OFFSET(TH!N$1,SMALL(Dong1,ROWS($1:59)),)="1111",OFFSET(TH!M$1,SMALL(Dong1,ROWS($1:59)),),0))</f>
        <v>0</v>
      </c>
      <c r="H72" s="180">
        <f ca="1">IF(ROWS($1:59)&gt;COUNT(Dong1),"",IF(OFFSET(TH!O$1,SMALL(Dong1,ROWS($1:59)),)="1111",OFFSET(TH!M$1,SMALL(Dong1,ROWS($1:59)),),0))</f>
        <v>380182</v>
      </c>
      <c r="I72" s="178">
        <f t="shared" ca="1" si="0"/>
        <v>5777076562</v>
      </c>
      <c r="J72" s="183"/>
    </row>
    <row r="73" spans="1:10" ht="19.5" customHeight="1">
      <c r="A73" s="177">
        <f ca="1">IF(ROWS($1:60)&gt;COUNT(Dong1),"",OFFSET(TH!C$1,SMALL(Dong1,ROWS($1:60)),))</f>
        <v>42390</v>
      </c>
      <c r="B73" s="177">
        <f ca="1">IF(ROWS($1:60)&gt;COUNT(Dong1),"",OFFSET(TH!E$1,SMALL(Dong1,ROWS($1:60)),))</f>
        <v>42390</v>
      </c>
      <c r="C73" s="178" t="str">
        <f ca="1">IF(ROWS($1:60)&gt;COUNT(Dong1),"",IF(OFFSET(TH!N$1,SMALL(Dong1,ROWS($1:60)),)="1111",OFFSET(TH!D$1,SMALL(Dong1,ROWS($1:60)),),""))</f>
        <v/>
      </c>
      <c r="D73" s="179" t="str">
        <f ca="1">IF(ROWS($1:60)&gt;COUNT(Dong1),"",IF(OFFSET(TH!O$1,SMALL(Dong1,ROWS($1:60)),)="1111",OFFSET(TH!D$1,SMALL(Dong1,ROWS($1:60)),),""))</f>
        <v>C31</v>
      </c>
      <c r="E73" s="446" t="str">
        <f ca="1">IF(ROWS($1:60)&gt;COUNT(Dong1),"",OFFSET(TH!F$1,SMALL(Dong1,ROWS($1:60)),))</f>
        <v>VAT Dầu DO</v>
      </c>
      <c r="F73" s="181" t="str">
        <f ca="1">IF(ROWS($1:60)&gt;COUNT(Dong1),"",IF(OFFSET(TH!O$1,SMALL(Dong1,ROWS($1:60)),)="1111",OFFSET(TH!N$1,SMALL(Dong1,ROWS($1:60)),),OFFSET(TH!O$1,SMALL(Dong1,ROWS($1:60)),)))</f>
        <v>1331</v>
      </c>
      <c r="G73" s="182">
        <f ca="1">IF(ROWS($1:60)&gt;COUNT(Dong1),"",IF(OFFSET(TH!N$1,SMALL(Dong1,ROWS($1:60)),)="1111",OFFSET(TH!M$1,SMALL(Dong1,ROWS($1:60)),),0))</f>
        <v>0</v>
      </c>
      <c r="H73" s="180">
        <f ca="1">IF(ROWS($1:60)&gt;COUNT(Dong1),"",IF(OFFSET(TH!O$1,SMALL(Dong1,ROWS($1:60)),)="1111",OFFSET(TH!M$1,SMALL(Dong1,ROWS($1:60)),),0))</f>
        <v>38018</v>
      </c>
      <c r="I73" s="178">
        <f t="shared" ca="1" si="0"/>
        <v>5777038544</v>
      </c>
      <c r="J73" s="183"/>
    </row>
    <row r="74" spans="1:10" ht="19.5" customHeight="1">
      <c r="A74" s="177">
        <f ca="1">IF(ROWS($1:61)&gt;COUNT(Dong1),"",OFFSET(TH!C$1,SMALL(Dong1,ROWS($1:61)),))</f>
        <v>42391</v>
      </c>
      <c r="B74" s="177">
        <f ca="1">IF(ROWS($1:61)&gt;COUNT(Dong1),"",OFFSET(TH!E$1,SMALL(Dong1,ROWS($1:61)),))</f>
        <v>42391</v>
      </c>
      <c r="C74" s="178" t="str">
        <f ca="1">IF(ROWS($1:61)&gt;COUNT(Dong1),"",IF(OFFSET(TH!N$1,SMALL(Dong1,ROWS($1:61)),)="1111",OFFSET(TH!D$1,SMALL(Dong1,ROWS($1:61)),),""))</f>
        <v/>
      </c>
      <c r="D74" s="179" t="str">
        <f ca="1">IF(ROWS($1:61)&gt;COUNT(Dong1),"",IF(OFFSET(TH!O$1,SMALL(Dong1,ROWS($1:61)),)="1111",OFFSET(TH!D$1,SMALL(Dong1,ROWS($1:61)),),""))</f>
        <v>C32</v>
      </c>
      <c r="E74" s="446" t="str">
        <f ca="1">IF(ROWS($1:61)&gt;COUNT(Dong1),"",OFFSET(TH!F$1,SMALL(Dong1,ROWS($1:61)),))</f>
        <v>Q4 - Nộp tiền mặt vào TK</v>
      </c>
      <c r="F74" s="181" t="str">
        <f ca="1">IF(ROWS($1:61)&gt;COUNT(Dong1),"",IF(OFFSET(TH!O$1,SMALL(Dong1,ROWS($1:61)),)="1111",OFFSET(TH!N$1,SMALL(Dong1,ROWS($1:61)),),OFFSET(TH!O$1,SMALL(Dong1,ROWS($1:61)),)))</f>
        <v>1121</v>
      </c>
      <c r="G74" s="182">
        <f ca="1">IF(ROWS($1:61)&gt;COUNT(Dong1),"",IF(OFFSET(TH!N$1,SMALL(Dong1,ROWS($1:61)),)="1111",OFFSET(TH!M$1,SMALL(Dong1,ROWS($1:61)),),0))</f>
        <v>0</v>
      </c>
      <c r="H74" s="180">
        <f ca="1">IF(ROWS($1:61)&gt;COUNT(Dong1),"",IF(OFFSET(TH!O$1,SMALL(Dong1,ROWS($1:61)),)="1111",OFFSET(TH!M$1,SMALL(Dong1,ROWS($1:61)),),0))</f>
        <v>20000000</v>
      </c>
      <c r="I74" s="178">
        <f t="shared" ca="1" si="0"/>
        <v>5757038544</v>
      </c>
      <c r="J74" s="183"/>
    </row>
    <row r="75" spans="1:10" ht="19.5" customHeight="1">
      <c r="A75" s="177">
        <f ca="1">IF(ROWS($1:62)&gt;COUNT(Dong1),"",OFFSET(TH!C$1,SMALL(Dong1,ROWS($1:62)),))</f>
        <v>42393</v>
      </c>
      <c r="B75" s="177">
        <f ca="1">IF(ROWS($1:62)&gt;COUNT(Dong1),"",OFFSET(TH!E$1,SMALL(Dong1,ROWS($1:62)),))</f>
        <v>42393</v>
      </c>
      <c r="C75" s="178" t="str">
        <f ca="1">IF(ROWS($1:62)&gt;COUNT(Dong1),"",IF(OFFSET(TH!N$1,SMALL(Dong1,ROWS($1:62)),)="1111",OFFSET(TH!D$1,SMALL(Dong1,ROWS($1:62)),),""))</f>
        <v/>
      </c>
      <c r="D75" s="179" t="str">
        <f ca="1">IF(ROWS($1:62)&gt;COUNT(Dong1),"",IF(OFFSET(TH!O$1,SMALL(Dong1,ROWS($1:62)),)="1111",OFFSET(TH!D$1,SMALL(Dong1,ROWS($1:62)),),""))</f>
        <v>C33</v>
      </c>
      <c r="E75" s="446" t="str">
        <f ca="1">IF(ROWS($1:62)&gt;COUNT(Dong1),"",OFFSET(TH!F$1,SMALL(Dong1,ROWS($1:62)),))</f>
        <v>Dầu DO, Xăng</v>
      </c>
      <c r="F75" s="181" t="str">
        <f ca="1">IF(ROWS($1:62)&gt;COUNT(Dong1),"",IF(OFFSET(TH!O$1,SMALL(Dong1,ROWS($1:62)),)="1111",OFFSET(TH!N$1,SMALL(Dong1,ROWS($1:62)),),OFFSET(TH!O$1,SMALL(Dong1,ROWS($1:62)),)))</f>
        <v>642</v>
      </c>
      <c r="G75" s="182">
        <f ca="1">IF(ROWS($1:62)&gt;COUNT(Dong1),"",IF(OFFSET(TH!N$1,SMALL(Dong1,ROWS($1:62)),)="1111",OFFSET(TH!M$1,SMALL(Dong1,ROWS($1:62)),),0))</f>
        <v>0</v>
      </c>
      <c r="H75" s="180">
        <f ca="1">IF(ROWS($1:62)&gt;COUNT(Dong1),"",IF(OFFSET(TH!O$1,SMALL(Dong1,ROWS($1:62)),)="1111",OFFSET(TH!M$1,SMALL(Dong1,ROWS($1:62)),),0))</f>
        <v>1137764</v>
      </c>
      <c r="I75" s="178">
        <f t="shared" ca="1" si="0"/>
        <v>5755900780</v>
      </c>
      <c r="J75" s="183"/>
    </row>
    <row r="76" spans="1:10" ht="19.5" customHeight="1">
      <c r="A76" s="177">
        <f ca="1">IF(ROWS($1:63)&gt;COUNT(Dong1),"",OFFSET(TH!C$1,SMALL(Dong1,ROWS($1:63)),))</f>
        <v>42393</v>
      </c>
      <c r="B76" s="177">
        <f ca="1">IF(ROWS($1:63)&gt;COUNT(Dong1),"",OFFSET(TH!E$1,SMALL(Dong1,ROWS($1:63)),))</f>
        <v>42393</v>
      </c>
      <c r="C76" s="178" t="str">
        <f ca="1">IF(ROWS($1:63)&gt;COUNT(Dong1),"",IF(OFFSET(TH!N$1,SMALL(Dong1,ROWS($1:63)),)="1111",OFFSET(TH!D$1,SMALL(Dong1,ROWS($1:63)),),""))</f>
        <v/>
      </c>
      <c r="D76" s="179" t="str">
        <f ca="1">IF(ROWS($1:63)&gt;COUNT(Dong1),"",IF(OFFSET(TH!O$1,SMALL(Dong1,ROWS($1:63)),)="1111",OFFSET(TH!D$1,SMALL(Dong1,ROWS($1:63)),),""))</f>
        <v>C33</v>
      </c>
      <c r="E76" s="446" t="str">
        <f ca="1">IF(ROWS($1:63)&gt;COUNT(Dong1),"",OFFSET(TH!F$1,SMALL(Dong1,ROWS($1:63)),))</f>
        <v>VAT Dầu DO, Xăng</v>
      </c>
      <c r="F76" s="181" t="str">
        <f ca="1">IF(ROWS($1:63)&gt;COUNT(Dong1),"",IF(OFFSET(TH!O$1,SMALL(Dong1,ROWS($1:63)),)="1111",OFFSET(TH!N$1,SMALL(Dong1,ROWS($1:63)),),OFFSET(TH!O$1,SMALL(Dong1,ROWS($1:63)),)))</f>
        <v>1331</v>
      </c>
      <c r="G76" s="182">
        <f ca="1">IF(ROWS($1:63)&gt;COUNT(Dong1),"",IF(OFFSET(TH!N$1,SMALL(Dong1,ROWS($1:63)),)="1111",OFFSET(TH!M$1,SMALL(Dong1,ROWS($1:63)),),0))</f>
        <v>0</v>
      </c>
      <c r="H76" s="180">
        <f ca="1">IF(ROWS($1:63)&gt;COUNT(Dong1),"",IF(OFFSET(TH!O$1,SMALL(Dong1,ROWS($1:63)),)="1111",OFFSET(TH!M$1,SMALL(Dong1,ROWS($1:63)),),0))</f>
        <v>113776</v>
      </c>
      <c r="I76" s="178">
        <f t="shared" ca="1" si="0"/>
        <v>5755787004</v>
      </c>
      <c r="J76" s="183"/>
    </row>
    <row r="77" spans="1:10" ht="19.5" customHeight="1">
      <c r="A77" s="177">
        <f ca="1">IF(ROWS($1:64)&gt;COUNT(Dong1),"",OFFSET(TH!C$1,SMALL(Dong1,ROWS($1:64)),))</f>
        <v>42394</v>
      </c>
      <c r="B77" s="177">
        <f ca="1">IF(ROWS($1:64)&gt;COUNT(Dong1),"",OFFSET(TH!E$1,SMALL(Dong1,ROWS($1:64)),))</f>
        <v>42394</v>
      </c>
      <c r="C77" s="178" t="str">
        <f ca="1">IF(ROWS($1:64)&gt;COUNT(Dong1),"",IF(OFFSET(TH!N$1,SMALL(Dong1,ROWS($1:64)),)="1111",OFFSET(TH!D$1,SMALL(Dong1,ROWS($1:64)),),""))</f>
        <v/>
      </c>
      <c r="D77" s="179" t="str">
        <f ca="1">IF(ROWS($1:64)&gt;COUNT(Dong1),"",IF(OFFSET(TH!O$1,SMALL(Dong1,ROWS($1:64)),)="1111",OFFSET(TH!D$1,SMALL(Dong1,ROWS($1:64)),),""))</f>
        <v>C34</v>
      </c>
      <c r="E77" s="446" t="str">
        <f ca="1">IF(ROWS($1:64)&gt;COUNT(Dong1),"",OFFSET(TH!F$1,SMALL(Dong1,ROWS($1:64)),))</f>
        <v>Q11 - Nộp tiền mặt vào TK</v>
      </c>
      <c r="F77" s="181" t="str">
        <f ca="1">IF(ROWS($1:64)&gt;COUNT(Dong1),"",IF(OFFSET(TH!O$1,SMALL(Dong1,ROWS($1:64)),)="1111",OFFSET(TH!N$1,SMALL(Dong1,ROWS($1:64)),),OFFSET(TH!O$1,SMALL(Dong1,ROWS($1:64)),)))</f>
        <v>1121</v>
      </c>
      <c r="G77" s="182">
        <f ca="1">IF(ROWS($1:64)&gt;COUNT(Dong1),"",IF(OFFSET(TH!N$1,SMALL(Dong1,ROWS($1:64)),)="1111",OFFSET(TH!M$1,SMALL(Dong1,ROWS($1:64)),),0))</f>
        <v>0</v>
      </c>
      <c r="H77" s="180">
        <f ca="1">IF(ROWS($1:64)&gt;COUNT(Dong1),"",IF(OFFSET(TH!O$1,SMALL(Dong1,ROWS($1:64)),)="1111",OFFSET(TH!M$1,SMALL(Dong1,ROWS($1:64)),),0))</f>
        <v>2168920000</v>
      </c>
      <c r="I77" s="178">
        <f t="shared" ca="1" si="0"/>
        <v>3586867004</v>
      </c>
      <c r="J77" s="183"/>
    </row>
    <row r="78" spans="1:10" ht="19.5" customHeight="1">
      <c r="A78" s="177">
        <f ca="1">IF(ROWS($1:65)&gt;COUNT(Dong1),"",OFFSET(TH!C$1,SMALL(Dong1,ROWS($1:65)),))</f>
        <v>42394</v>
      </c>
      <c r="B78" s="177">
        <f ca="1">IF(ROWS($1:65)&gt;COUNT(Dong1),"",OFFSET(TH!E$1,SMALL(Dong1,ROWS($1:65)),))</f>
        <v>42394</v>
      </c>
      <c r="C78" s="178" t="str">
        <f ca="1">IF(ROWS($1:65)&gt;COUNT(Dong1),"",IF(OFFSET(TH!N$1,SMALL(Dong1,ROWS($1:65)),)="1111",OFFSET(TH!D$1,SMALL(Dong1,ROWS($1:65)),),""))</f>
        <v>T03</v>
      </c>
      <c r="D78" s="179" t="str">
        <f ca="1">IF(ROWS($1:65)&gt;COUNT(Dong1),"",IF(OFFSET(TH!O$1,SMALL(Dong1,ROWS($1:65)),)="1111",OFFSET(TH!D$1,SMALL(Dong1,ROWS($1:65)),),""))</f>
        <v/>
      </c>
      <c r="E78" s="446" t="str">
        <f ca="1">IF(ROWS($1:65)&gt;COUNT(Dong1),"",OFFSET(TH!F$1,SMALL(Dong1,ROWS($1:65)),))</f>
        <v>Q11 - Rút tiền gửi NH nhập quỹ TM</v>
      </c>
      <c r="F78" s="181" t="str">
        <f ca="1">IF(ROWS($1:65)&gt;COUNT(Dong1),"",IF(OFFSET(TH!O$1,SMALL(Dong1,ROWS($1:65)),)="1111",OFFSET(TH!N$1,SMALL(Dong1,ROWS($1:65)),),OFFSET(TH!O$1,SMALL(Dong1,ROWS($1:65)),)))</f>
        <v>1121</v>
      </c>
      <c r="G78" s="182">
        <f ca="1">IF(ROWS($1:65)&gt;COUNT(Dong1),"",IF(OFFSET(TH!N$1,SMALL(Dong1,ROWS($1:65)),)="1111",OFFSET(TH!M$1,SMALL(Dong1,ROWS($1:65)),),0))</f>
        <v>2168920000</v>
      </c>
      <c r="H78" s="180">
        <f ca="1">IF(ROWS($1:65)&gt;COUNT(Dong1),"",IF(OFFSET(TH!O$1,SMALL(Dong1,ROWS($1:65)),)="1111",OFFSET(TH!M$1,SMALL(Dong1,ROWS($1:65)),),0))</f>
        <v>0</v>
      </c>
      <c r="I78" s="178">
        <f t="shared" ca="1" si="0"/>
        <v>5755787004</v>
      </c>
      <c r="J78" s="183"/>
    </row>
    <row r="79" spans="1:10" ht="19.5" customHeight="1">
      <c r="A79" s="177">
        <f ca="1">IF(ROWS($1:66)&gt;COUNT(Dong1),"",OFFSET(TH!C$1,SMALL(Dong1,ROWS($1:66)),))</f>
        <v>42394</v>
      </c>
      <c r="B79" s="177">
        <f ca="1">IF(ROWS($1:66)&gt;COUNT(Dong1),"",OFFSET(TH!E$1,SMALL(Dong1,ROWS($1:66)),))</f>
        <v>42394</v>
      </c>
      <c r="C79" s="178" t="str">
        <f ca="1">IF(ROWS($1:66)&gt;COUNT(Dong1),"",IF(OFFSET(TH!N$1,SMALL(Dong1,ROWS($1:66)),)="1111",OFFSET(TH!D$1,SMALL(Dong1,ROWS($1:66)),),""))</f>
        <v/>
      </c>
      <c r="D79" s="179" t="str">
        <f ca="1">IF(ROWS($1:66)&gt;COUNT(Dong1),"",IF(OFFSET(TH!O$1,SMALL(Dong1,ROWS($1:66)),)="1111",OFFSET(TH!D$1,SMALL(Dong1,ROWS($1:66)),),""))</f>
        <v>C35</v>
      </c>
      <c r="E79" s="446" t="str">
        <f ca="1">IF(ROWS($1:66)&gt;COUNT(Dong1),"",OFFSET(TH!F$1,SMALL(Dong1,ROWS($1:66)),))</f>
        <v>Phí dịch vụ bảo vệ T1/2016</v>
      </c>
      <c r="F79" s="181" t="str">
        <f ca="1">IF(ROWS($1:66)&gt;COUNT(Dong1),"",IF(OFFSET(TH!O$1,SMALL(Dong1,ROWS($1:66)),)="1111",OFFSET(TH!N$1,SMALL(Dong1,ROWS($1:66)),),OFFSET(TH!O$1,SMALL(Dong1,ROWS($1:66)),)))</f>
        <v>642</v>
      </c>
      <c r="G79" s="182">
        <f ca="1">IF(ROWS($1:66)&gt;COUNT(Dong1),"",IF(OFFSET(TH!N$1,SMALL(Dong1,ROWS($1:66)),)="1111",OFFSET(TH!M$1,SMALL(Dong1,ROWS($1:66)),),0))</f>
        <v>0</v>
      </c>
      <c r="H79" s="180">
        <f ca="1">IF(ROWS($1:66)&gt;COUNT(Dong1),"",IF(OFFSET(TH!O$1,SMALL(Dong1,ROWS($1:66)),)="1111",OFFSET(TH!M$1,SMALL(Dong1,ROWS($1:66)),),0))</f>
        <v>15000000</v>
      </c>
      <c r="I79" s="178">
        <f t="shared" ref="I79:I100" ca="1" si="1">IF(E79&lt;&gt;"",I78+G79-H79,0)</f>
        <v>5740787004</v>
      </c>
      <c r="J79" s="183"/>
    </row>
    <row r="80" spans="1:10" ht="19.5" customHeight="1">
      <c r="A80" s="177">
        <f ca="1">IF(ROWS($1:67)&gt;COUNT(Dong1),"",OFFSET(TH!C$1,SMALL(Dong1,ROWS($1:67)),))</f>
        <v>42394</v>
      </c>
      <c r="B80" s="177">
        <f ca="1">IF(ROWS($1:67)&gt;COUNT(Dong1),"",OFFSET(TH!E$1,SMALL(Dong1,ROWS($1:67)),))</f>
        <v>42394</v>
      </c>
      <c r="C80" s="178" t="str">
        <f ca="1">IF(ROWS($1:67)&gt;COUNT(Dong1),"",IF(OFFSET(TH!N$1,SMALL(Dong1,ROWS($1:67)),)="1111",OFFSET(TH!D$1,SMALL(Dong1,ROWS($1:67)),),""))</f>
        <v/>
      </c>
      <c r="D80" s="179" t="str">
        <f ca="1">IF(ROWS($1:67)&gt;COUNT(Dong1),"",IF(OFFSET(TH!O$1,SMALL(Dong1,ROWS($1:67)),)="1111",OFFSET(TH!D$1,SMALL(Dong1,ROWS($1:67)),),""))</f>
        <v>C35</v>
      </c>
      <c r="E80" s="446" t="str">
        <f ca="1">IF(ROWS($1:67)&gt;COUNT(Dong1),"",OFFSET(TH!F$1,SMALL(Dong1,ROWS($1:67)),))</f>
        <v>VAT Phí dịch vụ bảo vệ T1/2016</v>
      </c>
      <c r="F80" s="181" t="str">
        <f ca="1">IF(ROWS($1:67)&gt;COUNT(Dong1),"",IF(OFFSET(TH!O$1,SMALL(Dong1,ROWS($1:67)),)="1111",OFFSET(TH!N$1,SMALL(Dong1,ROWS($1:67)),),OFFSET(TH!O$1,SMALL(Dong1,ROWS($1:67)),)))</f>
        <v>1331</v>
      </c>
      <c r="G80" s="182">
        <f ca="1">IF(ROWS($1:67)&gt;COUNT(Dong1),"",IF(OFFSET(TH!N$1,SMALL(Dong1,ROWS($1:67)),)="1111",OFFSET(TH!M$1,SMALL(Dong1,ROWS($1:67)),),0))</f>
        <v>0</v>
      </c>
      <c r="H80" s="180">
        <f ca="1">IF(ROWS($1:67)&gt;COUNT(Dong1),"",IF(OFFSET(TH!O$1,SMALL(Dong1,ROWS($1:67)),)="1111",OFFSET(TH!M$1,SMALL(Dong1,ROWS($1:67)),),0))</f>
        <v>1500000</v>
      </c>
      <c r="I80" s="178">
        <f t="shared" ca="1" si="1"/>
        <v>5739287004</v>
      </c>
      <c r="J80" s="183"/>
    </row>
    <row r="81" spans="1:10" ht="19.5" customHeight="1">
      <c r="A81" s="177">
        <f ca="1">IF(ROWS($1:68)&gt;COUNT(Dong1),"",OFFSET(TH!C$1,SMALL(Dong1,ROWS($1:68)),))</f>
        <v>42395</v>
      </c>
      <c r="B81" s="177">
        <f ca="1">IF(ROWS($1:68)&gt;COUNT(Dong1),"",OFFSET(TH!E$1,SMALL(Dong1,ROWS($1:68)),))</f>
        <v>42395</v>
      </c>
      <c r="C81" s="178" t="str">
        <f ca="1">IF(ROWS($1:68)&gt;COUNT(Dong1),"",IF(OFFSET(TH!N$1,SMALL(Dong1,ROWS($1:68)),)="1111",OFFSET(TH!D$1,SMALL(Dong1,ROWS($1:68)),),""))</f>
        <v/>
      </c>
      <c r="D81" s="179" t="str">
        <f ca="1">IF(ROWS($1:68)&gt;COUNT(Dong1),"",IF(OFFSET(TH!O$1,SMALL(Dong1,ROWS($1:68)),)="1111",OFFSET(TH!D$1,SMALL(Dong1,ROWS($1:68)),),""))</f>
        <v>C36</v>
      </c>
      <c r="E81" s="446" t="str">
        <f ca="1">IF(ROWS($1:68)&gt;COUNT(Dong1),"",OFFSET(TH!F$1,SMALL(Dong1,ROWS($1:68)),))</f>
        <v>Q11 - Nộp tiền mặt vào TK</v>
      </c>
      <c r="F81" s="181" t="str">
        <f ca="1">IF(ROWS($1:68)&gt;COUNT(Dong1),"",IF(OFFSET(TH!O$1,SMALL(Dong1,ROWS($1:68)),)="1111",OFFSET(TH!N$1,SMALL(Dong1,ROWS($1:68)),),OFFSET(TH!O$1,SMALL(Dong1,ROWS($1:68)),)))</f>
        <v>1121</v>
      </c>
      <c r="G81" s="182">
        <f ca="1">IF(ROWS($1:68)&gt;COUNT(Dong1),"",IF(OFFSET(TH!N$1,SMALL(Dong1,ROWS($1:68)),)="1111",OFFSET(TH!M$1,SMALL(Dong1,ROWS($1:68)),),0))</f>
        <v>0</v>
      </c>
      <c r="H81" s="180">
        <f ca="1">IF(ROWS($1:68)&gt;COUNT(Dong1),"",IF(OFFSET(TH!O$1,SMALL(Dong1,ROWS($1:68)),)="1111",OFFSET(TH!M$1,SMALL(Dong1,ROWS($1:68)),),0))</f>
        <v>45000000</v>
      </c>
      <c r="I81" s="178">
        <f t="shared" ca="1" si="1"/>
        <v>5694287004</v>
      </c>
      <c r="J81" s="183"/>
    </row>
    <row r="82" spans="1:10" ht="19.5" customHeight="1">
      <c r="A82" s="177">
        <f ca="1">IF(ROWS($1:69)&gt;COUNT(Dong1),"",OFFSET(TH!C$1,SMALL(Dong1,ROWS($1:69)),))</f>
        <v>42396</v>
      </c>
      <c r="B82" s="177">
        <f ca="1">IF(ROWS($1:69)&gt;COUNT(Dong1),"",OFFSET(TH!E$1,SMALL(Dong1,ROWS($1:69)),))</f>
        <v>42396</v>
      </c>
      <c r="C82" s="178" t="str">
        <f ca="1">IF(ROWS($1:69)&gt;COUNT(Dong1),"",IF(OFFSET(TH!N$1,SMALL(Dong1,ROWS($1:69)),)="1111",OFFSET(TH!D$1,SMALL(Dong1,ROWS($1:69)),),""))</f>
        <v>T04</v>
      </c>
      <c r="D82" s="179" t="str">
        <f ca="1">IF(ROWS($1:69)&gt;COUNT(Dong1),"",IF(OFFSET(TH!O$1,SMALL(Dong1,ROWS($1:69)),)="1111",OFFSET(TH!D$1,SMALL(Dong1,ROWS($1:69)),),""))</f>
        <v/>
      </c>
      <c r="E82" s="446" t="str">
        <f ca="1">IF(ROWS($1:69)&gt;COUNT(Dong1),"",OFFSET(TH!F$1,SMALL(Dong1,ROWS($1:69)),))</f>
        <v>Q11 - Rút tiền gửi NH nhập quỹ TM</v>
      </c>
      <c r="F82" s="181" t="str">
        <f ca="1">IF(ROWS($1:69)&gt;COUNT(Dong1),"",IF(OFFSET(TH!O$1,SMALL(Dong1,ROWS($1:69)),)="1111",OFFSET(TH!N$1,SMALL(Dong1,ROWS($1:69)),),OFFSET(TH!O$1,SMALL(Dong1,ROWS($1:69)),)))</f>
        <v>1121</v>
      </c>
      <c r="G82" s="182">
        <f ca="1">IF(ROWS($1:69)&gt;COUNT(Dong1),"",IF(OFFSET(TH!N$1,SMALL(Dong1,ROWS($1:69)),)="1111",OFFSET(TH!M$1,SMALL(Dong1,ROWS($1:69)),),0))</f>
        <v>850000000</v>
      </c>
      <c r="H82" s="180">
        <f ca="1">IF(ROWS($1:69)&gt;COUNT(Dong1),"",IF(OFFSET(TH!O$1,SMALL(Dong1,ROWS($1:69)),)="1111",OFFSET(TH!M$1,SMALL(Dong1,ROWS($1:69)),),0))</f>
        <v>0</v>
      </c>
      <c r="I82" s="178">
        <f t="shared" ca="1" si="1"/>
        <v>6544287004</v>
      </c>
      <c r="J82" s="183"/>
    </row>
    <row r="83" spans="1:10" ht="19.5" customHeight="1">
      <c r="A83" s="177">
        <f ca="1">IF(ROWS($1:70)&gt;COUNT(Dong1),"",OFFSET(TH!C$1,SMALL(Dong1,ROWS($1:70)),))</f>
        <v>42398</v>
      </c>
      <c r="B83" s="177">
        <f ca="1">IF(ROWS($1:70)&gt;COUNT(Dong1),"",OFFSET(TH!E$1,SMALL(Dong1,ROWS($1:70)),))</f>
        <v>42398</v>
      </c>
      <c r="C83" s="178" t="str">
        <f ca="1">IF(ROWS($1:70)&gt;COUNT(Dong1),"",IF(OFFSET(TH!N$1,SMALL(Dong1,ROWS($1:70)),)="1111",OFFSET(TH!D$1,SMALL(Dong1,ROWS($1:70)),),""))</f>
        <v/>
      </c>
      <c r="D83" s="179" t="str">
        <f ca="1">IF(ROWS($1:70)&gt;COUNT(Dong1),"",IF(OFFSET(TH!O$1,SMALL(Dong1,ROWS($1:70)),)="1111",OFFSET(TH!D$1,SMALL(Dong1,ROWS($1:70)),),""))</f>
        <v>C37</v>
      </c>
      <c r="E83" s="446" t="str">
        <f ca="1">IF(ROWS($1:70)&gt;COUNT(Dong1),"",OFFSET(TH!F$1,SMALL(Dong1,ROWS($1:70)),))</f>
        <v>Q4 - Nộp tiền mặt vào TK</v>
      </c>
      <c r="F83" s="181" t="str">
        <f ca="1">IF(ROWS($1:70)&gt;COUNT(Dong1),"",IF(OFFSET(TH!O$1,SMALL(Dong1,ROWS($1:70)),)="1111",OFFSET(TH!N$1,SMALL(Dong1,ROWS($1:70)),),OFFSET(TH!O$1,SMALL(Dong1,ROWS($1:70)),)))</f>
        <v>1121</v>
      </c>
      <c r="G83" s="182">
        <f ca="1">IF(ROWS($1:70)&gt;COUNT(Dong1),"",IF(OFFSET(TH!N$1,SMALL(Dong1,ROWS($1:70)),)="1111",OFFSET(TH!M$1,SMALL(Dong1,ROWS($1:70)),),0))</f>
        <v>0</v>
      </c>
      <c r="H83" s="180">
        <f ca="1">IF(ROWS($1:70)&gt;COUNT(Dong1),"",IF(OFFSET(TH!O$1,SMALL(Dong1,ROWS($1:70)),)="1111",OFFSET(TH!M$1,SMALL(Dong1,ROWS($1:70)),),0))</f>
        <v>2000000</v>
      </c>
      <c r="I83" s="178">
        <f t="shared" ca="1" si="1"/>
        <v>6542287004</v>
      </c>
      <c r="J83" s="183"/>
    </row>
    <row r="84" spans="1:10" ht="19.5" customHeight="1">
      <c r="A84" s="177">
        <f ca="1">IF(ROWS($1:71)&gt;COUNT(Dong1),"",OFFSET(TH!C$1,SMALL(Dong1,ROWS($1:71)),))</f>
        <v>42398</v>
      </c>
      <c r="B84" s="177">
        <f ca="1">IF(ROWS($1:71)&gt;COUNT(Dong1),"",OFFSET(TH!E$1,SMALL(Dong1,ROWS($1:71)),))</f>
        <v>42398</v>
      </c>
      <c r="C84" s="178" t="str">
        <f ca="1">IF(ROWS($1:71)&gt;COUNT(Dong1),"",IF(OFFSET(TH!N$1,SMALL(Dong1,ROWS($1:71)),)="1111",OFFSET(TH!D$1,SMALL(Dong1,ROWS($1:71)),),""))</f>
        <v>T05</v>
      </c>
      <c r="D84" s="179" t="str">
        <f ca="1">IF(ROWS($1:71)&gt;COUNT(Dong1),"",IF(OFFSET(TH!O$1,SMALL(Dong1,ROWS($1:71)),)="1111",OFFSET(TH!D$1,SMALL(Dong1,ROWS($1:71)),),""))</f>
        <v/>
      </c>
      <c r="E84" s="446" t="str">
        <f ca="1">IF(ROWS($1:71)&gt;COUNT(Dong1),"",OFFSET(TH!F$1,SMALL(Dong1,ROWS($1:71)),))</f>
        <v>Q11 - Rút tiền gửi NH nhập quỹ TM</v>
      </c>
      <c r="F84" s="181" t="str">
        <f ca="1">IF(ROWS($1:71)&gt;COUNT(Dong1),"",IF(OFFSET(TH!O$1,SMALL(Dong1,ROWS($1:71)),)="1111",OFFSET(TH!N$1,SMALL(Dong1,ROWS($1:71)),),OFFSET(TH!O$1,SMALL(Dong1,ROWS($1:71)),)))</f>
        <v>1121</v>
      </c>
      <c r="G84" s="182">
        <f ca="1">IF(ROWS($1:71)&gt;COUNT(Dong1),"",IF(OFFSET(TH!N$1,SMALL(Dong1,ROWS($1:71)),)="1111",OFFSET(TH!M$1,SMALL(Dong1,ROWS($1:71)),),0))</f>
        <v>370000000</v>
      </c>
      <c r="H84" s="180">
        <f ca="1">IF(ROWS($1:71)&gt;COUNT(Dong1),"",IF(OFFSET(TH!O$1,SMALL(Dong1,ROWS($1:71)),)="1111",OFFSET(TH!M$1,SMALL(Dong1,ROWS($1:71)),),0))</f>
        <v>0</v>
      </c>
      <c r="I84" s="178">
        <f t="shared" ca="1" si="1"/>
        <v>6912287004</v>
      </c>
      <c r="J84" s="183"/>
    </row>
    <row r="85" spans="1:10" ht="19.5" customHeight="1">
      <c r="A85" s="177">
        <f ca="1">IF(ROWS($1:72)&gt;COUNT(Dong1),"",OFFSET(TH!C$1,SMALL(Dong1,ROWS($1:72)),))</f>
        <v>42398</v>
      </c>
      <c r="B85" s="177">
        <f ca="1">IF(ROWS($1:72)&gt;COUNT(Dong1),"",OFFSET(TH!E$1,SMALL(Dong1,ROWS($1:72)),))</f>
        <v>42398</v>
      </c>
      <c r="C85" s="178" t="str">
        <f ca="1">IF(ROWS($1:72)&gt;COUNT(Dong1),"",IF(OFFSET(TH!N$1,SMALL(Dong1,ROWS($1:72)),)="1111",OFFSET(TH!D$1,SMALL(Dong1,ROWS($1:72)),),""))</f>
        <v>T06</v>
      </c>
      <c r="D85" s="179" t="str">
        <f ca="1">IF(ROWS($1:72)&gt;COUNT(Dong1),"",IF(OFFSET(TH!O$1,SMALL(Dong1,ROWS($1:72)),)="1111",OFFSET(TH!D$1,SMALL(Dong1,ROWS($1:72)),),""))</f>
        <v/>
      </c>
      <c r="E85" s="446" t="str">
        <f ca="1">IF(ROWS($1:72)&gt;COUNT(Dong1),"",OFFSET(TH!F$1,SMALL(Dong1,ROWS($1:72)),))</f>
        <v>Q4 - Rút tiền gửi NH nhập quỹ TM</v>
      </c>
      <c r="F85" s="181" t="str">
        <f ca="1">IF(ROWS($1:72)&gt;COUNT(Dong1),"",IF(OFFSET(TH!O$1,SMALL(Dong1,ROWS($1:72)),)="1111",OFFSET(TH!N$1,SMALL(Dong1,ROWS($1:72)),),OFFSET(TH!O$1,SMALL(Dong1,ROWS($1:72)),)))</f>
        <v>1121</v>
      </c>
      <c r="G85" s="182">
        <f ca="1">IF(ROWS($1:72)&gt;COUNT(Dong1),"",IF(OFFSET(TH!N$1,SMALL(Dong1,ROWS($1:72)),)="1111",OFFSET(TH!M$1,SMALL(Dong1,ROWS($1:72)),),0))</f>
        <v>1170000000</v>
      </c>
      <c r="H85" s="180">
        <f ca="1">IF(ROWS($1:72)&gt;COUNT(Dong1),"",IF(OFFSET(TH!O$1,SMALL(Dong1,ROWS($1:72)),)="1111",OFFSET(TH!M$1,SMALL(Dong1,ROWS($1:72)),),0))</f>
        <v>0</v>
      </c>
      <c r="I85" s="178">
        <f t="shared" ca="1" si="1"/>
        <v>8082287004</v>
      </c>
      <c r="J85" s="183"/>
    </row>
    <row r="86" spans="1:10" ht="19.5" customHeight="1">
      <c r="A86" s="177">
        <f ca="1">IF(ROWS($1:73)&gt;COUNT(Dong1),"",OFFSET(TH!C$1,SMALL(Dong1,ROWS($1:73)),))</f>
        <v>42398</v>
      </c>
      <c r="B86" s="177">
        <f ca="1">IF(ROWS($1:73)&gt;COUNT(Dong1),"",OFFSET(TH!E$1,SMALL(Dong1,ROWS($1:73)),))</f>
        <v>42398</v>
      </c>
      <c r="C86" s="178" t="str">
        <f ca="1">IF(ROWS($1:73)&gt;COUNT(Dong1),"",IF(OFFSET(TH!N$1,SMALL(Dong1,ROWS($1:73)),)="1111",OFFSET(TH!D$1,SMALL(Dong1,ROWS($1:73)),),""))</f>
        <v/>
      </c>
      <c r="D86" s="179" t="str">
        <f ca="1">IF(ROWS($1:73)&gt;COUNT(Dong1),"",IF(OFFSET(TH!O$1,SMALL(Dong1,ROWS($1:73)),)="1111",OFFSET(TH!D$1,SMALL(Dong1,ROWS($1:73)),),""))</f>
        <v>C38</v>
      </c>
      <c r="E86" s="446" t="str">
        <f ca="1">IF(ROWS($1:73)&gt;COUNT(Dong1),"",OFFSET(TH!F$1,SMALL(Dong1,ROWS($1:73)),))</f>
        <v>Xăng</v>
      </c>
      <c r="F86" s="181" t="str">
        <f ca="1">IF(ROWS($1:73)&gt;COUNT(Dong1),"",IF(OFFSET(TH!O$1,SMALL(Dong1,ROWS($1:73)),)="1111",OFFSET(TH!N$1,SMALL(Dong1,ROWS($1:73)),),OFFSET(TH!O$1,SMALL(Dong1,ROWS($1:73)),)))</f>
        <v>642</v>
      </c>
      <c r="G86" s="182">
        <f ca="1">IF(ROWS($1:73)&gt;COUNT(Dong1),"",IF(OFFSET(TH!N$1,SMALL(Dong1,ROWS($1:73)),)="1111",OFFSET(TH!M$1,SMALL(Dong1,ROWS($1:73)),),0))</f>
        <v>0</v>
      </c>
      <c r="H86" s="180">
        <f ca="1">IF(ROWS($1:73)&gt;COUNT(Dong1),"",IF(OFFSET(TH!O$1,SMALL(Dong1,ROWS($1:73)),)="1111",OFFSET(TH!M$1,SMALL(Dong1,ROWS($1:73)),),0))</f>
        <v>660273</v>
      </c>
      <c r="I86" s="178">
        <f t="shared" ca="1" si="1"/>
        <v>8081626731</v>
      </c>
      <c r="J86" s="183"/>
    </row>
    <row r="87" spans="1:10" ht="19.5" customHeight="1">
      <c r="A87" s="177">
        <f ca="1">IF(ROWS($1:74)&gt;COUNT(Dong1),"",OFFSET(TH!C$1,SMALL(Dong1,ROWS($1:74)),))</f>
        <v>42398</v>
      </c>
      <c r="B87" s="177">
        <f ca="1">IF(ROWS($1:74)&gt;COUNT(Dong1),"",OFFSET(TH!E$1,SMALL(Dong1,ROWS($1:74)),))</f>
        <v>42398</v>
      </c>
      <c r="C87" s="178" t="str">
        <f ca="1">IF(ROWS($1:74)&gt;COUNT(Dong1),"",IF(OFFSET(TH!N$1,SMALL(Dong1,ROWS($1:74)),)="1111",OFFSET(TH!D$1,SMALL(Dong1,ROWS($1:74)),),""))</f>
        <v/>
      </c>
      <c r="D87" s="179" t="str">
        <f ca="1">IF(ROWS($1:74)&gt;COUNT(Dong1),"",IF(OFFSET(TH!O$1,SMALL(Dong1,ROWS($1:74)),)="1111",OFFSET(TH!D$1,SMALL(Dong1,ROWS($1:74)),),""))</f>
        <v>C38</v>
      </c>
      <c r="E87" s="446" t="str">
        <f ca="1">IF(ROWS($1:74)&gt;COUNT(Dong1),"",OFFSET(TH!F$1,SMALL(Dong1,ROWS($1:74)),))</f>
        <v>VAT Xăng</v>
      </c>
      <c r="F87" s="181" t="str">
        <f ca="1">IF(ROWS($1:74)&gt;COUNT(Dong1),"",IF(OFFSET(TH!O$1,SMALL(Dong1,ROWS($1:74)),)="1111",OFFSET(TH!N$1,SMALL(Dong1,ROWS($1:74)),),OFFSET(TH!O$1,SMALL(Dong1,ROWS($1:74)),)))</f>
        <v>1331</v>
      </c>
      <c r="G87" s="182">
        <f ca="1">IF(ROWS($1:74)&gt;COUNT(Dong1),"",IF(OFFSET(TH!N$1,SMALL(Dong1,ROWS($1:74)),)="1111",OFFSET(TH!M$1,SMALL(Dong1,ROWS($1:74)),),0))</f>
        <v>0</v>
      </c>
      <c r="H87" s="180">
        <f ca="1">IF(ROWS($1:74)&gt;COUNT(Dong1),"",IF(OFFSET(TH!O$1,SMALL(Dong1,ROWS($1:74)),)="1111",OFFSET(TH!M$1,SMALL(Dong1,ROWS($1:74)),),0))</f>
        <v>66027</v>
      </c>
      <c r="I87" s="178">
        <f t="shared" ca="1" si="1"/>
        <v>8081560704</v>
      </c>
      <c r="J87" s="183"/>
    </row>
    <row r="88" spans="1:10" ht="19.5" customHeight="1">
      <c r="A88" s="177">
        <f ca="1">IF(ROWS($1:75)&gt;COUNT(Dong1),"",OFFSET(TH!C$1,SMALL(Dong1,ROWS($1:75)),))</f>
        <v>42399</v>
      </c>
      <c r="B88" s="177">
        <f ca="1">IF(ROWS($1:75)&gt;COUNT(Dong1),"",OFFSET(TH!E$1,SMALL(Dong1,ROWS($1:75)),))</f>
        <v>42399</v>
      </c>
      <c r="C88" s="178" t="str">
        <f ca="1">IF(ROWS($1:75)&gt;COUNT(Dong1),"",IF(OFFSET(TH!N$1,SMALL(Dong1,ROWS($1:75)),)="1111",OFFSET(TH!D$1,SMALL(Dong1,ROWS($1:75)),),""))</f>
        <v/>
      </c>
      <c r="D88" s="179" t="str">
        <f ca="1">IF(ROWS($1:75)&gt;COUNT(Dong1),"",IF(OFFSET(TH!O$1,SMALL(Dong1,ROWS($1:75)),)="1111",OFFSET(TH!D$1,SMALL(Dong1,ROWS($1:75)),),""))</f>
        <v>C39</v>
      </c>
      <c r="E88" s="446" t="str">
        <f ca="1">IF(ROWS($1:75)&gt;COUNT(Dong1),"",OFFSET(TH!F$1,SMALL(Dong1,ROWS($1:75)),))</f>
        <v>Xăng</v>
      </c>
      <c r="F88" s="181" t="str">
        <f ca="1">IF(ROWS($1:75)&gt;COUNT(Dong1),"",IF(OFFSET(TH!O$1,SMALL(Dong1,ROWS($1:75)),)="1111",OFFSET(TH!N$1,SMALL(Dong1,ROWS($1:75)),),OFFSET(TH!O$1,SMALL(Dong1,ROWS($1:75)),)))</f>
        <v>642</v>
      </c>
      <c r="G88" s="182">
        <f ca="1">IF(ROWS($1:75)&gt;COUNT(Dong1),"",IF(OFFSET(TH!N$1,SMALL(Dong1,ROWS($1:75)),)="1111",OFFSET(TH!M$1,SMALL(Dong1,ROWS($1:75)),),0))</f>
        <v>0</v>
      </c>
      <c r="H88" s="180">
        <f ca="1">IF(ROWS($1:75)&gt;COUNT(Dong1),"",IF(OFFSET(TH!O$1,SMALL(Dong1,ROWS($1:75)),)="1111",OFFSET(TH!M$1,SMALL(Dong1,ROWS($1:75)),),0))</f>
        <v>674945</v>
      </c>
      <c r="I88" s="178">
        <f t="shared" ca="1" si="1"/>
        <v>8080885759</v>
      </c>
      <c r="J88" s="183"/>
    </row>
    <row r="89" spans="1:10" ht="19.5" customHeight="1">
      <c r="A89" s="177">
        <f ca="1">IF(ROWS($1:76)&gt;COUNT(Dong1),"",OFFSET(TH!C$1,SMALL(Dong1,ROWS($1:76)),))</f>
        <v>42399</v>
      </c>
      <c r="B89" s="177">
        <f ca="1">IF(ROWS($1:76)&gt;COUNT(Dong1),"",OFFSET(TH!E$1,SMALL(Dong1,ROWS($1:76)),))</f>
        <v>42399</v>
      </c>
      <c r="C89" s="178" t="str">
        <f ca="1">IF(ROWS($1:76)&gt;COUNT(Dong1),"",IF(OFFSET(TH!N$1,SMALL(Dong1,ROWS($1:76)),)="1111",OFFSET(TH!D$1,SMALL(Dong1,ROWS($1:76)),),""))</f>
        <v/>
      </c>
      <c r="D89" s="179" t="str">
        <f ca="1">IF(ROWS($1:76)&gt;COUNT(Dong1),"",IF(OFFSET(TH!O$1,SMALL(Dong1,ROWS($1:76)),)="1111",OFFSET(TH!D$1,SMALL(Dong1,ROWS($1:76)),),""))</f>
        <v>C39</v>
      </c>
      <c r="E89" s="446" t="str">
        <f ca="1">IF(ROWS($1:76)&gt;COUNT(Dong1),"",OFFSET(TH!F$1,SMALL(Dong1,ROWS($1:76)),))</f>
        <v>VAT Xăng</v>
      </c>
      <c r="F89" s="181" t="str">
        <f ca="1">IF(ROWS($1:76)&gt;COUNT(Dong1),"",IF(OFFSET(TH!O$1,SMALL(Dong1,ROWS($1:76)),)="1111",OFFSET(TH!N$1,SMALL(Dong1,ROWS($1:76)),),OFFSET(TH!O$1,SMALL(Dong1,ROWS($1:76)),)))</f>
        <v>1331</v>
      </c>
      <c r="G89" s="182">
        <f ca="1">IF(ROWS($1:76)&gt;COUNT(Dong1),"",IF(OFFSET(TH!N$1,SMALL(Dong1,ROWS($1:76)),)="1111",OFFSET(TH!M$1,SMALL(Dong1,ROWS($1:76)),),0))</f>
        <v>0</v>
      </c>
      <c r="H89" s="180">
        <f ca="1">IF(ROWS($1:76)&gt;COUNT(Dong1),"",IF(OFFSET(TH!O$1,SMALL(Dong1,ROWS($1:76)),)="1111",OFFSET(TH!M$1,SMALL(Dong1,ROWS($1:76)),),0))</f>
        <v>67495</v>
      </c>
      <c r="I89" s="178">
        <f t="shared" ca="1" si="1"/>
        <v>8080818264</v>
      </c>
      <c r="J89" s="183"/>
    </row>
    <row r="90" spans="1:10" ht="19.5" customHeight="1">
      <c r="A90" s="177">
        <f ca="1">IF(ROWS($1:77)&gt;COUNT(Dong1),"",OFFSET(TH!C$1,SMALL(Dong1,ROWS($1:77)),))</f>
        <v>42400</v>
      </c>
      <c r="B90" s="177">
        <f ca="1">IF(ROWS($1:77)&gt;COUNT(Dong1),"",OFFSET(TH!E$1,SMALL(Dong1,ROWS($1:77)),))</f>
        <v>42400</v>
      </c>
      <c r="C90" s="178" t="str">
        <f ca="1">IF(ROWS($1:77)&gt;COUNT(Dong1),"",IF(OFFSET(TH!N$1,SMALL(Dong1,ROWS($1:77)),)="1111",OFFSET(TH!D$1,SMALL(Dong1,ROWS($1:77)),),""))</f>
        <v/>
      </c>
      <c r="D90" s="179" t="str">
        <f ca="1">IF(ROWS($1:77)&gt;COUNT(Dong1),"",IF(OFFSET(TH!O$1,SMALL(Dong1,ROWS($1:77)),)="1111",OFFSET(TH!D$1,SMALL(Dong1,ROWS($1:77)),),""))</f>
        <v>C40</v>
      </c>
      <c r="E90" s="446" t="str">
        <f ca="1">IF(ROWS($1:77)&gt;COUNT(Dong1),"",OFFSET(TH!F$1,SMALL(Dong1,ROWS($1:77)),))</f>
        <v>Dầu DO, Xăng</v>
      </c>
      <c r="F90" s="181" t="str">
        <f ca="1">IF(ROWS($1:77)&gt;COUNT(Dong1),"",IF(OFFSET(TH!O$1,SMALL(Dong1,ROWS($1:77)),)="1111",OFFSET(TH!N$1,SMALL(Dong1,ROWS($1:77)),),OFFSET(TH!O$1,SMALL(Dong1,ROWS($1:77)),)))</f>
        <v>642</v>
      </c>
      <c r="G90" s="182">
        <f ca="1">IF(ROWS($1:77)&gt;COUNT(Dong1),"",IF(OFFSET(TH!N$1,SMALL(Dong1,ROWS($1:77)),)="1111",OFFSET(TH!M$1,SMALL(Dong1,ROWS($1:77)),),0))</f>
        <v>0</v>
      </c>
      <c r="H90" s="180">
        <f ca="1">IF(ROWS($1:77)&gt;COUNT(Dong1),"",IF(OFFSET(TH!O$1,SMALL(Dong1,ROWS($1:77)),)="1111",OFFSET(TH!M$1,SMALL(Dong1,ROWS($1:77)),),0))</f>
        <v>320291</v>
      </c>
      <c r="I90" s="178">
        <f t="shared" ca="1" si="1"/>
        <v>8080497973</v>
      </c>
      <c r="J90" s="183"/>
    </row>
    <row r="91" spans="1:10" ht="19.5" customHeight="1">
      <c r="A91" s="177">
        <f ca="1">IF(ROWS($1:78)&gt;COUNT(Dong1),"",OFFSET(TH!C$1,SMALL(Dong1,ROWS($1:78)),))</f>
        <v>42400</v>
      </c>
      <c r="B91" s="177">
        <f ca="1">IF(ROWS($1:78)&gt;COUNT(Dong1),"",OFFSET(TH!E$1,SMALL(Dong1,ROWS($1:78)),))</f>
        <v>42400</v>
      </c>
      <c r="C91" s="178" t="str">
        <f ca="1">IF(ROWS($1:78)&gt;COUNT(Dong1),"",IF(OFFSET(TH!N$1,SMALL(Dong1,ROWS($1:78)),)="1111",OFFSET(TH!D$1,SMALL(Dong1,ROWS($1:78)),),""))</f>
        <v/>
      </c>
      <c r="D91" s="179" t="str">
        <f ca="1">IF(ROWS($1:78)&gt;COUNT(Dong1),"",IF(OFFSET(TH!O$1,SMALL(Dong1,ROWS($1:78)),)="1111",OFFSET(TH!D$1,SMALL(Dong1,ROWS($1:78)),),""))</f>
        <v>C40</v>
      </c>
      <c r="E91" s="446" t="str">
        <f ca="1">IF(ROWS($1:78)&gt;COUNT(Dong1),"",OFFSET(TH!F$1,SMALL(Dong1,ROWS($1:78)),))</f>
        <v>VAT Dầu DO, Xăng</v>
      </c>
      <c r="F91" s="181" t="str">
        <f ca="1">IF(ROWS($1:78)&gt;COUNT(Dong1),"",IF(OFFSET(TH!O$1,SMALL(Dong1,ROWS($1:78)),)="1111",OFFSET(TH!N$1,SMALL(Dong1,ROWS($1:78)),),OFFSET(TH!O$1,SMALL(Dong1,ROWS($1:78)),)))</f>
        <v>1331</v>
      </c>
      <c r="G91" s="182">
        <f ca="1">IF(ROWS($1:78)&gt;COUNT(Dong1),"",IF(OFFSET(TH!N$1,SMALL(Dong1,ROWS($1:78)),)="1111",OFFSET(TH!M$1,SMALL(Dong1,ROWS($1:78)),),0))</f>
        <v>0</v>
      </c>
      <c r="H91" s="180">
        <f ca="1">IF(ROWS($1:78)&gt;COUNT(Dong1),"",IF(OFFSET(TH!O$1,SMALL(Dong1,ROWS($1:78)),)="1111",OFFSET(TH!M$1,SMALL(Dong1,ROWS($1:78)),),0))</f>
        <v>32029</v>
      </c>
      <c r="I91" s="178">
        <f t="shared" ca="1" si="1"/>
        <v>8080465944</v>
      </c>
      <c r="J91" s="183"/>
    </row>
    <row r="92" spans="1:10" ht="19.5" customHeight="1">
      <c r="A92" s="177">
        <f ca="1">IF(ROWS($1:79)&gt;COUNT(Dong1),"",OFFSET(TH!C$1,SMALL(Dong1,ROWS($1:79)),))</f>
        <v>42400</v>
      </c>
      <c r="B92" s="177">
        <f ca="1">IF(ROWS($1:79)&gt;COUNT(Dong1),"",OFFSET(TH!E$1,SMALL(Dong1,ROWS($1:79)),))</f>
        <v>42400</v>
      </c>
      <c r="C92" s="178" t="str">
        <f ca="1">IF(ROWS($1:79)&gt;COUNT(Dong1),"",IF(OFFSET(TH!N$1,SMALL(Dong1,ROWS($1:79)),)="1111",OFFSET(TH!D$1,SMALL(Dong1,ROWS($1:79)),),""))</f>
        <v/>
      </c>
      <c r="D92" s="179" t="str">
        <f ca="1">IF(ROWS($1:79)&gt;COUNT(Dong1),"",IF(OFFSET(TH!O$1,SMALL(Dong1,ROWS($1:79)),)="1111",OFFSET(TH!D$1,SMALL(Dong1,ROWS($1:79)),),""))</f>
        <v>C41</v>
      </c>
      <c r="E92" s="446" t="str">
        <f ca="1">IF(ROWS($1:79)&gt;COUNT(Dong1),"",OFFSET(TH!F$1,SMALL(Dong1,ROWS($1:79)),))</f>
        <v>Xăng</v>
      </c>
      <c r="F92" s="181" t="str">
        <f ca="1">IF(ROWS($1:79)&gt;COUNT(Dong1),"",IF(OFFSET(TH!O$1,SMALL(Dong1,ROWS($1:79)),)="1111",OFFSET(TH!N$1,SMALL(Dong1,ROWS($1:79)),),OFFSET(TH!O$1,SMALL(Dong1,ROWS($1:79)),)))</f>
        <v>642</v>
      </c>
      <c r="G92" s="182">
        <f ca="1">IF(ROWS($1:79)&gt;COUNT(Dong1),"",IF(OFFSET(TH!N$1,SMALL(Dong1,ROWS($1:79)),)="1111",OFFSET(TH!M$1,SMALL(Dong1,ROWS($1:79)),),0))</f>
        <v>0</v>
      </c>
      <c r="H92" s="180">
        <f ca="1">IF(ROWS($1:79)&gt;COUNT(Dong1),"",IF(OFFSET(TH!O$1,SMALL(Dong1,ROWS($1:79)),)="1111",OFFSET(TH!M$1,SMALL(Dong1,ROWS($1:79)),),0))</f>
        <v>44018</v>
      </c>
      <c r="I92" s="178">
        <f t="shared" ca="1" si="1"/>
        <v>8080421926</v>
      </c>
      <c r="J92" s="183"/>
    </row>
    <row r="93" spans="1:10" ht="19.5" customHeight="1">
      <c r="A93" s="177">
        <f ca="1">IF(ROWS($1:80)&gt;COUNT(Dong1),"",OFFSET(TH!C$1,SMALL(Dong1,ROWS($1:80)),))</f>
        <v>42400</v>
      </c>
      <c r="B93" s="177">
        <f ca="1">IF(ROWS($1:80)&gt;COUNT(Dong1),"",OFFSET(TH!E$1,SMALL(Dong1,ROWS($1:80)),))</f>
        <v>42400</v>
      </c>
      <c r="C93" s="178" t="str">
        <f ca="1">IF(ROWS($1:80)&gt;COUNT(Dong1),"",IF(OFFSET(TH!N$1,SMALL(Dong1,ROWS($1:80)),)="1111",OFFSET(TH!D$1,SMALL(Dong1,ROWS($1:80)),),""))</f>
        <v/>
      </c>
      <c r="D93" s="179" t="str">
        <f ca="1">IF(ROWS($1:80)&gt;COUNT(Dong1),"",IF(OFFSET(TH!O$1,SMALL(Dong1,ROWS($1:80)),)="1111",OFFSET(TH!D$1,SMALL(Dong1,ROWS($1:80)),),""))</f>
        <v>C41</v>
      </c>
      <c r="E93" s="446" t="str">
        <f ca="1">IF(ROWS($1:80)&gt;COUNT(Dong1),"",OFFSET(TH!F$1,SMALL(Dong1,ROWS($1:80)),))</f>
        <v>VAT Xăng</v>
      </c>
      <c r="F93" s="181" t="str">
        <f ca="1">IF(ROWS($1:80)&gt;COUNT(Dong1),"",IF(OFFSET(TH!O$1,SMALL(Dong1,ROWS($1:80)),)="1111",OFFSET(TH!N$1,SMALL(Dong1,ROWS($1:80)),),OFFSET(TH!O$1,SMALL(Dong1,ROWS($1:80)),)))</f>
        <v>1331</v>
      </c>
      <c r="G93" s="182">
        <f ca="1">IF(ROWS($1:80)&gt;COUNT(Dong1),"",IF(OFFSET(TH!N$1,SMALL(Dong1,ROWS($1:80)),)="1111",OFFSET(TH!M$1,SMALL(Dong1,ROWS($1:80)),),0))</f>
        <v>0</v>
      </c>
      <c r="H93" s="180">
        <f ca="1">IF(ROWS($1:80)&gt;COUNT(Dong1),"",IF(OFFSET(TH!O$1,SMALL(Dong1,ROWS($1:80)),)="1111",OFFSET(TH!M$1,SMALL(Dong1,ROWS($1:80)),),0))</f>
        <v>4402</v>
      </c>
      <c r="I93" s="178">
        <f t="shared" ca="1" si="1"/>
        <v>8080417524</v>
      </c>
      <c r="J93" s="183"/>
    </row>
    <row r="94" spans="1:10" ht="19.5" customHeight="1">
      <c r="A94" s="177">
        <f ca="1">IF(ROWS($1:81)&gt;COUNT(Dong1),"",OFFSET(TH!C$1,SMALL(Dong1,ROWS($1:81)),))</f>
        <v>42400</v>
      </c>
      <c r="B94" s="177">
        <f ca="1">IF(ROWS($1:81)&gt;COUNT(Dong1),"",OFFSET(TH!E$1,SMALL(Dong1,ROWS($1:81)),))</f>
        <v>42400</v>
      </c>
      <c r="C94" s="178" t="str">
        <f ca="1">IF(ROWS($1:81)&gt;COUNT(Dong1),"",IF(OFFSET(TH!N$1,SMALL(Dong1,ROWS($1:81)),)="1111",OFFSET(TH!D$1,SMALL(Dong1,ROWS($1:81)),),""))</f>
        <v/>
      </c>
      <c r="D94" s="179" t="str">
        <f ca="1">IF(ROWS($1:81)&gt;COUNT(Dong1),"",IF(OFFSET(TH!O$1,SMALL(Dong1,ROWS($1:81)),)="1111",OFFSET(TH!D$1,SMALL(Dong1,ROWS($1:81)),),""))</f>
        <v>C42</v>
      </c>
      <c r="E94" s="446" t="str">
        <f ca="1">IF(ROWS($1:81)&gt;COUNT(Dong1),"",OFFSET(TH!F$1,SMALL(Dong1,ROWS($1:81)),))</f>
        <v>Cước VT - CNTT T1/2016</v>
      </c>
      <c r="F94" s="181" t="str">
        <f ca="1">IF(ROWS($1:81)&gt;COUNT(Dong1),"",IF(OFFSET(TH!O$1,SMALL(Dong1,ROWS($1:81)),)="1111",OFFSET(TH!N$1,SMALL(Dong1,ROWS($1:81)),),OFFSET(TH!O$1,SMALL(Dong1,ROWS($1:81)),)))</f>
        <v>642</v>
      </c>
      <c r="G94" s="182">
        <f ca="1">IF(ROWS($1:81)&gt;COUNT(Dong1),"",IF(OFFSET(TH!N$1,SMALL(Dong1,ROWS($1:81)),)="1111",OFFSET(TH!M$1,SMALL(Dong1,ROWS($1:81)),),0))</f>
        <v>0</v>
      </c>
      <c r="H94" s="180">
        <f ca="1">IF(ROWS($1:81)&gt;COUNT(Dong1),"",IF(OFFSET(TH!O$1,SMALL(Dong1,ROWS($1:81)),)="1111",OFFSET(TH!M$1,SMALL(Dong1,ROWS($1:81)),),0))</f>
        <v>1970034</v>
      </c>
      <c r="I94" s="178">
        <f t="shared" ca="1" si="1"/>
        <v>8078447490</v>
      </c>
      <c r="J94" s="183"/>
    </row>
    <row r="95" spans="1:10" ht="19.5" customHeight="1">
      <c r="A95" s="177">
        <f ca="1">IF(ROWS($1:82)&gt;COUNT(Dong1),"",OFFSET(TH!C$1,SMALL(Dong1,ROWS($1:82)),))</f>
        <v>42400</v>
      </c>
      <c r="B95" s="177">
        <f ca="1">IF(ROWS($1:82)&gt;COUNT(Dong1),"",OFFSET(TH!E$1,SMALL(Dong1,ROWS($1:82)),))</f>
        <v>42400</v>
      </c>
      <c r="C95" s="178" t="str">
        <f ca="1">IF(ROWS($1:82)&gt;COUNT(Dong1),"",IF(OFFSET(TH!N$1,SMALL(Dong1,ROWS($1:82)),)="1111",OFFSET(TH!D$1,SMALL(Dong1,ROWS($1:82)),),""))</f>
        <v/>
      </c>
      <c r="D95" s="179" t="str">
        <f ca="1">IF(ROWS($1:82)&gt;COUNT(Dong1),"",IF(OFFSET(TH!O$1,SMALL(Dong1,ROWS($1:82)),)="1111",OFFSET(TH!D$1,SMALL(Dong1,ROWS($1:82)),),""))</f>
        <v>C42</v>
      </c>
      <c r="E95" s="446" t="str">
        <f ca="1">IF(ROWS($1:82)&gt;COUNT(Dong1),"",OFFSET(TH!F$1,SMALL(Dong1,ROWS($1:82)),))</f>
        <v>VAT Cước VT - CNTT T1/2016</v>
      </c>
      <c r="F95" s="181" t="str">
        <f ca="1">IF(ROWS($1:82)&gt;COUNT(Dong1),"",IF(OFFSET(TH!O$1,SMALL(Dong1,ROWS($1:82)),)="1111",OFFSET(TH!N$1,SMALL(Dong1,ROWS($1:82)),),OFFSET(TH!O$1,SMALL(Dong1,ROWS($1:82)),)))</f>
        <v>1331</v>
      </c>
      <c r="G95" s="182">
        <f ca="1">IF(ROWS($1:82)&gt;COUNT(Dong1),"",IF(OFFSET(TH!N$1,SMALL(Dong1,ROWS($1:82)),)="1111",OFFSET(TH!M$1,SMALL(Dong1,ROWS($1:82)),),0))</f>
        <v>0</v>
      </c>
      <c r="H95" s="180">
        <f ca="1">IF(ROWS($1:82)&gt;COUNT(Dong1),"",IF(OFFSET(TH!O$1,SMALL(Dong1,ROWS($1:82)),)="1111",OFFSET(TH!M$1,SMALL(Dong1,ROWS($1:82)),),0))</f>
        <v>197003</v>
      </c>
      <c r="I95" s="178">
        <f t="shared" ca="1" si="1"/>
        <v>8078250487</v>
      </c>
      <c r="J95" s="183"/>
    </row>
    <row r="96" spans="1:10" ht="19.5" customHeight="1">
      <c r="A96" s="177">
        <f ca="1">IF(ROWS($1:83)&gt;COUNT(Dong1),"",OFFSET(TH!C$1,SMALL(Dong1,ROWS($1:83)),))</f>
        <v>42400</v>
      </c>
      <c r="B96" s="177">
        <f ca="1">IF(ROWS($1:83)&gt;COUNT(Dong1),"",OFFSET(TH!E$1,SMALL(Dong1,ROWS($1:83)),))</f>
        <v>42400</v>
      </c>
      <c r="C96" s="178" t="str">
        <f ca="1">IF(ROWS($1:83)&gt;COUNT(Dong1),"",IF(OFFSET(TH!N$1,SMALL(Dong1,ROWS($1:83)),)="1111",OFFSET(TH!D$1,SMALL(Dong1,ROWS($1:83)),),""))</f>
        <v/>
      </c>
      <c r="D96" s="179" t="str">
        <f ca="1">IF(ROWS($1:83)&gt;COUNT(Dong1),"",IF(OFFSET(TH!O$1,SMALL(Dong1,ROWS($1:83)),)="1111",OFFSET(TH!D$1,SMALL(Dong1,ROWS($1:83)),),""))</f>
        <v>C43</v>
      </c>
      <c r="E96" s="446" t="str">
        <f ca="1">IF(ROWS($1:83)&gt;COUNT(Dong1),"",OFFSET(TH!F$1,SMALL(Dong1,ROWS($1:83)),))</f>
        <v>Phí CPN</v>
      </c>
      <c r="F96" s="181" t="str">
        <f ca="1">IF(ROWS($1:83)&gt;COUNT(Dong1),"",IF(OFFSET(TH!O$1,SMALL(Dong1,ROWS($1:83)),)="1111",OFFSET(TH!N$1,SMALL(Dong1,ROWS($1:83)),),OFFSET(TH!O$1,SMALL(Dong1,ROWS($1:83)),)))</f>
        <v>642</v>
      </c>
      <c r="G96" s="182">
        <f ca="1">IF(ROWS($1:83)&gt;COUNT(Dong1),"",IF(OFFSET(TH!N$1,SMALL(Dong1,ROWS($1:83)),)="1111",OFFSET(TH!M$1,SMALL(Dong1,ROWS($1:83)),),0))</f>
        <v>0</v>
      </c>
      <c r="H96" s="180">
        <f ca="1">IF(ROWS($1:83)&gt;COUNT(Dong1),"",IF(OFFSET(TH!O$1,SMALL(Dong1,ROWS($1:83)),)="1111",OFFSET(TH!M$1,SMALL(Dong1,ROWS($1:83)),),0))</f>
        <v>354533</v>
      </c>
      <c r="I96" s="178">
        <f t="shared" ca="1" si="1"/>
        <v>8077895954</v>
      </c>
      <c r="J96" s="183"/>
    </row>
    <row r="97" spans="1:12" ht="19.5" customHeight="1">
      <c r="A97" s="177">
        <f ca="1">IF(ROWS($1:84)&gt;COUNT(Dong1),"",OFFSET(TH!C$1,SMALL(Dong1,ROWS($1:84)),))</f>
        <v>42400</v>
      </c>
      <c r="B97" s="177">
        <f ca="1">IF(ROWS($1:84)&gt;COUNT(Dong1),"",OFFSET(TH!E$1,SMALL(Dong1,ROWS($1:84)),))</f>
        <v>42400</v>
      </c>
      <c r="C97" s="178" t="str">
        <f ca="1">IF(ROWS($1:84)&gt;COUNT(Dong1),"",IF(OFFSET(TH!N$1,SMALL(Dong1,ROWS($1:84)),)="1111",OFFSET(TH!D$1,SMALL(Dong1,ROWS($1:84)),),""))</f>
        <v/>
      </c>
      <c r="D97" s="179" t="str">
        <f ca="1">IF(ROWS($1:84)&gt;COUNT(Dong1),"",IF(OFFSET(TH!O$1,SMALL(Dong1,ROWS($1:84)),)="1111",OFFSET(TH!D$1,SMALL(Dong1,ROWS($1:84)),),""))</f>
        <v>C43</v>
      </c>
      <c r="E97" s="446" t="str">
        <f ca="1">IF(ROWS($1:84)&gt;COUNT(Dong1),"",OFFSET(TH!F$1,SMALL(Dong1,ROWS($1:84)),))</f>
        <v>VAT Phí CPN</v>
      </c>
      <c r="F97" s="181" t="str">
        <f ca="1">IF(ROWS($1:84)&gt;COUNT(Dong1),"",IF(OFFSET(TH!O$1,SMALL(Dong1,ROWS($1:84)),)="1111",OFFSET(TH!N$1,SMALL(Dong1,ROWS($1:84)),),OFFSET(TH!O$1,SMALL(Dong1,ROWS($1:84)),)))</f>
        <v>1331</v>
      </c>
      <c r="G97" s="182">
        <f ca="1">IF(ROWS($1:84)&gt;COUNT(Dong1),"",IF(OFFSET(TH!N$1,SMALL(Dong1,ROWS($1:84)),)="1111",OFFSET(TH!M$1,SMALL(Dong1,ROWS($1:84)),),0))</f>
        <v>0</v>
      </c>
      <c r="H97" s="180">
        <f ca="1">IF(ROWS($1:84)&gt;COUNT(Dong1),"",IF(OFFSET(TH!O$1,SMALL(Dong1,ROWS($1:84)),)="1111",OFFSET(TH!M$1,SMALL(Dong1,ROWS($1:84)),),0))</f>
        <v>35453</v>
      </c>
      <c r="I97" s="178">
        <f t="shared" ca="1" si="1"/>
        <v>8077860501</v>
      </c>
      <c r="J97" s="183"/>
    </row>
    <row r="98" spans="1:12" ht="19.5" customHeight="1">
      <c r="A98" s="177">
        <f ca="1">IF(ROWS($1:85)&gt;COUNT(Dong1),"",OFFSET(TH!C$1,SMALL(Dong1,ROWS($1:85)),))</f>
        <v>42400</v>
      </c>
      <c r="B98" s="177">
        <f ca="1">IF(ROWS($1:85)&gt;COUNT(Dong1),"",OFFSET(TH!E$1,SMALL(Dong1,ROWS($1:85)),))</f>
        <v>42400</v>
      </c>
      <c r="C98" s="178" t="str">
        <f ca="1">IF(ROWS($1:85)&gt;COUNT(Dong1),"",IF(OFFSET(TH!N$1,SMALL(Dong1,ROWS($1:85)),)="1111",OFFSET(TH!D$1,SMALL(Dong1,ROWS($1:85)),),""))</f>
        <v/>
      </c>
      <c r="D98" s="179" t="str">
        <f ca="1">IF(ROWS($1:85)&gt;COUNT(Dong1),"",IF(OFFSET(TH!O$1,SMALL(Dong1,ROWS($1:85)),)="1111",OFFSET(TH!D$1,SMALL(Dong1,ROWS($1:85)),),""))</f>
        <v>C44</v>
      </c>
      <c r="E98" s="446" t="str">
        <f ca="1">IF(ROWS($1:85)&gt;COUNT(Dong1),"",OFFSET(TH!F$1,SMALL(Dong1,ROWS($1:85)),))</f>
        <v>Thanh toán lương T01/2016</v>
      </c>
      <c r="F98" s="181" t="str">
        <f ca="1">IF(ROWS($1:85)&gt;COUNT(Dong1),"",IF(OFFSET(TH!O$1,SMALL(Dong1,ROWS($1:85)),)="1111",OFFSET(TH!N$1,SMALL(Dong1,ROWS($1:85)),),OFFSET(TH!O$1,SMALL(Dong1,ROWS($1:85)),)))</f>
        <v>3341</v>
      </c>
      <c r="G98" s="182">
        <f ca="1">IF(ROWS($1:85)&gt;COUNT(Dong1),"",IF(OFFSET(TH!N$1,SMALL(Dong1,ROWS($1:85)),)="1111",OFFSET(TH!M$1,SMALL(Dong1,ROWS($1:85)),),0))</f>
        <v>0</v>
      </c>
      <c r="H98" s="180">
        <f ca="1">IF(ROWS($1:85)&gt;COUNT(Dong1),"",IF(OFFSET(TH!O$1,SMALL(Dong1,ROWS($1:85)),)="1111",OFFSET(TH!M$1,SMALL(Dong1,ROWS($1:85)),),0))</f>
        <v>0</v>
      </c>
      <c r="I98" s="178">
        <f t="shared" ca="1" si="1"/>
        <v>8077860501</v>
      </c>
      <c r="J98" s="183"/>
    </row>
    <row r="99" spans="1:12" ht="19.5" customHeight="1">
      <c r="A99" s="177" t="str">
        <f ca="1">IF(ROWS($1:86)&gt;COUNT(Dong1),"",OFFSET(TH!C$1,SMALL(Dong1,ROWS($1:86)),))</f>
        <v/>
      </c>
      <c r="B99" s="177" t="str">
        <f ca="1">IF(ROWS($1:86)&gt;COUNT(Dong1),"",OFFSET(TH!E$1,SMALL(Dong1,ROWS($1:86)),))</f>
        <v/>
      </c>
      <c r="C99" s="178" t="str">
        <f ca="1">IF(ROWS($1:86)&gt;COUNT(Dong1),"",IF(OFFSET(TH!N$1,SMALL(Dong1,ROWS($1:86)),)="1111",OFFSET(TH!D$1,SMALL(Dong1,ROWS($1:86)),),""))</f>
        <v/>
      </c>
      <c r="D99" s="179" t="str">
        <f ca="1">IF(ROWS($1:86)&gt;COUNT(Dong1),"",IF(OFFSET(TH!O$1,SMALL(Dong1,ROWS($1:86)),)="1111",OFFSET(TH!D$1,SMALL(Dong1,ROWS($1:86)),),""))</f>
        <v/>
      </c>
      <c r="E99" s="446" t="str">
        <f ca="1">IF(ROWS($1:86)&gt;COUNT(Dong1),"",OFFSET(TH!F$1,SMALL(Dong1,ROWS($1:86)),))</f>
        <v/>
      </c>
      <c r="F99" s="181" t="str">
        <f ca="1">IF(ROWS($1:86)&gt;COUNT(Dong1),"",IF(OFFSET(TH!O$1,SMALL(Dong1,ROWS($1:86)),)="1111",OFFSET(TH!N$1,SMALL(Dong1,ROWS($1:86)),),OFFSET(TH!O$1,SMALL(Dong1,ROWS($1:86)),)))</f>
        <v/>
      </c>
      <c r="G99" s="182" t="str">
        <f ca="1">IF(ROWS($1:86)&gt;COUNT(Dong1),"",IF(OFFSET(TH!N$1,SMALL(Dong1,ROWS($1:86)),)="1111",OFFSET(TH!M$1,SMALL(Dong1,ROWS($1:86)),),0))</f>
        <v/>
      </c>
      <c r="H99" s="180" t="str">
        <f ca="1">IF(ROWS($1:86)&gt;COUNT(Dong1),"",IF(OFFSET(TH!O$1,SMALL(Dong1,ROWS($1:86)),)="1111",OFFSET(TH!M$1,SMALL(Dong1,ROWS($1:86)),),0))</f>
        <v/>
      </c>
      <c r="I99" s="178">
        <f t="shared" ca="1" si="1"/>
        <v>0</v>
      </c>
      <c r="J99" s="183"/>
    </row>
    <row r="100" spans="1:12" ht="19.5" customHeight="1">
      <c r="A100" s="177" t="str">
        <f ca="1">IF(ROWS($1:87)&gt;COUNT(Dong1),"",OFFSET(TH!C$1,SMALL(Dong1,ROWS($1:87)),))</f>
        <v/>
      </c>
      <c r="B100" s="177" t="str">
        <f ca="1">IF(ROWS($1:87)&gt;COUNT(Dong1),"",OFFSET(TH!E$1,SMALL(Dong1,ROWS($1:87)),))</f>
        <v/>
      </c>
      <c r="C100" s="178" t="str">
        <f ca="1">IF(ROWS($1:87)&gt;COUNT(Dong1),"",IF(OFFSET(TH!N$1,SMALL(Dong1,ROWS($1:87)),)="1111",OFFSET(TH!D$1,SMALL(Dong1,ROWS($1:87)),),""))</f>
        <v/>
      </c>
      <c r="D100" s="179" t="str">
        <f ca="1">IF(ROWS($1:87)&gt;COUNT(Dong1),"",IF(OFFSET(TH!O$1,SMALL(Dong1,ROWS($1:87)),)="1111",OFFSET(TH!D$1,SMALL(Dong1,ROWS($1:87)),),""))</f>
        <v/>
      </c>
      <c r="E100" s="446" t="str">
        <f ca="1">IF(ROWS($1:87)&gt;COUNT(Dong1),"",OFFSET(TH!F$1,SMALL(Dong1,ROWS($1:87)),))</f>
        <v/>
      </c>
      <c r="F100" s="181" t="str">
        <f ca="1">IF(ROWS($1:87)&gt;COUNT(Dong1),"",IF(OFFSET(TH!O$1,SMALL(Dong1,ROWS($1:87)),)="1111",OFFSET(TH!N$1,SMALL(Dong1,ROWS($1:87)),),OFFSET(TH!O$1,SMALL(Dong1,ROWS($1:87)),)))</f>
        <v/>
      </c>
      <c r="G100" s="182" t="str">
        <f ca="1">IF(ROWS($1:87)&gt;COUNT(Dong1),"",IF(OFFSET(TH!N$1,SMALL(Dong1,ROWS($1:87)),)="1111",OFFSET(TH!M$1,SMALL(Dong1,ROWS($1:87)),),0))</f>
        <v/>
      </c>
      <c r="H100" s="180" t="str">
        <f ca="1">IF(ROWS($1:87)&gt;COUNT(Dong1),"",IF(OFFSET(TH!O$1,SMALL(Dong1,ROWS($1:87)),)="1111",OFFSET(TH!M$1,SMALL(Dong1,ROWS($1:87)),),0))</f>
        <v/>
      </c>
      <c r="I100" s="178">
        <f t="shared" ca="1" si="1"/>
        <v>0</v>
      </c>
      <c r="J100" s="183"/>
    </row>
    <row r="101" spans="1:12" ht="19.5" customHeight="1">
      <c r="A101" s="184"/>
      <c r="B101" s="183"/>
      <c r="C101" s="183"/>
      <c r="D101" s="183"/>
      <c r="E101" s="447"/>
      <c r="F101" s="185"/>
      <c r="G101" s="183"/>
      <c r="H101" s="183"/>
      <c r="I101" s="178"/>
      <c r="J101" s="183"/>
    </row>
    <row r="102" spans="1:12" s="173" customFormat="1" ht="19.5" customHeight="1">
      <c r="A102" s="186"/>
      <c r="B102" s="186"/>
      <c r="C102" s="186"/>
      <c r="D102" s="186"/>
      <c r="E102" s="186" t="s">
        <v>160</v>
      </c>
      <c r="F102" s="187" t="s">
        <v>21</v>
      </c>
      <c r="G102" s="186">
        <f ca="1">SUM(G14:G101)</f>
        <v>6858920000</v>
      </c>
      <c r="H102" s="186">
        <f ca="1">SUM(H14:H101)</f>
        <v>2486098594</v>
      </c>
      <c r="I102" s="187" t="s">
        <v>21</v>
      </c>
      <c r="J102" s="187" t="s">
        <v>21</v>
      </c>
    </row>
    <row r="103" spans="1:12" s="173" customFormat="1" ht="19.5" customHeight="1">
      <c r="A103" s="188"/>
      <c r="B103" s="188"/>
      <c r="C103" s="188"/>
      <c r="D103" s="188"/>
      <c r="E103" s="188" t="s">
        <v>161</v>
      </c>
      <c r="F103" s="189" t="s">
        <v>21</v>
      </c>
      <c r="G103" s="189" t="s">
        <v>21</v>
      </c>
      <c r="H103" s="189" t="s">
        <v>21</v>
      </c>
      <c r="I103" s="190">
        <f ca="1">I13+G102-H102</f>
        <v>8077860501</v>
      </c>
      <c r="J103" s="189" t="s">
        <v>21</v>
      </c>
    </row>
    <row r="104" spans="1:12">
      <c r="L104" s="491" t="s">
        <v>268</v>
      </c>
    </row>
    <row r="105" spans="1:12">
      <c r="A105" s="191" t="s">
        <v>249</v>
      </c>
      <c r="L105" s="491" t="s">
        <v>269</v>
      </c>
    </row>
    <row r="106" spans="1:12">
      <c r="A106" s="264" t="str">
        <f ca="1">"- Ngày mở sổ: "&amp;DAY($A$14)&amp;"/"&amp;MONTH($A$14)&amp;"/ 2015"</f>
        <v>- Ngày mở sổ: 2/1/ 2015</v>
      </c>
      <c r="L106" s="491" t="s">
        <v>162</v>
      </c>
    </row>
    <row r="107" spans="1:12">
      <c r="I107" s="361" t="str">
        <f>"Ngày "&amp;IF(OR($L$11=4,$L$11=6,$L$11=9,$L$11=11),"30",IF($L$11=2,"28","31"))&amp;" tháng "&amp;$L$11&amp;"  năm  2016 "</f>
        <v xml:space="preserve">Ngày 31 tháng 1  năm  2016 </v>
      </c>
      <c r="L107" s="491" t="s">
        <v>249</v>
      </c>
    </row>
    <row r="108" spans="1:12" s="193" customFormat="1" ht="14.25">
      <c r="C108" s="193" t="s">
        <v>11</v>
      </c>
      <c r="E108" s="193" t="s">
        <v>12</v>
      </c>
      <c r="I108" s="193" t="s">
        <v>132</v>
      </c>
    </row>
    <row r="109" spans="1:12" s="194" customFormat="1">
      <c r="C109" s="194" t="s">
        <v>13</v>
      </c>
      <c r="E109" s="194" t="s">
        <v>13</v>
      </c>
      <c r="I109" s="194" t="s">
        <v>163</v>
      </c>
    </row>
    <row r="110" spans="1:12" s="194" customFormat="1"/>
    <row r="111" spans="1:12" s="194" customFormat="1"/>
    <row r="112" spans="1:12" s="194" customFormat="1"/>
    <row r="113" spans="1:10" s="194" customFormat="1"/>
    <row r="116" spans="1:10" ht="15.75">
      <c r="C116" s="444" t="s">
        <v>244</v>
      </c>
      <c r="I116" s="445" t="s">
        <v>126</v>
      </c>
    </row>
    <row r="117" spans="1:10">
      <c r="E117" s="168">
        <f ca="1">SUMIF($D$14:$D$36,#REF!,H14:H36)</f>
        <v>0</v>
      </c>
    </row>
    <row r="120" spans="1:10">
      <c r="A120" s="168">
        <v>2</v>
      </c>
      <c r="B120" s="168">
        <v>3</v>
      </c>
      <c r="C120" s="168">
        <v>4</v>
      </c>
      <c r="D120" s="168">
        <v>5</v>
      </c>
      <c r="E120" s="168">
        <v>6</v>
      </c>
      <c r="F120" s="168">
        <v>9</v>
      </c>
      <c r="G120" s="168">
        <v>10</v>
      </c>
      <c r="H120" s="168">
        <v>11</v>
      </c>
      <c r="I120" s="168">
        <v>12</v>
      </c>
      <c r="J120" s="168">
        <v>13</v>
      </c>
    </row>
  </sheetData>
  <autoFilter ref="A12:J103"/>
  <sortState ref="A13:P167">
    <sortCondition ref="A13:A167"/>
  </sortState>
  <mergeCells count="14">
    <mergeCell ref="G1:J1"/>
    <mergeCell ref="G2:J3"/>
    <mergeCell ref="A5:J5"/>
    <mergeCell ref="A7:J7"/>
    <mergeCell ref="A8:J8"/>
    <mergeCell ref="A6:J6"/>
    <mergeCell ref="A10:A11"/>
    <mergeCell ref="B10:B11"/>
    <mergeCell ref="C10:D10"/>
    <mergeCell ref="E10:E11"/>
    <mergeCell ref="F10:F11"/>
    <mergeCell ref="G10:H10"/>
    <mergeCell ref="I10:I11"/>
    <mergeCell ref="J10:J11"/>
  </mergeCells>
  <conditionalFormatting sqref="A14:H100">
    <cfRule type="expression" dxfId="4"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70"/>
  <sheetViews>
    <sheetView topLeftCell="A6" workbookViewId="0">
      <pane ySplit="6" topLeftCell="A12" activePane="bottomLeft" state="frozen"/>
      <selection activeCell="A6" sqref="A6"/>
      <selection pane="bottomLeft" activeCell="N18" sqref="N18"/>
    </sheetView>
  </sheetViews>
  <sheetFormatPr defaultRowHeight="15.75"/>
  <cols>
    <col min="1" max="1" width="7.7109375" style="236" customWidth="1"/>
    <col min="2" max="2" width="6" style="237" customWidth="1"/>
    <col min="3" max="3" width="7.7109375" style="236" customWidth="1"/>
    <col min="4" max="4" width="40.7109375" style="235" customWidth="1"/>
    <col min="5" max="5" width="6.5703125" style="235" customWidth="1"/>
    <col min="6" max="6" width="14.28515625" style="235" customWidth="1"/>
    <col min="7" max="7" width="14.5703125" style="235" customWidth="1"/>
    <col min="8" max="8" width="13.5703125" style="235" customWidth="1"/>
    <col min="9" max="9" width="6.5703125" style="235" customWidth="1"/>
    <col min="10" max="10" width="2.85546875" style="235" customWidth="1"/>
    <col min="11" max="11" width="6.28515625" style="235" customWidth="1"/>
    <col min="12" max="12" width="3.28515625" style="235" customWidth="1"/>
    <col min="13" max="13" width="5.7109375" style="235" customWidth="1"/>
    <col min="14" max="15" width="9.140625" style="235"/>
    <col min="16" max="18" width="12.7109375" style="235" customWidth="1"/>
    <col min="19" max="19" width="12" style="235" bestFit="1" customWidth="1"/>
    <col min="20" max="16384" width="9.140625" style="235"/>
  </cols>
  <sheetData>
    <row r="1" spans="1:19" s="198" customFormat="1" ht="16.5" customHeight="1">
      <c r="A1" s="135" t="s">
        <v>139</v>
      </c>
      <c r="B1" s="199"/>
      <c r="C1" s="200"/>
      <c r="F1" s="448"/>
      <c r="G1" s="450" t="s">
        <v>250</v>
      </c>
      <c r="H1" s="450"/>
      <c r="I1" s="448"/>
      <c r="K1" s="201"/>
      <c r="L1" s="201"/>
    </row>
    <row r="2" spans="1:19" s="198" customFormat="1" ht="16.5" customHeight="1">
      <c r="A2" s="452" t="s">
        <v>140</v>
      </c>
      <c r="B2" s="238"/>
      <c r="C2" s="238"/>
      <c r="D2" s="238"/>
      <c r="F2" s="449"/>
      <c r="G2" s="451" t="s">
        <v>251</v>
      </c>
      <c r="H2" s="451"/>
      <c r="I2" s="449"/>
      <c r="K2" s="202"/>
      <c r="L2" s="202"/>
    </row>
    <row r="3" spans="1:19" s="198" customFormat="1" ht="16.5" customHeight="1">
      <c r="A3" s="238"/>
      <c r="B3" s="238"/>
      <c r="C3" s="238"/>
      <c r="D3" s="238"/>
      <c r="F3" s="449"/>
      <c r="G3" s="451" t="s">
        <v>252</v>
      </c>
      <c r="H3" s="451"/>
      <c r="I3" s="449"/>
    </row>
    <row r="4" spans="1:19" s="198" customFormat="1" ht="19.5" customHeight="1">
      <c r="A4" s="1124" t="s">
        <v>168</v>
      </c>
      <c r="B4" s="1124"/>
      <c r="C4" s="1124"/>
      <c r="D4" s="1124"/>
      <c r="E4" s="1124"/>
      <c r="F4" s="1124"/>
      <c r="G4" s="1124"/>
      <c r="H4" s="1124"/>
      <c r="I4" s="1124"/>
    </row>
    <row r="5" spans="1:19" s="198" customFormat="1" ht="15">
      <c r="A5" s="1125" t="s">
        <v>169</v>
      </c>
      <c r="B5" s="1125"/>
      <c r="C5" s="1125"/>
      <c r="D5" s="1125"/>
      <c r="E5" s="1125"/>
      <c r="F5" s="1125"/>
      <c r="G5" s="1125"/>
      <c r="H5" s="1125"/>
      <c r="I5" s="1125"/>
    </row>
    <row r="6" spans="1:19" s="198" customFormat="1" ht="15">
      <c r="D6" s="525" t="s">
        <v>286</v>
      </c>
      <c r="E6" s="1125" t="str">
        <f>IF($H$6="VNĐ",IF($M$9="Q11","1015 148 5100 9180","1402 148 5100 9465"),IF($M$9="Q11","1015 148 5100 9193","1402 148 5100 9479"))</f>
        <v>1015 148 5100 9180</v>
      </c>
      <c r="F6" s="1125"/>
      <c r="G6" s="1125"/>
      <c r="H6" s="198" t="s">
        <v>131</v>
      </c>
      <c r="I6" s="526" t="str">
        <f>IF(H6="VNĐ","1121","1122")</f>
        <v>1121</v>
      </c>
      <c r="O6" s="1285" t="s">
        <v>1001</v>
      </c>
      <c r="P6" s="1285" t="s">
        <v>999</v>
      </c>
      <c r="Q6" s="1285" t="s">
        <v>998</v>
      </c>
      <c r="R6" s="1285" t="s">
        <v>1004</v>
      </c>
    </row>
    <row r="7" spans="1:19" s="198" customFormat="1" ht="8.25" customHeight="1">
      <c r="A7" s="203"/>
      <c r="B7" s="204"/>
      <c r="C7" s="203"/>
      <c r="D7" s="204"/>
      <c r="E7" s="204"/>
      <c r="F7" s="204"/>
      <c r="G7" s="204"/>
      <c r="H7" s="204"/>
      <c r="I7" s="204"/>
      <c r="O7" s="1286"/>
      <c r="P7" s="1286"/>
      <c r="Q7" s="1286"/>
      <c r="R7" s="1286"/>
    </row>
    <row r="8" spans="1:19" s="206" customFormat="1" ht="22.5" customHeight="1" thickBot="1">
      <c r="A8" s="1126" t="s">
        <v>170</v>
      </c>
      <c r="B8" s="1128" t="s">
        <v>1</v>
      </c>
      <c r="C8" s="1129"/>
      <c r="D8" s="1130" t="s">
        <v>0</v>
      </c>
      <c r="E8" s="1132" t="s">
        <v>16</v>
      </c>
      <c r="F8" s="1128" t="s">
        <v>171</v>
      </c>
      <c r="G8" s="1128"/>
      <c r="H8" s="1129"/>
      <c r="I8" s="1130" t="s">
        <v>154</v>
      </c>
      <c r="K8" s="196"/>
      <c r="L8" s="198"/>
      <c r="O8" s="1287" t="s">
        <v>1003</v>
      </c>
      <c r="P8" s="511">
        <v>1749.9699999988079</v>
      </c>
      <c r="Q8" s="511">
        <v>97840.270000000019</v>
      </c>
      <c r="R8" s="511"/>
      <c r="S8" s="1289">
        <f>SUM(P8:R8)</f>
        <v>99590.239999998827</v>
      </c>
    </row>
    <row r="9" spans="1:19" s="206" customFormat="1" ht="22.5" customHeight="1" thickBot="1">
      <c r="A9" s="1127"/>
      <c r="B9" s="207" t="s">
        <v>17</v>
      </c>
      <c r="C9" s="208" t="s">
        <v>172</v>
      </c>
      <c r="D9" s="1131"/>
      <c r="E9" s="1133"/>
      <c r="F9" s="506" t="s">
        <v>173</v>
      </c>
      <c r="G9" s="209" t="s">
        <v>174</v>
      </c>
      <c r="H9" s="205" t="s">
        <v>175</v>
      </c>
      <c r="I9" s="1131"/>
      <c r="K9" s="1282">
        <v>1</v>
      </c>
      <c r="L9" s="198"/>
      <c r="M9" s="1283" t="s">
        <v>999</v>
      </c>
      <c r="O9" s="1284" t="s">
        <v>1002</v>
      </c>
      <c r="P9" s="1288">
        <v>12092853</v>
      </c>
      <c r="Q9" s="1288">
        <v>7626450</v>
      </c>
      <c r="R9" s="1288">
        <v>109992</v>
      </c>
      <c r="S9" s="1290">
        <f>SUM(P9:R9)</f>
        <v>19829295</v>
      </c>
    </row>
    <row r="10" spans="1:19" s="212" customFormat="1" ht="15">
      <c r="A10" s="210" t="s">
        <v>2</v>
      </c>
      <c r="B10" s="211" t="s">
        <v>3</v>
      </c>
      <c r="C10" s="210" t="s">
        <v>4</v>
      </c>
      <c r="D10" s="211" t="s">
        <v>5</v>
      </c>
      <c r="E10" s="211" t="s">
        <v>6</v>
      </c>
      <c r="F10" s="211">
        <v>1</v>
      </c>
      <c r="G10" s="211">
        <v>2</v>
      </c>
      <c r="H10" s="211">
        <v>3</v>
      </c>
      <c r="I10" s="211" t="s">
        <v>157</v>
      </c>
      <c r="L10" s="198"/>
    </row>
    <row r="11" spans="1:19" s="216" customFormat="1" ht="20.25" customHeight="1">
      <c r="A11" s="213"/>
      <c r="B11" s="214"/>
      <c r="C11" s="213"/>
      <c r="D11" s="215" t="s">
        <v>7</v>
      </c>
      <c r="E11" s="215"/>
      <c r="F11" s="1294"/>
      <c r="G11" s="1294"/>
      <c r="H11" s="1294">
        <f>IF($M$9="Q11",IF($H$6="USD",$P$8,$P$9),IF($M$9="Q4",IF($H$6="USD",$Q$8,$Q$9),0))+SUMIF(_N112,"x",TH)-SUMIF(_C112,"x",TH)</f>
        <v>12092853</v>
      </c>
      <c r="I11" s="1291"/>
      <c r="L11" s="198"/>
    </row>
    <row r="12" spans="1:19" s="206" customFormat="1" ht="20.25" customHeight="1">
      <c r="A12" s="217">
        <f ca="1">IF(ROWS($1:1)&gt;COUNT(Dong2),"",OFFSET(TH!C$1,SMALL(Dong2,ROWS($1:1)),))</f>
        <v>42376</v>
      </c>
      <c r="B12" s="217" t="str">
        <f ca="1">IF(ROWS($1:1)&gt;COUNT(Dong2),"",OFFSET(TH!D$1,SMALL(Dong2,ROWS($1:1)),))</f>
        <v>C15</v>
      </c>
      <c r="C12" s="217">
        <f ca="1">IF(ROWS($1:1)&gt;COUNT(Dong2),"",OFFSET(TH!E$1,SMALL(Dong2,ROWS($1:1)),))</f>
        <v>42376</v>
      </c>
      <c r="D12" s="453" t="str">
        <f ca="1">IF(ROWS($1:1)&gt;COUNT(Dong2),"",OFFSET(TH!F$1,SMALL(Dong2,ROWS($1:1)),))</f>
        <v>Q11 - Nộp tiền mặt vào TK</v>
      </c>
      <c r="E12" s="217" t="str">
        <f ca="1">IF(ROWS($1:1)&gt;COUNT(Dong2),"",IF(OFFSET(TH!O$1,SMALL(Dong2,ROWS($1:1)),)=$I$6,OFFSET(TH!N$1,SMALL(Dong2,ROWS($1:1)),),OFFSET(TH!O$1,SMALL(Dong2,ROWS($1:1)),)))</f>
        <v>1111</v>
      </c>
      <c r="F12" s="1295">
        <f ca="1">IF(ROWS($1:1)&gt;COUNT(Dong2),"",IF(AND(IF($M$9="Q4",RIGHT(OFFSET(TH!G$1,SMALL(Dong2,ROWS($1:1)),),2)=$M$9,RIGHT(OFFSET(TH!G$1,SMALL(Dong2,ROWS($1:1)),),3)=$M$9),OFFSET(TH!N$1,SMALL(Dong2,ROWS($1:1)),)=$I$6),IF($I$6="1121",OFFSET(TH!M$1,SMALL(Dong2,ROWS($1:1)),),OFFSET(TH!K$1,SMALL(Dong2,ROWS($1:1)),)),0))</f>
        <v>50000000</v>
      </c>
      <c r="G12" s="1295">
        <f ca="1">IF(ROWS($1:1)&gt;COUNT(Dong2),"",IF(AND(IF($M$9="Q4",LEFT(OFFSET(TH!G$1,SMALL(Dong2,ROWS($1:1)),),2)=$M$9,LEFT(OFFSET(TH!G$1,SMALL(Dong2,ROWS($1:1)),),3)=$M$9),OFFSET(TH!O$1,SMALL(Dong2,ROWS($1:1)),)=$I$6),IF($I$6="1121",OFFSET(TH!M$1,SMALL(Dong2,ROWS($1:1)),),OFFSET(TH!K$1,SMALL(Dong2,ROWS($1:1)),)),0))</f>
        <v>0</v>
      </c>
      <c r="H12" s="1296">
        <f t="shared" ref="H12" ca="1" si="0">IF(A12&lt;&gt;"",H11+F12-G12,0)</f>
        <v>62092853</v>
      </c>
      <c r="I12" s="1292"/>
      <c r="L12" s="198"/>
    </row>
    <row r="13" spans="1:19" s="206" customFormat="1" ht="20.25" customHeight="1">
      <c r="A13" s="217">
        <f ca="1">IF(ROWS($1:2)&gt;COUNT(Dong2),"",OFFSET(TH!C$1,SMALL(Dong2,ROWS($1:2)),))</f>
        <v>42376</v>
      </c>
      <c r="B13" s="217" t="str">
        <f ca="1">IF(ROWS($1:2)&gt;COUNT(Dong2),"",OFFSET(TH!D$1,SMALL(Dong2,ROWS($1:2)),))</f>
        <v>GBN</v>
      </c>
      <c r="C13" s="217">
        <f ca="1">IF(ROWS($1:2)&gt;COUNT(Dong2),"",OFFSET(TH!E$1,SMALL(Dong2,ROWS($1:2)),))</f>
        <v>42376</v>
      </c>
      <c r="D13" s="453" t="str">
        <f ca="1">IF(ROWS($1:2)&gt;COUNT(Dong2),"",OFFSET(TH!F$1,SMALL(Dong2,ROWS($1:2)),))</f>
        <v>Q11 - Thanh toán tiền sorbitol - Thành Phương</v>
      </c>
      <c r="E13" s="217" t="str">
        <f ca="1">IF(ROWS($1:2)&gt;COUNT(Dong2),"",IF(OFFSET(TH!O$1,SMALL(Dong2,ROWS($1:2)),)=$I$6,OFFSET(TH!N$1,SMALL(Dong2,ROWS($1:2)),),OFFSET(TH!O$1,SMALL(Dong2,ROWS($1:2)),)))</f>
        <v>331</v>
      </c>
      <c r="F13" s="1295">
        <f ca="1">IF(ROWS($1:2)&gt;COUNT(Dong2),"",IF(AND(IF($M$9="Q4",RIGHT(OFFSET(TH!G$1,SMALL(Dong2,ROWS($1:2)),),2)=$M$9,RIGHT(OFFSET(TH!G$1,SMALL(Dong2,ROWS($1:2)),),3)=$M$9),OFFSET(TH!N$1,SMALL(Dong2,ROWS($1:2)),)=$I$6),IF($I$6="1121",OFFSET(TH!M$1,SMALL(Dong2,ROWS($1:2)),),OFFSET(TH!K$1,SMALL(Dong2,ROWS($1:2)),)),0))</f>
        <v>0</v>
      </c>
      <c r="G13" s="1295">
        <f ca="1">IF(ROWS($1:2)&gt;COUNT(Dong2),"",IF(AND(IF($M$9="Q4",LEFT(OFFSET(TH!G$1,SMALL(Dong2,ROWS($1:2)),),2)=$M$9,LEFT(OFFSET(TH!G$1,SMALL(Dong2,ROWS($1:2)),),3)=$M$9),OFFSET(TH!O$1,SMALL(Dong2,ROWS($1:2)),)=$I$6),IF($I$6="1121",OFFSET(TH!M$1,SMALL(Dong2,ROWS($1:2)),),OFFSET(TH!K$1,SMALL(Dong2,ROWS($1:2)),)),0))</f>
        <v>38506000</v>
      </c>
      <c r="H13" s="1296">
        <f t="shared" ref="H13:H55" ca="1" si="1">IF(A13&lt;&gt;"",H12+F13-G13,0)</f>
        <v>23586853</v>
      </c>
      <c r="I13" s="1292"/>
      <c r="L13" s="198"/>
    </row>
    <row r="14" spans="1:19" s="206" customFormat="1" ht="20.25" customHeight="1">
      <c r="A14" s="217">
        <f ca="1">IF(ROWS($1:3)&gt;COUNT(Dong2),"",OFFSET(TH!C$1,SMALL(Dong2,ROWS($1:3)),))</f>
        <v>42376</v>
      </c>
      <c r="B14" s="217" t="str">
        <f ca="1">IF(ROWS($1:3)&gt;COUNT(Dong2),"",OFFSET(TH!D$1,SMALL(Dong2,ROWS($1:3)),))</f>
        <v>GBN</v>
      </c>
      <c r="C14" s="217">
        <f ca="1">IF(ROWS($1:3)&gt;COUNT(Dong2),"",OFFSET(TH!E$1,SMALL(Dong2,ROWS($1:3)),))</f>
        <v>42376</v>
      </c>
      <c r="D14" s="453" t="str">
        <f ca="1">IF(ROWS($1:3)&gt;COUNT(Dong2),"",OFFSET(TH!F$1,SMALL(Dong2,ROWS($1:3)),))</f>
        <v>Q11 - Phí chuyển tiền</v>
      </c>
      <c r="E14" s="217" t="str">
        <f ca="1">IF(ROWS($1:3)&gt;COUNT(Dong2),"",IF(OFFSET(TH!O$1,SMALL(Dong2,ROWS($1:3)),)=$I$6,OFFSET(TH!N$1,SMALL(Dong2,ROWS($1:3)),),OFFSET(TH!O$1,SMALL(Dong2,ROWS($1:3)),)))</f>
        <v>642</v>
      </c>
      <c r="F14" s="1295">
        <f ca="1">IF(ROWS($1:3)&gt;COUNT(Dong2),"",IF(AND(IF($M$9="Q4",RIGHT(OFFSET(TH!G$1,SMALL(Dong2,ROWS($1:3)),),2)=$M$9,RIGHT(OFFSET(TH!G$1,SMALL(Dong2,ROWS($1:3)),),3)=$M$9),OFFSET(TH!N$1,SMALL(Dong2,ROWS($1:3)),)=$I$6),IF($I$6="1121",OFFSET(TH!M$1,SMALL(Dong2,ROWS($1:3)),),OFFSET(TH!K$1,SMALL(Dong2,ROWS($1:3)),)),0))</f>
        <v>0</v>
      </c>
      <c r="G14" s="1295">
        <f ca="1">IF(ROWS($1:3)&gt;COUNT(Dong2),"",IF(AND(IF($M$9="Q4",LEFT(OFFSET(TH!G$1,SMALL(Dong2,ROWS($1:3)),),2)=$M$9,LEFT(OFFSET(TH!G$1,SMALL(Dong2,ROWS($1:3)),),3)=$M$9),OFFSET(TH!O$1,SMALL(Dong2,ROWS($1:3)),)=$I$6),IF($I$6="1121",OFFSET(TH!M$1,SMALL(Dong2,ROWS($1:3)),),OFFSET(TH!K$1,SMALL(Dong2,ROWS($1:3)),)),0))</f>
        <v>44000</v>
      </c>
      <c r="H14" s="1296">
        <f t="shared" ca="1" si="1"/>
        <v>23542853</v>
      </c>
      <c r="I14" s="1292"/>
      <c r="L14" s="198"/>
    </row>
    <row r="15" spans="1:19" s="206" customFormat="1" ht="20.25" customHeight="1">
      <c r="A15" s="217">
        <f ca="1">IF(ROWS($1:4)&gt;COUNT(Dong2),"",OFFSET(TH!C$1,SMALL(Dong2,ROWS($1:4)),))</f>
        <v>42382</v>
      </c>
      <c r="B15" s="217" t="str">
        <f ca="1">IF(ROWS($1:4)&gt;COUNT(Dong2),"",OFFSET(TH!D$1,SMALL(Dong2,ROWS($1:4)),))</f>
        <v>GBN</v>
      </c>
      <c r="C15" s="217">
        <f ca="1">IF(ROWS($1:4)&gt;COUNT(Dong2),"",OFFSET(TH!E$1,SMALL(Dong2,ROWS($1:4)),))</f>
        <v>42382</v>
      </c>
      <c r="D15" s="453" t="str">
        <f ca="1">IF(ROWS($1:4)&gt;COUNT(Dong2),"",OFFSET(TH!F$1,SMALL(Dong2,ROWS($1:4)),))</f>
        <v xml:space="preserve">Q11 - Nộp thuế Môn bài 2016 </v>
      </c>
      <c r="E15" s="217" t="str">
        <f ca="1">IF(ROWS($1:4)&gt;COUNT(Dong2),"",IF(OFFSET(TH!O$1,SMALL(Dong2,ROWS($1:4)),)=$I$6,OFFSET(TH!N$1,SMALL(Dong2,ROWS($1:4)),),OFFSET(TH!O$1,SMALL(Dong2,ROWS($1:4)),)))</f>
        <v>33382</v>
      </c>
      <c r="F15" s="1295">
        <f ca="1">IF(ROWS($1:4)&gt;COUNT(Dong2),"",IF(AND(IF($M$9="Q4",RIGHT(OFFSET(TH!G$1,SMALL(Dong2,ROWS($1:4)),),2)=$M$9,RIGHT(OFFSET(TH!G$1,SMALL(Dong2,ROWS($1:4)),),3)=$M$9),OFFSET(TH!N$1,SMALL(Dong2,ROWS($1:4)),)=$I$6),IF($I$6="1121",OFFSET(TH!M$1,SMALL(Dong2,ROWS($1:4)),),OFFSET(TH!K$1,SMALL(Dong2,ROWS($1:4)),)),0))</f>
        <v>0</v>
      </c>
      <c r="G15" s="1295">
        <f ca="1">IF(ROWS($1:4)&gt;COUNT(Dong2),"",IF(AND(IF($M$9="Q4",LEFT(OFFSET(TH!G$1,SMALL(Dong2,ROWS($1:4)),),2)=$M$9,LEFT(OFFSET(TH!G$1,SMALL(Dong2,ROWS($1:4)),),3)=$M$9),OFFSET(TH!O$1,SMALL(Dong2,ROWS($1:4)),)=$I$6),IF($I$6="1121",OFFSET(TH!M$1,SMALL(Dong2,ROWS($1:4)),),OFFSET(TH!K$1,SMALL(Dong2,ROWS($1:4)),)),0))</f>
        <v>2000000</v>
      </c>
      <c r="H15" s="1296">
        <f t="shared" ca="1" si="1"/>
        <v>21542853</v>
      </c>
      <c r="I15" s="1292"/>
      <c r="L15" s="198"/>
    </row>
    <row r="16" spans="1:19" s="206" customFormat="1" ht="20.25" customHeight="1">
      <c r="A16" s="217">
        <f ca="1">IF(ROWS($1:5)&gt;COUNT(Dong2),"",OFFSET(TH!C$1,SMALL(Dong2,ROWS($1:5)),))</f>
        <v>42383</v>
      </c>
      <c r="B16" s="217" t="str">
        <f ca="1">IF(ROWS($1:5)&gt;COUNT(Dong2),"",OFFSET(TH!D$1,SMALL(Dong2,ROWS($1:5)),))</f>
        <v>GBN</v>
      </c>
      <c r="C16" s="217">
        <f ca="1">IF(ROWS($1:5)&gt;COUNT(Dong2),"",OFFSET(TH!E$1,SMALL(Dong2,ROWS($1:5)),))</f>
        <v>42383</v>
      </c>
      <c r="D16" s="453" t="str">
        <f ca="1">IF(ROWS($1:5)&gt;COUNT(Dong2),"",OFFSET(TH!F$1,SMALL(Dong2,ROWS($1:5)),))</f>
        <v>Q11 - Bán ngoại tệ chuyển TK VND</v>
      </c>
      <c r="E16" s="217" t="str">
        <f ca="1">IF(ROWS($1:5)&gt;COUNT(Dong2),"",IF(OFFSET(TH!O$1,SMALL(Dong2,ROWS($1:5)),)=$I$6,OFFSET(TH!N$1,SMALL(Dong2,ROWS($1:5)),),OFFSET(TH!O$1,SMALL(Dong2,ROWS($1:5)),)))</f>
        <v>1122</v>
      </c>
      <c r="F16" s="1295">
        <f ca="1">IF(ROWS($1:5)&gt;COUNT(Dong2),"",IF(AND(IF($M$9="Q4",RIGHT(OFFSET(TH!G$1,SMALL(Dong2,ROWS($1:5)),),2)=$M$9,RIGHT(OFFSET(TH!G$1,SMALL(Dong2,ROWS($1:5)),),3)=$M$9),OFFSET(TH!N$1,SMALL(Dong2,ROWS($1:5)),)=$I$6),IF($I$6="1121",OFFSET(TH!M$1,SMALL(Dong2,ROWS($1:5)),),OFFSET(TH!K$1,SMALL(Dong2,ROWS($1:5)),)),0))</f>
        <v>134400000</v>
      </c>
      <c r="G16" s="1295">
        <f ca="1">IF(ROWS($1:5)&gt;COUNT(Dong2),"",IF(AND(IF($M$9="Q4",LEFT(OFFSET(TH!G$1,SMALL(Dong2,ROWS($1:5)),),2)=$M$9,LEFT(OFFSET(TH!G$1,SMALL(Dong2,ROWS($1:5)),),3)=$M$9),OFFSET(TH!O$1,SMALL(Dong2,ROWS($1:5)),)=$I$6),IF($I$6="1121",OFFSET(TH!M$1,SMALL(Dong2,ROWS($1:5)),),OFFSET(TH!K$1,SMALL(Dong2,ROWS($1:5)),)),0))</f>
        <v>0</v>
      </c>
      <c r="H16" s="1296">
        <f t="shared" ca="1" si="1"/>
        <v>155942853</v>
      </c>
      <c r="I16" s="1292"/>
      <c r="L16" s="198"/>
    </row>
    <row r="17" spans="1:12" s="206" customFormat="1" ht="20.25" customHeight="1">
      <c r="A17" s="217">
        <f ca="1">IF(ROWS($1:6)&gt;COUNT(Dong2),"",OFFSET(TH!C$1,SMALL(Dong2,ROWS($1:6)),))</f>
        <v>42383</v>
      </c>
      <c r="B17" s="217" t="str">
        <f ca="1">IF(ROWS($1:6)&gt;COUNT(Dong2),"",OFFSET(TH!D$1,SMALL(Dong2,ROWS($1:6)),))</f>
        <v>GBN</v>
      </c>
      <c r="C17" s="217">
        <f ca="1">IF(ROWS($1:6)&gt;COUNT(Dong2),"",OFFSET(TH!E$1,SMALL(Dong2,ROWS($1:6)),))</f>
        <v>42383</v>
      </c>
      <c r="D17" s="453" t="str">
        <f ca="1">IF(ROWS($1:6)&gt;COUNT(Dong2),"",OFFSET(TH!F$1,SMALL(Dong2,ROWS($1:6)),))</f>
        <v>Q11 - Thanh toán tiền điện Kỳ 3 T12/2016 - Điện Lực</v>
      </c>
      <c r="E17" s="217" t="str">
        <f ca="1">IF(ROWS($1:6)&gt;COUNT(Dong2),"",IF(OFFSET(TH!O$1,SMALL(Dong2,ROWS($1:6)),)=$I$6,OFFSET(TH!N$1,SMALL(Dong2,ROWS($1:6)),),OFFSET(TH!O$1,SMALL(Dong2,ROWS($1:6)),)))</f>
        <v>331</v>
      </c>
      <c r="F17" s="1295">
        <f ca="1">IF(ROWS($1:6)&gt;COUNT(Dong2),"",IF(AND(IF($M$9="Q4",RIGHT(OFFSET(TH!G$1,SMALL(Dong2,ROWS($1:6)),),2)=$M$9,RIGHT(OFFSET(TH!G$1,SMALL(Dong2,ROWS($1:6)),),3)=$M$9),OFFSET(TH!N$1,SMALL(Dong2,ROWS($1:6)),)=$I$6),IF($I$6="1121",OFFSET(TH!M$1,SMALL(Dong2,ROWS($1:6)),),OFFSET(TH!K$1,SMALL(Dong2,ROWS($1:6)),)),0))</f>
        <v>0</v>
      </c>
      <c r="G17" s="1295">
        <f ca="1">IF(ROWS($1:6)&gt;COUNT(Dong2),"",IF(AND(IF($M$9="Q4",LEFT(OFFSET(TH!G$1,SMALL(Dong2,ROWS($1:6)),),2)=$M$9,LEFT(OFFSET(TH!G$1,SMALL(Dong2,ROWS($1:6)),),3)=$M$9),OFFSET(TH!O$1,SMALL(Dong2,ROWS($1:6)),)=$I$6),IF($I$6="1121",OFFSET(TH!M$1,SMALL(Dong2,ROWS($1:6)),),OFFSET(TH!K$1,SMALL(Dong2,ROWS($1:6)),)),0))</f>
        <v>39198830</v>
      </c>
      <c r="H17" s="1296">
        <f t="shared" ca="1" si="1"/>
        <v>116744023</v>
      </c>
      <c r="I17" s="1292"/>
      <c r="L17" s="198"/>
    </row>
    <row r="18" spans="1:12" s="206" customFormat="1" ht="20.25" customHeight="1">
      <c r="A18" s="217">
        <f ca="1">IF(ROWS($1:7)&gt;COUNT(Dong2),"",OFFSET(TH!C$1,SMALL(Dong2,ROWS($1:7)),))</f>
        <v>42383</v>
      </c>
      <c r="B18" s="217" t="str">
        <f ca="1">IF(ROWS($1:7)&gt;COUNT(Dong2),"",OFFSET(TH!D$1,SMALL(Dong2,ROWS($1:7)),))</f>
        <v>GBN</v>
      </c>
      <c r="C18" s="217">
        <f ca="1">IF(ROWS($1:7)&gt;COUNT(Dong2),"",OFFSET(TH!E$1,SMALL(Dong2,ROWS($1:7)),))</f>
        <v>42383</v>
      </c>
      <c r="D18" s="453" t="str">
        <f ca="1">IF(ROWS($1:7)&gt;COUNT(Dong2),"",OFFSET(TH!F$1,SMALL(Dong2,ROWS($1:7)),))</f>
        <v>Q11 - Phí chuyển tiền</v>
      </c>
      <c r="E18" s="217" t="str">
        <f ca="1">IF(ROWS($1:7)&gt;COUNT(Dong2),"",IF(OFFSET(TH!O$1,SMALL(Dong2,ROWS($1:7)),)=$I$6,OFFSET(TH!N$1,SMALL(Dong2,ROWS($1:7)),),OFFSET(TH!O$1,SMALL(Dong2,ROWS($1:7)),)))</f>
        <v>642</v>
      </c>
      <c r="F18" s="1295">
        <f ca="1">IF(ROWS($1:7)&gt;COUNT(Dong2),"",IF(AND(IF($M$9="Q4",RIGHT(OFFSET(TH!G$1,SMALL(Dong2,ROWS($1:7)),),2)=$M$9,RIGHT(OFFSET(TH!G$1,SMALL(Dong2,ROWS($1:7)),),3)=$M$9),OFFSET(TH!N$1,SMALL(Dong2,ROWS($1:7)),)=$I$6),IF($I$6="1121",OFFSET(TH!M$1,SMALL(Dong2,ROWS($1:7)),),OFFSET(TH!K$1,SMALL(Dong2,ROWS($1:7)),)),0))</f>
        <v>0</v>
      </c>
      <c r="G18" s="1295">
        <f ca="1">IF(ROWS($1:7)&gt;COUNT(Dong2),"",IF(AND(IF($M$9="Q4",LEFT(OFFSET(TH!G$1,SMALL(Dong2,ROWS($1:7)),),2)=$M$9,LEFT(OFFSET(TH!G$1,SMALL(Dong2,ROWS($1:7)),),3)=$M$9),OFFSET(TH!O$1,SMALL(Dong2,ROWS($1:7)),)=$I$6),IF($I$6="1121",OFFSET(TH!M$1,SMALL(Dong2,ROWS($1:7)),),OFFSET(TH!K$1,SMALL(Dong2,ROWS($1:7)),)),0))</f>
        <v>20000</v>
      </c>
      <c r="H18" s="1296">
        <f t="shared" ca="1" si="1"/>
        <v>116724023</v>
      </c>
      <c r="I18" s="1292"/>
      <c r="L18" s="198"/>
    </row>
    <row r="19" spans="1:12" s="206" customFormat="1" ht="20.25" customHeight="1">
      <c r="A19" s="217">
        <f ca="1">IF(ROWS($1:8)&gt;COUNT(Dong2),"",OFFSET(TH!C$1,SMALL(Dong2,ROWS($1:8)),))</f>
        <v>42383</v>
      </c>
      <c r="B19" s="217" t="str">
        <f ca="1">IF(ROWS($1:8)&gt;COUNT(Dong2),"",OFFSET(TH!D$1,SMALL(Dong2,ROWS($1:8)),))</f>
        <v>GBN</v>
      </c>
      <c r="C19" s="217">
        <f ca="1">IF(ROWS($1:8)&gt;COUNT(Dong2),"",OFFSET(TH!E$1,SMALL(Dong2,ROWS($1:8)),))</f>
        <v>42383</v>
      </c>
      <c r="D19" s="453" t="str">
        <f ca="1">IF(ROWS($1:8)&gt;COUNT(Dong2),"",OFFSET(TH!F$1,SMALL(Dong2,ROWS($1:8)),))</f>
        <v>Q11 - VAT Phí chuyển tiền</v>
      </c>
      <c r="E19" s="217" t="str">
        <f ca="1">IF(ROWS($1:8)&gt;COUNT(Dong2),"",IF(OFFSET(TH!O$1,SMALL(Dong2,ROWS($1:8)),)=$I$6,OFFSET(TH!N$1,SMALL(Dong2,ROWS($1:8)),),OFFSET(TH!O$1,SMALL(Dong2,ROWS($1:8)),)))</f>
        <v>1331</v>
      </c>
      <c r="F19" s="1295">
        <f ca="1">IF(ROWS($1:8)&gt;COUNT(Dong2),"",IF(AND(IF($M$9="Q4",RIGHT(OFFSET(TH!G$1,SMALL(Dong2,ROWS($1:8)),),2)=$M$9,RIGHT(OFFSET(TH!G$1,SMALL(Dong2,ROWS($1:8)),),3)=$M$9),OFFSET(TH!N$1,SMALL(Dong2,ROWS($1:8)),)=$I$6),IF($I$6="1121",OFFSET(TH!M$1,SMALL(Dong2,ROWS($1:8)),),OFFSET(TH!K$1,SMALL(Dong2,ROWS($1:8)),)),0))</f>
        <v>0</v>
      </c>
      <c r="G19" s="1295">
        <f ca="1">IF(ROWS($1:8)&gt;COUNT(Dong2),"",IF(AND(IF($M$9="Q4",LEFT(OFFSET(TH!G$1,SMALL(Dong2,ROWS($1:8)),),2)=$M$9,LEFT(OFFSET(TH!G$1,SMALL(Dong2,ROWS($1:8)),),3)=$M$9),OFFSET(TH!O$1,SMALL(Dong2,ROWS($1:8)),)=$I$6),IF($I$6="1121",OFFSET(TH!M$1,SMALL(Dong2,ROWS($1:8)),),OFFSET(TH!K$1,SMALL(Dong2,ROWS($1:8)),)),0))</f>
        <v>2000</v>
      </c>
      <c r="H19" s="1296">
        <f t="shared" ca="1" si="1"/>
        <v>116722023</v>
      </c>
      <c r="I19" s="1292"/>
      <c r="L19" s="198"/>
    </row>
    <row r="20" spans="1:12" s="206" customFormat="1" ht="20.25" customHeight="1">
      <c r="A20" s="217">
        <f ca="1">IF(ROWS($1:9)&gt;COUNT(Dong2),"",OFFSET(TH!C$1,SMALL(Dong2,ROWS($1:9)),))</f>
        <v>42384</v>
      </c>
      <c r="B20" s="217" t="str">
        <f ca="1">IF(ROWS($1:9)&gt;COUNT(Dong2),"",OFFSET(TH!D$1,SMALL(Dong2,ROWS($1:9)),))</f>
        <v>T02</v>
      </c>
      <c r="C20" s="217">
        <f ca="1">IF(ROWS($1:9)&gt;COUNT(Dong2),"",OFFSET(TH!E$1,SMALL(Dong2,ROWS($1:9)),))</f>
        <v>42384</v>
      </c>
      <c r="D20" s="453" t="str">
        <f ca="1">IF(ROWS($1:9)&gt;COUNT(Dong2),"",OFFSET(TH!F$1,SMALL(Dong2,ROWS($1:9)),))</f>
        <v>Q11 - Rút tiền gửi NH nhập quỹ TM</v>
      </c>
      <c r="E20" s="217" t="str">
        <f ca="1">IF(ROWS($1:9)&gt;COUNT(Dong2),"",IF(OFFSET(TH!O$1,SMALL(Dong2,ROWS($1:9)),)=$I$6,OFFSET(TH!N$1,SMALL(Dong2,ROWS($1:9)),),OFFSET(TH!O$1,SMALL(Dong2,ROWS($1:9)),)))</f>
        <v>1111</v>
      </c>
      <c r="F20" s="1295">
        <f ca="1">IF(ROWS($1:9)&gt;COUNT(Dong2),"",IF(AND(IF($M$9="Q4",RIGHT(OFFSET(TH!G$1,SMALL(Dong2,ROWS($1:9)),),2)=$M$9,RIGHT(OFFSET(TH!G$1,SMALL(Dong2,ROWS($1:9)),),3)=$M$9),OFFSET(TH!N$1,SMALL(Dong2,ROWS($1:9)),)=$I$6),IF($I$6="1121",OFFSET(TH!M$1,SMALL(Dong2,ROWS($1:9)),),OFFSET(TH!K$1,SMALL(Dong2,ROWS($1:9)),)),0))</f>
        <v>0</v>
      </c>
      <c r="G20" s="1295">
        <f ca="1">IF(ROWS($1:9)&gt;COUNT(Dong2),"",IF(AND(IF($M$9="Q4",LEFT(OFFSET(TH!G$1,SMALL(Dong2,ROWS($1:9)),),2)=$M$9,LEFT(OFFSET(TH!G$1,SMALL(Dong2,ROWS($1:9)),),3)=$M$9),OFFSET(TH!O$1,SMALL(Dong2,ROWS($1:9)),)=$I$6),IF($I$6="1121",OFFSET(TH!M$1,SMALL(Dong2,ROWS($1:9)),),OFFSET(TH!K$1,SMALL(Dong2,ROWS($1:9)),)),0))</f>
        <v>100000000</v>
      </c>
      <c r="H20" s="1296">
        <f t="shared" ca="1" si="1"/>
        <v>16722023</v>
      </c>
      <c r="I20" s="1292"/>
      <c r="L20" s="198"/>
    </row>
    <row r="21" spans="1:12" s="206" customFormat="1" ht="20.25" customHeight="1">
      <c r="A21" s="217">
        <f ca="1">IF(ROWS($1:10)&gt;COUNT(Dong2),"",OFFSET(TH!C$1,SMALL(Dong2,ROWS($1:10)),))</f>
        <v>42387</v>
      </c>
      <c r="B21" s="217" t="str">
        <f ca="1">IF(ROWS($1:10)&gt;COUNT(Dong2),"",OFFSET(TH!D$1,SMALL(Dong2,ROWS($1:10)),))</f>
        <v>GBN</v>
      </c>
      <c r="C21" s="217">
        <f ca="1">IF(ROWS($1:10)&gt;COUNT(Dong2),"",OFFSET(TH!E$1,SMALL(Dong2,ROWS($1:10)),))</f>
        <v>42387</v>
      </c>
      <c r="D21" s="453" t="str">
        <f ca="1">IF(ROWS($1:10)&gt;COUNT(Dong2),"",OFFSET(TH!F$1,SMALL(Dong2,ROWS($1:10)),))</f>
        <v>Q11 - Trả lãi KU 1015LDS201502216</v>
      </c>
      <c r="E21" s="217" t="str">
        <f ca="1">IF(ROWS($1:10)&gt;COUNT(Dong2),"",IF(OFFSET(TH!O$1,SMALL(Dong2,ROWS($1:10)),)=$I$6,OFFSET(TH!N$1,SMALL(Dong2,ROWS($1:10)),),OFFSET(TH!O$1,SMALL(Dong2,ROWS($1:10)),)))</f>
        <v>635</v>
      </c>
      <c r="F21" s="1295">
        <f ca="1">IF(ROWS($1:10)&gt;COUNT(Dong2),"",IF(AND(IF($M$9="Q4",RIGHT(OFFSET(TH!G$1,SMALL(Dong2,ROWS($1:10)),),2)=$M$9,RIGHT(OFFSET(TH!G$1,SMALL(Dong2,ROWS($1:10)),),3)=$M$9),OFFSET(TH!N$1,SMALL(Dong2,ROWS($1:10)),)=$I$6),IF($I$6="1121",OFFSET(TH!M$1,SMALL(Dong2,ROWS($1:10)),),OFFSET(TH!K$1,SMALL(Dong2,ROWS($1:10)),)),0))</f>
        <v>0</v>
      </c>
      <c r="G21" s="1295">
        <f ca="1">IF(ROWS($1:10)&gt;COUNT(Dong2),"",IF(AND(IF($M$9="Q4",LEFT(OFFSET(TH!G$1,SMALL(Dong2,ROWS($1:10)),),2)=$M$9,LEFT(OFFSET(TH!G$1,SMALL(Dong2,ROWS($1:10)),),3)=$M$9),OFFSET(TH!O$1,SMALL(Dong2,ROWS($1:10)),)=$I$6),IF($I$6="1121",OFFSET(TH!M$1,SMALL(Dong2,ROWS($1:10)),),OFFSET(TH!K$1,SMALL(Dong2,ROWS($1:10)),)),0))</f>
        <v>3087650</v>
      </c>
      <c r="H21" s="1296">
        <f t="shared" ca="1" si="1"/>
        <v>13634373</v>
      </c>
      <c r="I21" s="1292"/>
      <c r="L21" s="198"/>
    </row>
    <row r="22" spans="1:12" s="206" customFormat="1" ht="20.25" customHeight="1">
      <c r="A22" s="217">
        <f ca="1">IF(ROWS($1:11)&gt;COUNT(Dong2),"",OFFSET(TH!C$1,SMALL(Dong2,ROWS($1:11)),))</f>
        <v>42387</v>
      </c>
      <c r="B22" s="217" t="str">
        <f ca="1">IF(ROWS($1:11)&gt;COUNT(Dong2),"",OFFSET(TH!D$1,SMALL(Dong2,ROWS($1:11)),))</f>
        <v>GBN</v>
      </c>
      <c r="C22" s="217">
        <f ca="1">IF(ROWS($1:11)&gt;COUNT(Dong2),"",OFFSET(TH!E$1,SMALL(Dong2,ROWS($1:11)),))</f>
        <v>42387</v>
      </c>
      <c r="D22" s="453" t="str">
        <f ca="1">IF(ROWS($1:11)&gt;COUNT(Dong2),"",OFFSET(TH!F$1,SMALL(Dong2,ROWS($1:11)),))</f>
        <v>Q11 - Trả lãi KU 1015LDS201502226</v>
      </c>
      <c r="E22" s="217" t="str">
        <f ca="1">IF(ROWS($1:11)&gt;COUNT(Dong2),"",IF(OFFSET(TH!O$1,SMALL(Dong2,ROWS($1:11)),)=$I$6,OFFSET(TH!N$1,SMALL(Dong2,ROWS($1:11)),),OFFSET(TH!O$1,SMALL(Dong2,ROWS($1:11)),)))</f>
        <v>635</v>
      </c>
      <c r="F22" s="1295">
        <f ca="1">IF(ROWS($1:11)&gt;COUNT(Dong2),"",IF(AND(IF($M$9="Q4",RIGHT(OFFSET(TH!G$1,SMALL(Dong2,ROWS($1:11)),),2)=$M$9,RIGHT(OFFSET(TH!G$1,SMALL(Dong2,ROWS($1:11)),),3)=$M$9),OFFSET(TH!N$1,SMALL(Dong2,ROWS($1:11)),)=$I$6),IF($I$6="1121",OFFSET(TH!M$1,SMALL(Dong2,ROWS($1:11)),),OFFSET(TH!K$1,SMALL(Dong2,ROWS($1:11)),)),0))</f>
        <v>0</v>
      </c>
      <c r="G22" s="1295">
        <f ca="1">IF(ROWS($1:11)&gt;COUNT(Dong2),"",IF(AND(IF($M$9="Q4",LEFT(OFFSET(TH!G$1,SMALL(Dong2,ROWS($1:11)),),2)=$M$9,LEFT(OFFSET(TH!G$1,SMALL(Dong2,ROWS($1:11)),),3)=$M$9),OFFSET(TH!O$1,SMALL(Dong2,ROWS($1:11)),)=$I$6),IF($I$6="1121",OFFSET(TH!M$1,SMALL(Dong2,ROWS($1:11)),),OFFSET(TH!K$1,SMALL(Dong2,ROWS($1:11)),)),0))</f>
        <v>3859450</v>
      </c>
      <c r="H22" s="1296">
        <f t="shared" ca="1" si="1"/>
        <v>9774923</v>
      </c>
      <c r="I22" s="1292"/>
      <c r="L22" s="198"/>
    </row>
    <row r="23" spans="1:12" s="206" customFormat="1" ht="20.25" customHeight="1">
      <c r="A23" s="217">
        <f ca="1">IF(ROWS($1:12)&gt;COUNT(Dong2),"",OFFSET(TH!C$1,SMALL(Dong2,ROWS($1:12)),))</f>
        <v>42387</v>
      </c>
      <c r="B23" s="217" t="str">
        <f ca="1">IF(ROWS($1:12)&gt;COUNT(Dong2),"",OFFSET(TH!D$1,SMALL(Dong2,ROWS($1:12)),))</f>
        <v>GBN</v>
      </c>
      <c r="C23" s="217">
        <f ca="1">IF(ROWS($1:12)&gt;COUNT(Dong2),"",OFFSET(TH!E$1,SMALL(Dong2,ROWS($1:12)),))</f>
        <v>42387</v>
      </c>
      <c r="D23" s="453" t="str">
        <f ca="1">IF(ROWS($1:12)&gt;COUNT(Dong2),"",OFFSET(TH!F$1,SMALL(Dong2,ROWS($1:12)),))</f>
        <v>Q11 - Trả lãi KU 1015LDS201501790</v>
      </c>
      <c r="E23" s="217" t="str">
        <f ca="1">IF(ROWS($1:12)&gt;COUNT(Dong2),"",IF(OFFSET(TH!O$1,SMALL(Dong2,ROWS($1:12)),)=$I$6,OFFSET(TH!N$1,SMALL(Dong2,ROWS($1:12)),),OFFSET(TH!O$1,SMALL(Dong2,ROWS($1:12)),)))</f>
        <v>635</v>
      </c>
      <c r="F23" s="1295">
        <f ca="1">IF(ROWS($1:12)&gt;COUNT(Dong2),"",IF(AND(IF($M$9="Q4",RIGHT(OFFSET(TH!G$1,SMALL(Dong2,ROWS($1:12)),),2)=$M$9,RIGHT(OFFSET(TH!G$1,SMALL(Dong2,ROWS($1:12)),),3)=$M$9),OFFSET(TH!N$1,SMALL(Dong2,ROWS($1:12)),)=$I$6),IF($I$6="1121",OFFSET(TH!M$1,SMALL(Dong2,ROWS($1:12)),),OFFSET(TH!K$1,SMALL(Dong2,ROWS($1:12)),)),0))</f>
        <v>0</v>
      </c>
      <c r="G23" s="1295">
        <f ca="1">IF(ROWS($1:12)&gt;COUNT(Dong2),"",IF(AND(IF($M$9="Q4",LEFT(OFFSET(TH!G$1,SMALL(Dong2,ROWS($1:12)),),2)=$M$9,LEFT(OFFSET(TH!G$1,SMALL(Dong2,ROWS($1:12)),),3)=$M$9),OFFSET(TH!O$1,SMALL(Dong2,ROWS($1:12)),)=$I$6),IF($I$6="1121",OFFSET(TH!M$1,SMALL(Dong2,ROWS($1:12)),),OFFSET(TH!K$1,SMALL(Dong2,ROWS($1:12)),)),0))</f>
        <v>7490746</v>
      </c>
      <c r="H23" s="1296">
        <f t="shared" ca="1" si="1"/>
        <v>2284177</v>
      </c>
      <c r="I23" s="1292"/>
      <c r="L23" s="198"/>
    </row>
    <row r="24" spans="1:12" s="206" customFormat="1" ht="20.25" customHeight="1">
      <c r="A24" s="217">
        <f ca="1">IF(ROWS($1:13)&gt;COUNT(Dong2),"",OFFSET(TH!C$1,SMALL(Dong2,ROWS($1:13)),))</f>
        <v>42392</v>
      </c>
      <c r="B24" s="217" t="str">
        <f ca="1">IF(ROWS($1:13)&gt;COUNT(Dong2),"",OFFSET(TH!D$1,SMALL(Dong2,ROWS($1:13)),))</f>
        <v>GBC</v>
      </c>
      <c r="C24" s="217">
        <f ca="1">IF(ROWS($1:13)&gt;COUNT(Dong2),"",OFFSET(TH!E$1,SMALL(Dong2,ROWS($1:13)),))</f>
        <v>42392</v>
      </c>
      <c r="D24" s="453" t="str">
        <f ca="1">IF(ROWS($1:13)&gt;COUNT(Dong2),"",OFFSET(TH!F$1,SMALL(Dong2,ROWS($1:13)),))</f>
        <v>Q11 - Lãi tiền gửi</v>
      </c>
      <c r="E24" s="217" t="str">
        <f ca="1">IF(ROWS($1:13)&gt;COUNT(Dong2),"",IF(OFFSET(TH!O$1,SMALL(Dong2,ROWS($1:13)),)=$I$6,OFFSET(TH!N$1,SMALL(Dong2,ROWS($1:13)),),OFFSET(TH!O$1,SMALL(Dong2,ROWS($1:13)),)))</f>
        <v>515</v>
      </c>
      <c r="F24" s="1295">
        <f ca="1">IF(ROWS($1:13)&gt;COUNT(Dong2),"",IF(AND(IF($M$9="Q4",RIGHT(OFFSET(TH!G$1,SMALL(Dong2,ROWS($1:13)),),2)=$M$9,RIGHT(OFFSET(TH!G$1,SMALL(Dong2,ROWS($1:13)),),3)=$M$9),OFFSET(TH!N$1,SMALL(Dong2,ROWS($1:13)),)=$I$6),IF($I$6="1121",OFFSET(TH!M$1,SMALL(Dong2,ROWS($1:13)),),OFFSET(TH!K$1,SMALL(Dong2,ROWS($1:13)),)),0))</f>
        <v>4172</v>
      </c>
      <c r="G24" s="1295">
        <f ca="1">IF(ROWS($1:13)&gt;COUNT(Dong2),"",IF(AND(IF($M$9="Q4",LEFT(OFFSET(TH!G$1,SMALL(Dong2,ROWS($1:13)),),2)=$M$9,LEFT(OFFSET(TH!G$1,SMALL(Dong2,ROWS($1:13)),),3)=$M$9),OFFSET(TH!O$1,SMALL(Dong2,ROWS($1:13)),)=$I$6),IF($I$6="1121",OFFSET(TH!M$1,SMALL(Dong2,ROWS($1:13)),),OFFSET(TH!K$1,SMALL(Dong2,ROWS($1:13)),)),0))</f>
        <v>0</v>
      </c>
      <c r="H24" s="1296">
        <f t="shared" ca="1" si="1"/>
        <v>2288349</v>
      </c>
      <c r="I24" s="1292"/>
      <c r="L24" s="198"/>
    </row>
    <row r="25" spans="1:12" s="206" customFormat="1" ht="20.25" customHeight="1">
      <c r="A25" s="217">
        <f ca="1">IF(ROWS($1:14)&gt;COUNT(Dong2),"",OFFSET(TH!C$1,SMALL(Dong2,ROWS($1:14)),))</f>
        <v>42394</v>
      </c>
      <c r="B25" s="217" t="str">
        <f ca="1">IF(ROWS($1:14)&gt;COUNT(Dong2),"",OFFSET(TH!D$1,SMALL(Dong2,ROWS($1:14)),))</f>
        <v>GBC</v>
      </c>
      <c r="C25" s="217">
        <f ca="1">IF(ROWS($1:14)&gt;COUNT(Dong2),"",OFFSET(TH!E$1,SMALL(Dong2,ROWS($1:14)),))</f>
        <v>42394</v>
      </c>
      <c r="D25" s="453" t="str">
        <f ca="1">IF(ROWS($1:14)&gt;COUNT(Dong2),"",OFFSET(TH!F$1,SMALL(Dong2,ROWS($1:14)),))</f>
        <v>Q11 - Mua ngoại tệ trả nợ vay</v>
      </c>
      <c r="E25" s="217" t="str">
        <f ca="1">IF(ROWS($1:14)&gt;COUNT(Dong2),"",IF(OFFSET(TH!O$1,SMALL(Dong2,ROWS($1:14)),)=$I$6,OFFSET(TH!N$1,SMALL(Dong2,ROWS($1:14)),),OFFSET(TH!O$1,SMALL(Dong2,ROWS($1:14)),)))</f>
        <v>1122</v>
      </c>
      <c r="F25" s="1295">
        <f ca="1">IF(ROWS($1:14)&gt;COUNT(Dong2),"",IF(AND(IF($M$9="Q4",RIGHT(OFFSET(TH!G$1,SMALL(Dong2,ROWS($1:14)),),2)=$M$9,RIGHT(OFFSET(TH!G$1,SMALL(Dong2,ROWS($1:14)),),3)=$M$9),OFFSET(TH!N$1,SMALL(Dong2,ROWS($1:14)),)=$I$6),IF($I$6="1121",OFFSET(TH!M$1,SMALL(Dong2,ROWS($1:14)),),OFFSET(TH!K$1,SMALL(Dong2,ROWS($1:14)),)),0))</f>
        <v>0</v>
      </c>
      <c r="G25" s="1295">
        <f ca="1">IF(ROWS($1:14)&gt;COUNT(Dong2),"",IF(AND(IF($M$9="Q4",LEFT(OFFSET(TH!G$1,SMALL(Dong2,ROWS($1:14)),),2)=$M$9,LEFT(OFFSET(TH!G$1,SMALL(Dong2,ROWS($1:14)),),3)=$M$9),OFFSET(TH!O$1,SMALL(Dong2,ROWS($1:14)),)=$I$6),IF($I$6="1121",OFFSET(TH!M$1,SMALL(Dong2,ROWS($1:14)),),OFFSET(TH!K$1,SMALL(Dong2,ROWS($1:14)),)),0))</f>
        <v>2168920000</v>
      </c>
      <c r="H25" s="1296">
        <f t="shared" ca="1" si="1"/>
        <v>-2166631651</v>
      </c>
      <c r="I25" s="1292"/>
      <c r="L25" s="198"/>
    </row>
    <row r="26" spans="1:12" s="206" customFormat="1" ht="20.25" customHeight="1">
      <c r="A26" s="217">
        <f ca="1">IF(ROWS($1:15)&gt;COUNT(Dong2),"",OFFSET(TH!C$1,SMALL(Dong2,ROWS($1:15)),))</f>
        <v>42394</v>
      </c>
      <c r="B26" s="217" t="str">
        <f ca="1">IF(ROWS($1:15)&gt;COUNT(Dong2),"",OFFSET(TH!D$1,SMALL(Dong2,ROWS($1:15)),))</f>
        <v>C34</v>
      </c>
      <c r="C26" s="217">
        <f ca="1">IF(ROWS($1:15)&gt;COUNT(Dong2),"",OFFSET(TH!E$1,SMALL(Dong2,ROWS($1:15)),))</f>
        <v>42394</v>
      </c>
      <c r="D26" s="453" t="str">
        <f ca="1">IF(ROWS($1:15)&gt;COUNT(Dong2),"",OFFSET(TH!F$1,SMALL(Dong2,ROWS($1:15)),))</f>
        <v>Q11 - Nộp tiền mặt vào TK</v>
      </c>
      <c r="E26" s="217" t="str">
        <f ca="1">IF(ROWS($1:15)&gt;COUNT(Dong2),"",IF(OFFSET(TH!O$1,SMALL(Dong2,ROWS($1:15)),)=$I$6,OFFSET(TH!N$1,SMALL(Dong2,ROWS($1:15)),),OFFSET(TH!O$1,SMALL(Dong2,ROWS($1:15)),)))</f>
        <v>1111</v>
      </c>
      <c r="F26" s="1295">
        <f ca="1">IF(ROWS($1:15)&gt;COUNT(Dong2),"",IF(AND(IF($M$9="Q4",RIGHT(OFFSET(TH!G$1,SMALL(Dong2,ROWS($1:15)),),2)=$M$9,RIGHT(OFFSET(TH!G$1,SMALL(Dong2,ROWS($1:15)),),3)=$M$9),OFFSET(TH!N$1,SMALL(Dong2,ROWS($1:15)),)=$I$6),IF($I$6="1121",OFFSET(TH!M$1,SMALL(Dong2,ROWS($1:15)),),OFFSET(TH!K$1,SMALL(Dong2,ROWS($1:15)),)),0))</f>
        <v>2168920000</v>
      </c>
      <c r="G26" s="1295">
        <f ca="1">IF(ROWS($1:15)&gt;COUNT(Dong2),"",IF(AND(IF($M$9="Q4",LEFT(OFFSET(TH!G$1,SMALL(Dong2,ROWS($1:15)),),2)=$M$9,LEFT(OFFSET(TH!G$1,SMALL(Dong2,ROWS($1:15)),),3)=$M$9),OFFSET(TH!O$1,SMALL(Dong2,ROWS($1:15)),)=$I$6),IF($I$6="1121",OFFSET(TH!M$1,SMALL(Dong2,ROWS($1:15)),),OFFSET(TH!K$1,SMALL(Dong2,ROWS($1:15)),)),0))</f>
        <v>0</v>
      </c>
      <c r="H26" s="1296">
        <f t="shared" ca="1" si="1"/>
        <v>2288349</v>
      </c>
      <c r="I26" s="1292"/>
      <c r="L26" s="198"/>
    </row>
    <row r="27" spans="1:12" s="206" customFormat="1" ht="20.25" customHeight="1">
      <c r="A27" s="217">
        <f ca="1">IF(ROWS($1:16)&gt;COUNT(Dong2),"",OFFSET(TH!C$1,SMALL(Dong2,ROWS($1:16)),))</f>
        <v>42394</v>
      </c>
      <c r="B27" s="217" t="str">
        <f ca="1">IF(ROWS($1:16)&gt;COUNT(Dong2),"",OFFSET(TH!D$1,SMALL(Dong2,ROWS($1:16)),))</f>
        <v>GBN</v>
      </c>
      <c r="C27" s="217">
        <f ca="1">IF(ROWS($1:16)&gt;COUNT(Dong2),"",OFFSET(TH!E$1,SMALL(Dong2,ROWS($1:16)),))</f>
        <v>42394</v>
      </c>
      <c r="D27" s="453" t="str">
        <f ca="1">IF(ROWS($1:16)&gt;COUNT(Dong2),"",OFFSET(TH!F$1,SMALL(Dong2,ROWS($1:16)),))</f>
        <v>Q11 - Trả lãi tất toán KU 1015LDS201501790</v>
      </c>
      <c r="E27" s="217" t="str">
        <f ca="1">IF(ROWS($1:16)&gt;COUNT(Dong2),"",IF(OFFSET(TH!O$1,SMALL(Dong2,ROWS($1:16)),)=$I$6,OFFSET(TH!N$1,SMALL(Dong2,ROWS($1:16)),),OFFSET(TH!O$1,SMALL(Dong2,ROWS($1:16)),)))</f>
        <v>635</v>
      </c>
      <c r="F27" s="1295">
        <f ca="1">IF(ROWS($1:16)&gt;COUNT(Dong2),"",IF(AND(IF($M$9="Q4",RIGHT(OFFSET(TH!G$1,SMALL(Dong2,ROWS($1:16)),),2)=$M$9,RIGHT(OFFSET(TH!G$1,SMALL(Dong2,ROWS($1:16)),),3)=$M$9),OFFSET(TH!N$1,SMALL(Dong2,ROWS($1:16)),)=$I$6),IF($I$6="1121",OFFSET(TH!M$1,SMALL(Dong2,ROWS($1:16)),),OFFSET(TH!K$1,SMALL(Dong2,ROWS($1:16)),)),0))</f>
        <v>0</v>
      </c>
      <c r="G27" s="1295">
        <f ca="1">IF(ROWS($1:16)&gt;COUNT(Dong2),"",IF(AND(IF($M$9="Q4",LEFT(OFFSET(TH!G$1,SMALL(Dong2,ROWS($1:16)),),2)=$M$9,LEFT(OFFSET(TH!G$1,SMALL(Dong2,ROWS($1:16)),),3)=$M$9),OFFSET(TH!O$1,SMALL(Dong2,ROWS($1:16)),)=$I$6),IF($I$6="1121",OFFSET(TH!M$1,SMALL(Dong2,ROWS($1:16)),),OFFSET(TH!K$1,SMALL(Dong2,ROWS($1:16)),)),0))</f>
        <v>2171830</v>
      </c>
      <c r="H27" s="1296">
        <f t="shared" ca="1" si="1"/>
        <v>116519</v>
      </c>
      <c r="I27" s="1292"/>
      <c r="L27" s="198"/>
    </row>
    <row r="28" spans="1:12" s="206" customFormat="1" ht="20.25" customHeight="1">
      <c r="A28" s="217">
        <f ca="1">IF(ROWS($1:17)&gt;COUNT(Dong2),"",OFFSET(TH!C$1,SMALL(Dong2,ROWS($1:17)),))</f>
        <v>42394</v>
      </c>
      <c r="B28" s="217" t="str">
        <f ca="1">IF(ROWS($1:17)&gt;COUNT(Dong2),"",OFFSET(TH!D$1,SMALL(Dong2,ROWS($1:17)),))</f>
        <v>GBC</v>
      </c>
      <c r="C28" s="217">
        <f ca="1">IF(ROWS($1:17)&gt;COUNT(Dong2),"",OFFSET(TH!E$1,SMALL(Dong2,ROWS($1:17)),))</f>
        <v>42394</v>
      </c>
      <c r="D28" s="453" t="str">
        <f ca="1">IF(ROWS($1:17)&gt;COUNT(Dong2),"",OFFSET(TH!F$1,SMALL(Dong2,ROWS($1:17)),))</f>
        <v>Q11 - Bán ngoại tệ chuyển TK VND</v>
      </c>
      <c r="E28" s="217" t="str">
        <f ca="1">IF(ROWS($1:17)&gt;COUNT(Dong2),"",IF(OFFSET(TH!O$1,SMALL(Dong2,ROWS($1:17)),)=$I$6,OFFSET(TH!N$1,SMALL(Dong2,ROWS($1:17)),),OFFSET(TH!O$1,SMALL(Dong2,ROWS($1:17)),)))</f>
        <v>1122</v>
      </c>
      <c r="F28" s="1295">
        <f ca="1">IF(ROWS($1:17)&gt;COUNT(Dong2),"",IF(AND(IF($M$9="Q4",RIGHT(OFFSET(TH!G$1,SMALL(Dong2,ROWS($1:17)),),2)=$M$9,RIGHT(OFFSET(TH!G$1,SMALL(Dong2,ROWS($1:17)),),3)=$M$9),OFFSET(TH!N$1,SMALL(Dong2,ROWS($1:17)),)=$I$6),IF($I$6="1121",OFFSET(TH!M$1,SMALL(Dong2,ROWS($1:17)),),OFFSET(TH!K$1,SMALL(Dong2,ROWS($1:17)),)),0))</f>
        <v>2168920000</v>
      </c>
      <c r="G28" s="1295">
        <f ca="1">IF(ROWS($1:17)&gt;COUNT(Dong2),"",IF(AND(IF($M$9="Q4",LEFT(OFFSET(TH!G$1,SMALL(Dong2,ROWS($1:17)),),2)=$M$9,LEFT(OFFSET(TH!G$1,SMALL(Dong2,ROWS($1:17)),),3)=$M$9),OFFSET(TH!O$1,SMALL(Dong2,ROWS($1:17)),)=$I$6),IF($I$6="1121",OFFSET(TH!M$1,SMALL(Dong2,ROWS($1:17)),),OFFSET(TH!K$1,SMALL(Dong2,ROWS($1:17)),)),0))</f>
        <v>0</v>
      </c>
      <c r="H28" s="1296">
        <f t="shared" ca="1" si="1"/>
        <v>2169036519</v>
      </c>
      <c r="I28" s="1292"/>
      <c r="L28" s="198"/>
    </row>
    <row r="29" spans="1:12" s="206" customFormat="1" ht="20.25" customHeight="1">
      <c r="A29" s="217">
        <f ca="1">IF(ROWS($1:18)&gt;COUNT(Dong2),"",OFFSET(TH!C$1,SMALL(Dong2,ROWS($1:18)),))</f>
        <v>42394</v>
      </c>
      <c r="B29" s="217" t="str">
        <f ca="1">IF(ROWS($1:18)&gt;COUNT(Dong2),"",OFFSET(TH!D$1,SMALL(Dong2,ROWS($1:18)),))</f>
        <v>T03</v>
      </c>
      <c r="C29" s="217">
        <f ca="1">IF(ROWS($1:18)&gt;COUNT(Dong2),"",OFFSET(TH!E$1,SMALL(Dong2,ROWS($1:18)),))</f>
        <v>42394</v>
      </c>
      <c r="D29" s="453" t="str">
        <f ca="1">IF(ROWS($1:18)&gt;COUNT(Dong2),"",OFFSET(TH!F$1,SMALL(Dong2,ROWS($1:18)),))</f>
        <v>Q11 - Rút tiền gửi NH nhập quỹ TM</v>
      </c>
      <c r="E29" s="217" t="str">
        <f ca="1">IF(ROWS($1:18)&gt;COUNT(Dong2),"",IF(OFFSET(TH!O$1,SMALL(Dong2,ROWS($1:18)),)=$I$6,OFFSET(TH!N$1,SMALL(Dong2,ROWS($1:18)),),OFFSET(TH!O$1,SMALL(Dong2,ROWS($1:18)),)))</f>
        <v>1111</v>
      </c>
      <c r="F29" s="1295">
        <f ca="1">IF(ROWS($1:18)&gt;COUNT(Dong2),"",IF(AND(IF($M$9="Q4",RIGHT(OFFSET(TH!G$1,SMALL(Dong2,ROWS($1:18)),),2)=$M$9,RIGHT(OFFSET(TH!G$1,SMALL(Dong2,ROWS($1:18)),),3)=$M$9),OFFSET(TH!N$1,SMALL(Dong2,ROWS($1:18)),)=$I$6),IF($I$6="1121",OFFSET(TH!M$1,SMALL(Dong2,ROWS($1:18)),),OFFSET(TH!K$1,SMALL(Dong2,ROWS($1:18)),)),0))</f>
        <v>0</v>
      </c>
      <c r="G29" s="1295">
        <f ca="1">IF(ROWS($1:18)&gt;COUNT(Dong2),"",IF(AND(IF($M$9="Q4",LEFT(OFFSET(TH!G$1,SMALL(Dong2,ROWS($1:18)),),2)=$M$9,LEFT(OFFSET(TH!G$1,SMALL(Dong2,ROWS($1:18)),),3)=$M$9),OFFSET(TH!O$1,SMALL(Dong2,ROWS($1:18)),)=$I$6),IF($I$6="1121",OFFSET(TH!M$1,SMALL(Dong2,ROWS($1:18)),),OFFSET(TH!K$1,SMALL(Dong2,ROWS($1:18)),)),0))</f>
        <v>2168920000</v>
      </c>
      <c r="H29" s="1296">
        <f t="shared" ca="1" si="1"/>
        <v>116519</v>
      </c>
      <c r="I29" s="1292"/>
      <c r="L29" s="198"/>
    </row>
    <row r="30" spans="1:12" s="206" customFormat="1" ht="20.25" customHeight="1">
      <c r="A30" s="217">
        <f ca="1">IF(ROWS($1:19)&gt;COUNT(Dong2),"",OFFSET(TH!C$1,SMALL(Dong2,ROWS($1:19)),))</f>
        <v>42395</v>
      </c>
      <c r="B30" s="217" t="str">
        <f ca="1">IF(ROWS($1:19)&gt;COUNT(Dong2),"",OFFSET(TH!D$1,SMALL(Dong2,ROWS($1:19)),))</f>
        <v>C36</v>
      </c>
      <c r="C30" s="217">
        <f ca="1">IF(ROWS($1:19)&gt;COUNT(Dong2),"",OFFSET(TH!E$1,SMALL(Dong2,ROWS($1:19)),))</f>
        <v>42395</v>
      </c>
      <c r="D30" s="453" t="str">
        <f ca="1">IF(ROWS($1:19)&gt;COUNT(Dong2),"",OFFSET(TH!F$1,SMALL(Dong2,ROWS($1:19)),))</f>
        <v>Q11 - Nộp tiền mặt vào TK</v>
      </c>
      <c r="E30" s="217" t="str">
        <f ca="1">IF(ROWS($1:19)&gt;COUNT(Dong2),"",IF(OFFSET(TH!O$1,SMALL(Dong2,ROWS($1:19)),)=$I$6,OFFSET(TH!N$1,SMALL(Dong2,ROWS($1:19)),),OFFSET(TH!O$1,SMALL(Dong2,ROWS($1:19)),)))</f>
        <v>1111</v>
      </c>
      <c r="F30" s="1295">
        <f ca="1">IF(ROWS($1:19)&gt;COUNT(Dong2),"",IF(AND(IF($M$9="Q4",RIGHT(OFFSET(TH!G$1,SMALL(Dong2,ROWS($1:19)),),2)=$M$9,RIGHT(OFFSET(TH!G$1,SMALL(Dong2,ROWS($1:19)),),3)=$M$9),OFFSET(TH!N$1,SMALL(Dong2,ROWS($1:19)),)=$I$6),IF($I$6="1121",OFFSET(TH!M$1,SMALL(Dong2,ROWS($1:19)),),OFFSET(TH!K$1,SMALL(Dong2,ROWS($1:19)),)),0))</f>
        <v>45000000</v>
      </c>
      <c r="G30" s="1295">
        <f ca="1">IF(ROWS($1:19)&gt;COUNT(Dong2),"",IF(AND(IF($M$9="Q4",LEFT(OFFSET(TH!G$1,SMALL(Dong2,ROWS($1:19)),),2)=$M$9,LEFT(OFFSET(TH!G$1,SMALL(Dong2,ROWS($1:19)),),3)=$M$9),OFFSET(TH!O$1,SMALL(Dong2,ROWS($1:19)),)=$I$6),IF($I$6="1121",OFFSET(TH!M$1,SMALL(Dong2,ROWS($1:19)),),OFFSET(TH!K$1,SMALL(Dong2,ROWS($1:19)),)),0))</f>
        <v>0</v>
      </c>
      <c r="H30" s="1296">
        <f t="shared" ca="1" si="1"/>
        <v>45116519</v>
      </c>
      <c r="I30" s="1292"/>
      <c r="L30" s="198"/>
    </row>
    <row r="31" spans="1:12" s="206" customFormat="1" ht="20.25" customHeight="1">
      <c r="A31" s="217">
        <f ca="1">IF(ROWS($1:20)&gt;COUNT(Dong2),"",OFFSET(TH!C$1,SMALL(Dong2,ROWS($1:20)),))</f>
        <v>42395</v>
      </c>
      <c r="B31" s="217" t="str">
        <f ca="1">IF(ROWS($1:20)&gt;COUNT(Dong2),"",OFFSET(TH!D$1,SMALL(Dong2,ROWS($1:20)),))</f>
        <v>GBN</v>
      </c>
      <c r="C31" s="217">
        <f ca="1">IF(ROWS($1:20)&gt;COUNT(Dong2),"",OFFSET(TH!E$1,SMALL(Dong2,ROWS($1:20)),))</f>
        <v>42395</v>
      </c>
      <c r="D31" s="453" t="str">
        <f ca="1">IF(ROWS($1:20)&gt;COUNT(Dong2),"",OFFSET(TH!F$1,SMALL(Dong2,ROWS($1:20)),))</f>
        <v>Q11 - Trả lãi KU 1015LDS201502189</v>
      </c>
      <c r="E31" s="217" t="str">
        <f ca="1">IF(ROWS($1:20)&gt;COUNT(Dong2),"",IF(OFFSET(TH!O$1,SMALL(Dong2,ROWS($1:20)),)=$I$6,OFFSET(TH!N$1,SMALL(Dong2,ROWS($1:20)),),OFFSET(TH!O$1,SMALL(Dong2,ROWS($1:20)),)))</f>
        <v>635</v>
      </c>
      <c r="F31" s="1295">
        <f ca="1">IF(ROWS($1:20)&gt;COUNT(Dong2),"",IF(AND(IF($M$9="Q4",RIGHT(OFFSET(TH!G$1,SMALL(Dong2,ROWS($1:20)),),2)=$M$9,RIGHT(OFFSET(TH!G$1,SMALL(Dong2,ROWS($1:20)),),3)=$M$9),OFFSET(TH!N$1,SMALL(Dong2,ROWS($1:20)),)=$I$6),IF($I$6="1121",OFFSET(TH!M$1,SMALL(Dong2,ROWS($1:20)),),OFFSET(TH!K$1,SMALL(Dong2,ROWS($1:20)),)),0))</f>
        <v>0</v>
      </c>
      <c r="G31" s="1295">
        <f ca="1">IF(ROWS($1:20)&gt;COUNT(Dong2),"",IF(AND(IF($M$9="Q4",LEFT(OFFSET(TH!G$1,SMALL(Dong2,ROWS($1:20)),),2)=$M$9,LEFT(OFFSET(TH!G$1,SMALL(Dong2,ROWS($1:20)),),3)=$M$9),OFFSET(TH!O$1,SMALL(Dong2,ROWS($1:20)),)=$I$6),IF($I$6="1121",OFFSET(TH!M$1,SMALL(Dong2,ROWS($1:20)),),OFFSET(TH!K$1,SMALL(Dong2,ROWS($1:20)),)),0))</f>
        <v>6323855</v>
      </c>
      <c r="H31" s="1296">
        <f t="shared" ca="1" si="1"/>
        <v>38792664</v>
      </c>
      <c r="I31" s="1292"/>
      <c r="L31" s="198"/>
    </row>
    <row r="32" spans="1:12" s="206" customFormat="1" ht="20.25" customHeight="1">
      <c r="A32" s="217">
        <f ca="1">IF(ROWS($1:21)&gt;COUNT(Dong2),"",OFFSET(TH!C$1,SMALL(Dong2,ROWS($1:21)),))</f>
        <v>42395</v>
      </c>
      <c r="B32" s="217" t="str">
        <f ca="1">IF(ROWS($1:21)&gt;COUNT(Dong2),"",OFFSET(TH!D$1,SMALL(Dong2,ROWS($1:21)),))</f>
        <v>GBN</v>
      </c>
      <c r="C32" s="217">
        <f ca="1">IF(ROWS($1:21)&gt;COUNT(Dong2),"",OFFSET(TH!E$1,SMALL(Dong2,ROWS($1:21)),))</f>
        <v>42395</v>
      </c>
      <c r="D32" s="453" t="str">
        <f ca="1">IF(ROWS($1:21)&gt;COUNT(Dong2),"",OFFSET(TH!F$1,SMALL(Dong2,ROWS($1:21)),))</f>
        <v>Q11 - Trả lãi KU 1015LDS201502514</v>
      </c>
      <c r="E32" s="217" t="str">
        <f ca="1">IF(ROWS($1:21)&gt;COUNT(Dong2),"",IF(OFFSET(TH!O$1,SMALL(Dong2,ROWS($1:21)),)=$I$6,OFFSET(TH!N$1,SMALL(Dong2,ROWS($1:21)),),OFFSET(TH!O$1,SMALL(Dong2,ROWS($1:21)),)))</f>
        <v>635</v>
      </c>
      <c r="F32" s="1295">
        <f ca="1">IF(ROWS($1:21)&gt;COUNT(Dong2),"",IF(AND(IF($M$9="Q4",RIGHT(OFFSET(TH!G$1,SMALL(Dong2,ROWS($1:21)),),2)=$M$9,RIGHT(OFFSET(TH!G$1,SMALL(Dong2,ROWS($1:21)),),3)=$M$9),OFFSET(TH!N$1,SMALL(Dong2,ROWS($1:21)),)=$I$6),IF($I$6="1121",OFFSET(TH!M$1,SMALL(Dong2,ROWS($1:21)),),OFFSET(TH!K$1,SMALL(Dong2,ROWS($1:21)),)),0))</f>
        <v>0</v>
      </c>
      <c r="G32" s="1295">
        <f ca="1">IF(ROWS($1:21)&gt;COUNT(Dong2),"",IF(AND(IF($M$9="Q4",LEFT(OFFSET(TH!G$1,SMALL(Dong2,ROWS($1:21)),),2)=$M$9,LEFT(OFFSET(TH!G$1,SMALL(Dong2,ROWS($1:21)),),3)=$M$9),OFFSET(TH!O$1,SMALL(Dong2,ROWS($1:21)),)=$I$6),IF($I$6="1121",OFFSET(TH!M$1,SMALL(Dong2,ROWS($1:21)),),OFFSET(TH!K$1,SMALL(Dong2,ROWS($1:21)),)),0))</f>
        <v>6902308</v>
      </c>
      <c r="H32" s="1296">
        <f t="shared" ca="1" si="1"/>
        <v>31890356</v>
      </c>
      <c r="I32" s="1292"/>
      <c r="L32" s="198"/>
    </row>
    <row r="33" spans="1:12" s="206" customFormat="1" ht="20.25" customHeight="1">
      <c r="A33" s="217">
        <f ca="1">IF(ROWS($1:22)&gt;COUNT(Dong2),"",OFFSET(TH!C$1,SMALL(Dong2,ROWS($1:22)),))</f>
        <v>42395</v>
      </c>
      <c r="B33" s="217" t="str">
        <f ca="1">IF(ROWS($1:22)&gt;COUNT(Dong2),"",OFFSET(TH!D$1,SMALL(Dong2,ROWS($1:22)),))</f>
        <v>GBN</v>
      </c>
      <c r="C33" s="217">
        <f ca="1">IF(ROWS($1:22)&gt;COUNT(Dong2),"",OFFSET(TH!E$1,SMALL(Dong2,ROWS($1:22)),))</f>
        <v>42395</v>
      </c>
      <c r="D33" s="453" t="str">
        <f ca="1">IF(ROWS($1:22)&gt;COUNT(Dong2),"",OFFSET(TH!F$1,SMALL(Dong2,ROWS($1:22)),))</f>
        <v>Q11 - Trả lãi KU 1015LDS201502531</v>
      </c>
      <c r="E33" s="217" t="str">
        <f ca="1">IF(ROWS($1:22)&gt;COUNT(Dong2),"",IF(OFFSET(TH!O$1,SMALL(Dong2,ROWS($1:22)),)=$I$6,OFFSET(TH!N$1,SMALL(Dong2,ROWS($1:22)),),OFFSET(TH!O$1,SMALL(Dong2,ROWS($1:22)),)))</f>
        <v>635</v>
      </c>
      <c r="F33" s="1295">
        <f ca="1">IF(ROWS($1:22)&gt;COUNT(Dong2),"",IF(AND(IF($M$9="Q4",RIGHT(OFFSET(TH!G$1,SMALL(Dong2,ROWS($1:22)),),2)=$M$9,RIGHT(OFFSET(TH!G$1,SMALL(Dong2,ROWS($1:22)),),3)=$M$9),OFFSET(TH!N$1,SMALL(Dong2,ROWS($1:22)),)=$I$6),IF($I$6="1121",OFFSET(TH!M$1,SMALL(Dong2,ROWS($1:22)),),OFFSET(TH!K$1,SMALL(Dong2,ROWS($1:22)),)),0))</f>
        <v>0</v>
      </c>
      <c r="G33" s="1295">
        <f ca="1">IF(ROWS($1:22)&gt;COUNT(Dong2),"",IF(AND(IF($M$9="Q4",LEFT(OFFSET(TH!G$1,SMALL(Dong2,ROWS($1:22)),),2)=$M$9,LEFT(OFFSET(TH!G$1,SMALL(Dong2,ROWS($1:22)),),3)=$M$9),OFFSET(TH!O$1,SMALL(Dong2,ROWS($1:22)),)=$I$6),IF($I$6="1121",OFFSET(TH!M$1,SMALL(Dong2,ROWS($1:22)),),OFFSET(TH!K$1,SMALL(Dong2,ROWS($1:22)),)),0))</f>
        <v>6863849</v>
      </c>
      <c r="H33" s="1296">
        <f t="shared" ca="1" si="1"/>
        <v>25026507</v>
      </c>
      <c r="I33" s="1292"/>
      <c r="L33" s="198"/>
    </row>
    <row r="34" spans="1:12" s="206" customFormat="1" ht="20.25" customHeight="1">
      <c r="A34" s="217">
        <f ca="1">IF(ROWS($1:23)&gt;COUNT(Dong2),"",OFFSET(TH!C$1,SMALL(Dong2,ROWS($1:23)),))</f>
        <v>42395</v>
      </c>
      <c r="B34" s="217" t="str">
        <f ca="1">IF(ROWS($1:23)&gt;COUNT(Dong2),"",OFFSET(TH!D$1,SMALL(Dong2,ROWS($1:23)),))</f>
        <v>GBN</v>
      </c>
      <c r="C34" s="217">
        <f ca="1">IF(ROWS($1:23)&gt;COUNT(Dong2),"",OFFSET(TH!E$1,SMALL(Dong2,ROWS($1:23)),))</f>
        <v>42395</v>
      </c>
      <c r="D34" s="453" t="str">
        <f ca="1">IF(ROWS($1:23)&gt;COUNT(Dong2),"",OFFSET(TH!F$1,SMALL(Dong2,ROWS($1:23)),))</f>
        <v>Q11 - Trả lãi KU 1015LDS201503102</v>
      </c>
      <c r="E34" s="217" t="str">
        <f ca="1">IF(ROWS($1:23)&gt;COUNT(Dong2),"",IF(OFFSET(TH!O$1,SMALL(Dong2,ROWS($1:23)),)=$I$6,OFFSET(TH!N$1,SMALL(Dong2,ROWS($1:23)),),OFFSET(TH!O$1,SMALL(Dong2,ROWS($1:23)),)))</f>
        <v>635</v>
      </c>
      <c r="F34" s="1295">
        <f ca="1">IF(ROWS($1:23)&gt;COUNT(Dong2),"",IF(AND(IF($M$9="Q4",RIGHT(OFFSET(TH!G$1,SMALL(Dong2,ROWS($1:23)),),2)=$M$9,RIGHT(OFFSET(TH!G$1,SMALL(Dong2,ROWS($1:23)),),3)=$M$9),OFFSET(TH!N$1,SMALL(Dong2,ROWS($1:23)),)=$I$6),IF($I$6="1121",OFFSET(TH!M$1,SMALL(Dong2,ROWS($1:23)),),OFFSET(TH!K$1,SMALL(Dong2,ROWS($1:23)),)),0))</f>
        <v>0</v>
      </c>
      <c r="G34" s="1295">
        <f ca="1">IF(ROWS($1:23)&gt;COUNT(Dong2),"",IF(AND(IF($M$9="Q4",LEFT(OFFSET(TH!G$1,SMALL(Dong2,ROWS($1:23)),),2)=$M$9,LEFT(OFFSET(TH!G$1,SMALL(Dong2,ROWS($1:23)),),3)=$M$9),OFFSET(TH!O$1,SMALL(Dong2,ROWS($1:23)),)=$I$6),IF($I$6="1121",OFFSET(TH!M$1,SMALL(Dong2,ROWS($1:23)),),OFFSET(TH!K$1,SMALL(Dong2,ROWS($1:23)),)),0))</f>
        <v>8954733</v>
      </c>
      <c r="H34" s="1296">
        <f t="shared" ca="1" si="1"/>
        <v>16071774</v>
      </c>
      <c r="I34" s="1292"/>
      <c r="L34" s="198"/>
    </row>
    <row r="35" spans="1:12" s="206" customFormat="1" ht="20.25" customHeight="1">
      <c r="A35" s="217">
        <f ca="1">IF(ROWS($1:24)&gt;COUNT(Dong2),"",OFFSET(TH!C$1,SMALL(Dong2,ROWS($1:24)),))</f>
        <v>42395</v>
      </c>
      <c r="B35" s="217" t="str">
        <f ca="1">IF(ROWS($1:24)&gt;COUNT(Dong2),"",OFFSET(TH!D$1,SMALL(Dong2,ROWS($1:24)),))</f>
        <v>GBN</v>
      </c>
      <c r="C35" s="217">
        <f ca="1">IF(ROWS($1:24)&gt;COUNT(Dong2),"",OFFSET(TH!E$1,SMALL(Dong2,ROWS($1:24)),))</f>
        <v>42395</v>
      </c>
      <c r="D35" s="453" t="str">
        <f ca="1">IF(ROWS($1:24)&gt;COUNT(Dong2),"",OFFSET(TH!F$1,SMALL(Dong2,ROWS($1:24)),))</f>
        <v>Q11 - Trả lãi KU 1015LDS201503206</v>
      </c>
      <c r="E35" s="217" t="str">
        <f ca="1">IF(ROWS($1:24)&gt;COUNT(Dong2),"",IF(OFFSET(TH!O$1,SMALL(Dong2,ROWS($1:24)),)=$I$6,OFFSET(TH!N$1,SMALL(Dong2,ROWS($1:24)),),OFFSET(TH!O$1,SMALL(Dong2,ROWS($1:24)),)))</f>
        <v>635</v>
      </c>
      <c r="F35" s="1295">
        <f ca="1">IF(ROWS($1:24)&gt;COUNT(Dong2),"",IF(AND(IF($M$9="Q4",RIGHT(OFFSET(TH!G$1,SMALL(Dong2,ROWS($1:24)),),2)=$M$9,RIGHT(OFFSET(TH!G$1,SMALL(Dong2,ROWS($1:24)),),3)=$M$9),OFFSET(TH!N$1,SMALL(Dong2,ROWS($1:24)),)=$I$6),IF($I$6="1121",OFFSET(TH!M$1,SMALL(Dong2,ROWS($1:24)),),OFFSET(TH!K$1,SMALL(Dong2,ROWS($1:24)),)),0))</f>
        <v>0</v>
      </c>
      <c r="G35" s="1295">
        <f ca="1">IF(ROWS($1:24)&gt;COUNT(Dong2),"",IF(AND(IF($M$9="Q4",LEFT(OFFSET(TH!G$1,SMALL(Dong2,ROWS($1:24)),),2)=$M$9,LEFT(OFFSET(TH!G$1,SMALL(Dong2,ROWS($1:24)),),3)=$M$9),OFFSET(TH!O$1,SMALL(Dong2,ROWS($1:24)),)=$I$6),IF($I$6="1121",OFFSET(TH!M$1,SMALL(Dong2,ROWS($1:24)),),OFFSET(TH!K$1,SMALL(Dong2,ROWS($1:24)),)),0))</f>
        <v>10627708</v>
      </c>
      <c r="H35" s="1296">
        <f t="shared" ca="1" si="1"/>
        <v>5444066</v>
      </c>
      <c r="I35" s="1292"/>
      <c r="L35" s="198"/>
    </row>
    <row r="36" spans="1:12" s="206" customFormat="1" ht="20.25" customHeight="1">
      <c r="A36" s="217">
        <f ca="1">IF(ROWS($1:25)&gt;COUNT(Dong2),"",OFFSET(TH!C$1,SMALL(Dong2,ROWS($1:25)),))</f>
        <v>42396</v>
      </c>
      <c r="B36" s="217" t="str">
        <f ca="1">IF(ROWS($1:25)&gt;COUNT(Dong2),"",OFFSET(TH!D$1,SMALL(Dong2,ROWS($1:25)),))</f>
        <v>GBN</v>
      </c>
      <c r="C36" s="217">
        <f ca="1">IF(ROWS($1:25)&gt;COUNT(Dong2),"",OFFSET(TH!E$1,SMALL(Dong2,ROWS($1:25)),))</f>
        <v>42396</v>
      </c>
      <c r="D36" s="453" t="str">
        <f ca="1">IF(ROWS($1:25)&gt;COUNT(Dong2),"",OFFSET(TH!F$1,SMALL(Dong2,ROWS($1:25)),))</f>
        <v>Q11 - Bán ngoại tệ chuyển TK VND</v>
      </c>
      <c r="E36" s="217" t="str">
        <f ca="1">IF(ROWS($1:25)&gt;COUNT(Dong2),"",IF(OFFSET(TH!O$1,SMALL(Dong2,ROWS($1:25)),)=$I$6,OFFSET(TH!N$1,SMALL(Dong2,ROWS($1:25)),),OFFSET(TH!O$1,SMALL(Dong2,ROWS($1:25)),)))</f>
        <v>1122</v>
      </c>
      <c r="F36" s="1295">
        <f ca="1">IF(ROWS($1:25)&gt;COUNT(Dong2),"",IF(AND(IF($M$9="Q4",RIGHT(OFFSET(TH!G$1,SMALL(Dong2,ROWS($1:25)),),2)=$M$9,RIGHT(OFFSET(TH!G$1,SMALL(Dong2,ROWS($1:25)),),3)=$M$9),OFFSET(TH!N$1,SMALL(Dong2,ROWS($1:25)),)=$I$6),IF($I$6="1121",OFFSET(TH!M$1,SMALL(Dong2,ROWS($1:25)),),OFFSET(TH!K$1,SMALL(Dong2,ROWS($1:25)),)),0))</f>
        <v>877832000</v>
      </c>
      <c r="G36" s="1295">
        <f ca="1">IF(ROWS($1:25)&gt;COUNT(Dong2),"",IF(AND(IF($M$9="Q4",LEFT(OFFSET(TH!G$1,SMALL(Dong2,ROWS($1:25)),),2)=$M$9,LEFT(OFFSET(TH!G$1,SMALL(Dong2,ROWS($1:25)),),3)=$M$9),OFFSET(TH!O$1,SMALL(Dong2,ROWS($1:25)),)=$I$6),IF($I$6="1121",OFFSET(TH!M$1,SMALL(Dong2,ROWS($1:25)),),OFFSET(TH!K$1,SMALL(Dong2,ROWS($1:25)),)),0))</f>
        <v>0</v>
      </c>
      <c r="H36" s="1296">
        <f t="shared" ca="1" si="1"/>
        <v>883276066</v>
      </c>
      <c r="I36" s="1292"/>
      <c r="L36" s="198"/>
    </row>
    <row r="37" spans="1:12" s="206" customFormat="1" ht="20.25" customHeight="1">
      <c r="A37" s="217">
        <f ca="1">IF(ROWS($1:26)&gt;COUNT(Dong2),"",OFFSET(TH!C$1,SMALL(Dong2,ROWS($1:26)),))</f>
        <v>42396</v>
      </c>
      <c r="B37" s="217" t="str">
        <f ca="1">IF(ROWS($1:26)&gt;COUNT(Dong2),"",OFFSET(TH!D$1,SMALL(Dong2,ROWS($1:26)),))</f>
        <v>T04</v>
      </c>
      <c r="C37" s="217">
        <f ca="1">IF(ROWS($1:26)&gt;COUNT(Dong2),"",OFFSET(TH!E$1,SMALL(Dong2,ROWS($1:26)),))</f>
        <v>42396</v>
      </c>
      <c r="D37" s="453" t="str">
        <f ca="1">IF(ROWS($1:26)&gt;COUNT(Dong2),"",OFFSET(TH!F$1,SMALL(Dong2,ROWS($1:26)),))</f>
        <v>Q11 - Rút tiền gửi NH nhập quỹ TM</v>
      </c>
      <c r="E37" s="217" t="str">
        <f ca="1">IF(ROWS($1:26)&gt;COUNT(Dong2),"",IF(OFFSET(TH!O$1,SMALL(Dong2,ROWS($1:26)),)=$I$6,OFFSET(TH!N$1,SMALL(Dong2,ROWS($1:26)),),OFFSET(TH!O$1,SMALL(Dong2,ROWS($1:26)),)))</f>
        <v>1111</v>
      </c>
      <c r="F37" s="1295">
        <f ca="1">IF(ROWS($1:26)&gt;COUNT(Dong2),"",IF(AND(IF($M$9="Q4",RIGHT(OFFSET(TH!G$1,SMALL(Dong2,ROWS($1:26)),),2)=$M$9,RIGHT(OFFSET(TH!G$1,SMALL(Dong2,ROWS($1:26)),),3)=$M$9),OFFSET(TH!N$1,SMALL(Dong2,ROWS($1:26)),)=$I$6),IF($I$6="1121",OFFSET(TH!M$1,SMALL(Dong2,ROWS($1:26)),),OFFSET(TH!K$1,SMALL(Dong2,ROWS($1:26)),)),0))</f>
        <v>0</v>
      </c>
      <c r="G37" s="1295">
        <f ca="1">IF(ROWS($1:26)&gt;COUNT(Dong2),"",IF(AND(IF($M$9="Q4",LEFT(OFFSET(TH!G$1,SMALL(Dong2,ROWS($1:26)),),2)=$M$9,LEFT(OFFSET(TH!G$1,SMALL(Dong2,ROWS($1:26)),),3)=$M$9),OFFSET(TH!O$1,SMALL(Dong2,ROWS($1:26)),)=$I$6),IF($I$6="1121",OFFSET(TH!M$1,SMALL(Dong2,ROWS($1:26)),),OFFSET(TH!K$1,SMALL(Dong2,ROWS($1:26)),)),0))</f>
        <v>850000000</v>
      </c>
      <c r="H37" s="1296">
        <f t="shared" ca="1" si="1"/>
        <v>33276066</v>
      </c>
      <c r="I37" s="1292"/>
      <c r="L37" s="198"/>
    </row>
    <row r="38" spans="1:12" s="206" customFormat="1" ht="20.25" customHeight="1">
      <c r="A38" s="217">
        <f ca="1">IF(ROWS($1:27)&gt;COUNT(Dong2),"",OFFSET(TH!C$1,SMALL(Dong2,ROWS($1:27)),))</f>
        <v>42396</v>
      </c>
      <c r="B38" s="217" t="str">
        <f ca="1">IF(ROWS($1:27)&gt;COUNT(Dong2),"",OFFSET(TH!D$1,SMALL(Dong2,ROWS($1:27)),))</f>
        <v>GBN</v>
      </c>
      <c r="C38" s="217">
        <f ca="1">IF(ROWS($1:27)&gt;COUNT(Dong2),"",OFFSET(TH!E$1,SMALL(Dong2,ROWS($1:27)),))</f>
        <v>42396</v>
      </c>
      <c r="D38" s="453" t="str">
        <f ca="1">IF(ROWS($1:27)&gt;COUNT(Dong2),"",OFFSET(TH!F$1,SMALL(Dong2,ROWS($1:27)),))</f>
        <v>Q11 - Thanh toán tiền điện Kỳ 1 T1/2016 - Điện Lực</v>
      </c>
      <c r="E38" s="217" t="str">
        <f ca="1">IF(ROWS($1:27)&gt;COUNT(Dong2),"",IF(OFFSET(TH!O$1,SMALL(Dong2,ROWS($1:27)),)=$I$6,OFFSET(TH!N$1,SMALL(Dong2,ROWS($1:27)),),OFFSET(TH!O$1,SMALL(Dong2,ROWS($1:27)),)))</f>
        <v>331</v>
      </c>
      <c r="F38" s="1295">
        <f ca="1">IF(ROWS($1:27)&gt;COUNT(Dong2),"",IF(AND(IF($M$9="Q4",RIGHT(OFFSET(TH!G$1,SMALL(Dong2,ROWS($1:27)),),2)=$M$9,RIGHT(OFFSET(TH!G$1,SMALL(Dong2,ROWS($1:27)),),3)=$M$9),OFFSET(TH!N$1,SMALL(Dong2,ROWS($1:27)),)=$I$6),IF($I$6="1121",OFFSET(TH!M$1,SMALL(Dong2,ROWS($1:27)),),OFFSET(TH!K$1,SMALL(Dong2,ROWS($1:27)),)),0))</f>
        <v>0</v>
      </c>
      <c r="G38" s="1295">
        <f ca="1">IF(ROWS($1:27)&gt;COUNT(Dong2),"",IF(AND(IF($M$9="Q4",LEFT(OFFSET(TH!G$1,SMALL(Dong2,ROWS($1:27)),),2)=$M$9,LEFT(OFFSET(TH!G$1,SMALL(Dong2,ROWS($1:27)),),3)=$M$9),OFFSET(TH!O$1,SMALL(Dong2,ROWS($1:27)),)=$I$6),IF($I$6="1121",OFFSET(TH!M$1,SMALL(Dong2,ROWS($1:27)),),OFFSET(TH!K$1,SMALL(Dong2,ROWS($1:27)),)),0))</f>
        <v>27118300</v>
      </c>
      <c r="H38" s="1296">
        <f t="shared" ca="1" si="1"/>
        <v>6157766</v>
      </c>
      <c r="I38" s="1292"/>
      <c r="L38" s="198"/>
    </row>
    <row r="39" spans="1:12" s="206" customFormat="1" ht="20.25" customHeight="1">
      <c r="A39" s="217">
        <f ca="1">IF(ROWS($1:28)&gt;COUNT(Dong2),"",OFFSET(TH!C$1,SMALL(Dong2,ROWS($1:28)),))</f>
        <v>42396</v>
      </c>
      <c r="B39" s="217" t="str">
        <f ca="1">IF(ROWS($1:28)&gt;COUNT(Dong2),"",OFFSET(TH!D$1,SMALL(Dong2,ROWS($1:28)),))</f>
        <v>GBN</v>
      </c>
      <c r="C39" s="217">
        <f ca="1">IF(ROWS($1:28)&gt;COUNT(Dong2),"",OFFSET(TH!E$1,SMALL(Dong2,ROWS($1:28)),))</f>
        <v>42396</v>
      </c>
      <c r="D39" s="453" t="str">
        <f ca="1">IF(ROWS($1:28)&gt;COUNT(Dong2),"",OFFSET(TH!F$1,SMALL(Dong2,ROWS($1:28)),))</f>
        <v>Q11 - Phí chuyển tiền</v>
      </c>
      <c r="E39" s="217" t="str">
        <f ca="1">IF(ROWS($1:28)&gt;COUNT(Dong2),"",IF(OFFSET(TH!O$1,SMALL(Dong2,ROWS($1:28)),)=$I$6,OFFSET(TH!N$1,SMALL(Dong2,ROWS($1:28)),),OFFSET(TH!O$1,SMALL(Dong2,ROWS($1:28)),)))</f>
        <v>642</v>
      </c>
      <c r="F39" s="1295">
        <f ca="1">IF(ROWS($1:28)&gt;COUNT(Dong2),"",IF(AND(IF($M$9="Q4",RIGHT(OFFSET(TH!G$1,SMALL(Dong2,ROWS($1:28)),),2)=$M$9,RIGHT(OFFSET(TH!G$1,SMALL(Dong2,ROWS($1:28)),),3)=$M$9),OFFSET(TH!N$1,SMALL(Dong2,ROWS($1:28)),)=$I$6),IF($I$6="1121",OFFSET(TH!M$1,SMALL(Dong2,ROWS($1:28)),),OFFSET(TH!K$1,SMALL(Dong2,ROWS($1:28)),)),0))</f>
        <v>0</v>
      </c>
      <c r="G39" s="1295">
        <f ca="1">IF(ROWS($1:28)&gt;COUNT(Dong2),"",IF(AND(IF($M$9="Q4",LEFT(OFFSET(TH!G$1,SMALL(Dong2,ROWS($1:28)),),2)=$M$9,LEFT(OFFSET(TH!G$1,SMALL(Dong2,ROWS($1:28)),),3)=$M$9),OFFSET(TH!O$1,SMALL(Dong2,ROWS($1:28)),)=$I$6),IF($I$6="1121",OFFSET(TH!M$1,SMALL(Dong2,ROWS($1:28)),),OFFSET(TH!K$1,SMALL(Dong2,ROWS($1:28)),)),0))</f>
        <v>25000</v>
      </c>
      <c r="H39" s="1296">
        <f t="shared" ca="1" si="1"/>
        <v>6132766</v>
      </c>
      <c r="I39" s="1292"/>
      <c r="L39" s="198"/>
    </row>
    <row r="40" spans="1:12" s="206" customFormat="1" ht="20.25" customHeight="1">
      <c r="A40" s="217">
        <f ca="1">IF(ROWS($1:29)&gt;COUNT(Dong2),"",OFFSET(TH!C$1,SMALL(Dong2,ROWS($1:29)),))</f>
        <v>42396</v>
      </c>
      <c r="B40" s="217" t="str">
        <f ca="1">IF(ROWS($1:29)&gt;COUNT(Dong2),"",OFFSET(TH!D$1,SMALL(Dong2,ROWS($1:29)),))</f>
        <v>GBN</v>
      </c>
      <c r="C40" s="217">
        <f ca="1">IF(ROWS($1:29)&gt;COUNT(Dong2),"",OFFSET(TH!E$1,SMALL(Dong2,ROWS($1:29)),))</f>
        <v>42396</v>
      </c>
      <c r="D40" s="453" t="str">
        <f ca="1">IF(ROWS($1:29)&gt;COUNT(Dong2),"",OFFSET(TH!F$1,SMALL(Dong2,ROWS($1:29)),))</f>
        <v>Q11 - VAT Phí chuyển tiền</v>
      </c>
      <c r="E40" s="217" t="str">
        <f ca="1">IF(ROWS($1:29)&gt;COUNT(Dong2),"",IF(OFFSET(TH!O$1,SMALL(Dong2,ROWS($1:29)),)=$I$6,OFFSET(TH!N$1,SMALL(Dong2,ROWS($1:29)),),OFFSET(TH!O$1,SMALL(Dong2,ROWS($1:29)),)))</f>
        <v>1331</v>
      </c>
      <c r="F40" s="1295">
        <f ca="1">IF(ROWS($1:29)&gt;COUNT(Dong2),"",IF(AND(IF($M$9="Q4",RIGHT(OFFSET(TH!G$1,SMALL(Dong2,ROWS($1:29)),),2)=$M$9,RIGHT(OFFSET(TH!G$1,SMALL(Dong2,ROWS($1:29)),),3)=$M$9),OFFSET(TH!N$1,SMALL(Dong2,ROWS($1:29)),)=$I$6),IF($I$6="1121",OFFSET(TH!M$1,SMALL(Dong2,ROWS($1:29)),),OFFSET(TH!K$1,SMALL(Dong2,ROWS($1:29)),)),0))</f>
        <v>0</v>
      </c>
      <c r="G40" s="1295">
        <f ca="1">IF(ROWS($1:29)&gt;COUNT(Dong2),"",IF(AND(IF($M$9="Q4",LEFT(OFFSET(TH!G$1,SMALL(Dong2,ROWS($1:29)),),2)=$M$9,LEFT(OFFSET(TH!G$1,SMALL(Dong2,ROWS($1:29)),),3)=$M$9),OFFSET(TH!O$1,SMALL(Dong2,ROWS($1:29)),)=$I$6),IF($I$6="1121",OFFSET(TH!M$1,SMALL(Dong2,ROWS($1:29)),),OFFSET(TH!K$1,SMALL(Dong2,ROWS($1:29)),)),0))</f>
        <v>2500</v>
      </c>
      <c r="H40" s="1296">
        <f t="shared" ca="1" si="1"/>
        <v>6130266</v>
      </c>
      <c r="I40" s="1292"/>
    </row>
    <row r="41" spans="1:12" s="206" customFormat="1" ht="20.25" customHeight="1">
      <c r="A41" s="217">
        <f ca="1">IF(ROWS($1:30)&gt;COUNT(Dong2),"",OFFSET(TH!C$1,SMALL(Dong2,ROWS($1:30)),))</f>
        <v>42398</v>
      </c>
      <c r="B41" s="217" t="str">
        <f ca="1">IF(ROWS($1:30)&gt;COUNT(Dong2),"",OFFSET(TH!D$1,SMALL(Dong2,ROWS($1:30)),))</f>
        <v>GBN</v>
      </c>
      <c r="C41" s="217">
        <f ca="1">IF(ROWS($1:30)&gt;COUNT(Dong2),"",OFFSET(TH!E$1,SMALL(Dong2,ROWS($1:30)),))</f>
        <v>42398</v>
      </c>
      <c r="D41" s="453" t="str">
        <f ca="1">IF(ROWS($1:30)&gt;COUNT(Dong2),"",OFFSET(TH!F$1,SMALL(Dong2,ROWS($1:30)),))</f>
        <v>Q11 - Bán ngoại tệ chuyển TK VND</v>
      </c>
      <c r="E41" s="217" t="str">
        <f ca="1">IF(ROWS($1:30)&gt;COUNT(Dong2),"",IF(OFFSET(TH!O$1,SMALL(Dong2,ROWS($1:30)),)=$I$6,OFFSET(TH!N$1,SMALL(Dong2,ROWS($1:30)),),OFFSET(TH!O$1,SMALL(Dong2,ROWS($1:30)),)))</f>
        <v>1122</v>
      </c>
      <c r="F41" s="1295">
        <f ca="1">IF(ROWS($1:30)&gt;COUNT(Dong2),"",IF(AND(IF($M$9="Q4",RIGHT(OFFSET(TH!G$1,SMALL(Dong2,ROWS($1:30)),),2)=$M$9,RIGHT(OFFSET(TH!G$1,SMALL(Dong2,ROWS($1:30)),),3)=$M$9),OFFSET(TH!N$1,SMALL(Dong2,ROWS($1:30)),)=$I$6),IF($I$6="1121",OFFSET(TH!M$1,SMALL(Dong2,ROWS($1:30)),),OFFSET(TH!K$1,SMALL(Dong2,ROWS($1:30)),)),0))</f>
        <v>431165000</v>
      </c>
      <c r="G41" s="1295">
        <f ca="1">IF(ROWS($1:30)&gt;COUNT(Dong2),"",IF(AND(IF($M$9="Q4",LEFT(OFFSET(TH!G$1,SMALL(Dong2,ROWS($1:30)),),2)=$M$9,LEFT(OFFSET(TH!G$1,SMALL(Dong2,ROWS($1:30)),),3)=$M$9),OFFSET(TH!O$1,SMALL(Dong2,ROWS($1:30)),)=$I$6),IF($I$6="1121",OFFSET(TH!M$1,SMALL(Dong2,ROWS($1:30)),),OFFSET(TH!K$1,SMALL(Dong2,ROWS($1:30)),)),0))</f>
        <v>0</v>
      </c>
      <c r="H41" s="1296">
        <f t="shared" ca="1" si="1"/>
        <v>437295266</v>
      </c>
      <c r="I41" s="1292"/>
    </row>
    <row r="42" spans="1:12" s="206" customFormat="1" ht="20.25" customHeight="1">
      <c r="A42" s="217">
        <f ca="1">IF(ROWS($1:31)&gt;COUNT(Dong2),"",OFFSET(TH!C$1,SMALL(Dong2,ROWS($1:31)),))</f>
        <v>42398</v>
      </c>
      <c r="B42" s="217" t="str">
        <f ca="1">IF(ROWS($1:31)&gt;COUNT(Dong2),"",OFFSET(TH!D$1,SMALL(Dong2,ROWS($1:31)),))</f>
        <v>T05</v>
      </c>
      <c r="C42" s="217">
        <f ca="1">IF(ROWS($1:31)&gt;COUNT(Dong2),"",OFFSET(TH!E$1,SMALL(Dong2,ROWS($1:31)),))</f>
        <v>42398</v>
      </c>
      <c r="D42" s="453" t="str">
        <f ca="1">IF(ROWS($1:31)&gt;COUNT(Dong2),"",OFFSET(TH!F$1,SMALL(Dong2,ROWS($1:31)),))</f>
        <v>Q11 - Rút tiền gửi NH nhập quỹ TM</v>
      </c>
      <c r="E42" s="217" t="str">
        <f ca="1">IF(ROWS($1:31)&gt;COUNT(Dong2),"",IF(OFFSET(TH!O$1,SMALL(Dong2,ROWS($1:31)),)=$I$6,OFFSET(TH!N$1,SMALL(Dong2,ROWS($1:31)),),OFFSET(TH!O$1,SMALL(Dong2,ROWS($1:31)),)))</f>
        <v>1111</v>
      </c>
      <c r="F42" s="1295">
        <f ca="1">IF(ROWS($1:31)&gt;COUNT(Dong2),"",IF(AND(IF($M$9="Q4",RIGHT(OFFSET(TH!G$1,SMALL(Dong2,ROWS($1:31)),),2)=$M$9,RIGHT(OFFSET(TH!G$1,SMALL(Dong2,ROWS($1:31)),),3)=$M$9),OFFSET(TH!N$1,SMALL(Dong2,ROWS($1:31)),)=$I$6),IF($I$6="1121",OFFSET(TH!M$1,SMALL(Dong2,ROWS($1:31)),),OFFSET(TH!K$1,SMALL(Dong2,ROWS($1:31)),)),0))</f>
        <v>0</v>
      </c>
      <c r="G42" s="1295">
        <f ca="1">IF(ROWS($1:31)&gt;COUNT(Dong2),"",IF(AND(IF($M$9="Q4",LEFT(OFFSET(TH!G$1,SMALL(Dong2,ROWS($1:31)),),2)=$M$9,LEFT(OFFSET(TH!G$1,SMALL(Dong2,ROWS($1:31)),),3)=$M$9),OFFSET(TH!O$1,SMALL(Dong2,ROWS($1:31)),)=$I$6),IF($I$6="1121",OFFSET(TH!M$1,SMALL(Dong2,ROWS($1:31)),),OFFSET(TH!K$1,SMALL(Dong2,ROWS($1:31)),)),0))</f>
        <v>370000000</v>
      </c>
      <c r="H42" s="1296">
        <f t="shared" ca="1" si="1"/>
        <v>67295266</v>
      </c>
      <c r="I42" s="1292"/>
    </row>
    <row r="43" spans="1:12" s="206" customFormat="1" ht="20.25" customHeight="1">
      <c r="A43" s="217">
        <f ca="1">IF(ROWS($1:32)&gt;COUNT(Dong2),"",OFFSET(TH!C$1,SMALL(Dong2,ROWS($1:32)),))</f>
        <v>42399</v>
      </c>
      <c r="B43" s="217" t="str">
        <f ca="1">IF(ROWS($1:32)&gt;COUNT(Dong2),"",OFFSET(TH!D$1,SMALL(Dong2,ROWS($1:32)),))</f>
        <v>GBN</v>
      </c>
      <c r="C43" s="217">
        <f ca="1">IF(ROWS($1:32)&gt;COUNT(Dong2),"",OFFSET(TH!E$1,SMALL(Dong2,ROWS($1:32)),))</f>
        <v>42399</v>
      </c>
      <c r="D43" s="453" t="str">
        <f ca="1">IF(ROWS($1:32)&gt;COUNT(Dong2),"",OFFSET(TH!F$1,SMALL(Dong2,ROWS($1:32)),))</f>
        <v>Q11 - Thanh toán tiền BHLĐ - Hoàng Hải</v>
      </c>
      <c r="E43" s="217" t="str">
        <f ca="1">IF(ROWS($1:32)&gt;COUNT(Dong2),"",IF(OFFSET(TH!O$1,SMALL(Dong2,ROWS($1:32)),)=$I$6,OFFSET(TH!N$1,SMALL(Dong2,ROWS($1:32)),),OFFSET(TH!O$1,SMALL(Dong2,ROWS($1:32)),)))</f>
        <v>331</v>
      </c>
      <c r="F43" s="1295">
        <f ca="1">IF(ROWS($1:32)&gt;COUNT(Dong2),"",IF(AND(IF($M$9="Q4",RIGHT(OFFSET(TH!G$1,SMALL(Dong2,ROWS($1:32)),),2)=$M$9,RIGHT(OFFSET(TH!G$1,SMALL(Dong2,ROWS($1:32)),),3)=$M$9),OFFSET(TH!N$1,SMALL(Dong2,ROWS($1:32)),)=$I$6),IF($I$6="1121",OFFSET(TH!M$1,SMALL(Dong2,ROWS($1:32)),),OFFSET(TH!K$1,SMALL(Dong2,ROWS($1:32)),)),0))</f>
        <v>0</v>
      </c>
      <c r="G43" s="1295">
        <f ca="1">IF(ROWS($1:32)&gt;COUNT(Dong2),"",IF(AND(IF($M$9="Q4",LEFT(OFFSET(TH!G$1,SMALL(Dong2,ROWS($1:32)),),2)=$M$9,LEFT(OFFSET(TH!G$1,SMALL(Dong2,ROWS($1:32)),),3)=$M$9),OFFSET(TH!O$1,SMALL(Dong2,ROWS($1:32)),)=$I$6),IF($I$6="1121",OFFSET(TH!M$1,SMALL(Dong2,ROWS($1:32)),),OFFSET(TH!K$1,SMALL(Dong2,ROWS($1:32)),)),0))</f>
        <v>56980000</v>
      </c>
      <c r="H43" s="1296">
        <f t="shared" ca="1" si="1"/>
        <v>10315266</v>
      </c>
      <c r="I43" s="1292"/>
    </row>
    <row r="44" spans="1:12" s="206" customFormat="1" ht="20.25" customHeight="1">
      <c r="A44" s="217">
        <f ca="1">IF(ROWS($1:33)&gt;COUNT(Dong2),"",OFFSET(TH!C$1,SMALL(Dong2,ROWS($1:33)),))</f>
        <v>42399</v>
      </c>
      <c r="B44" s="217" t="str">
        <f ca="1">IF(ROWS($1:33)&gt;COUNT(Dong2),"",OFFSET(TH!D$1,SMALL(Dong2,ROWS($1:33)),))</f>
        <v>GBN</v>
      </c>
      <c r="C44" s="217">
        <f ca="1">IF(ROWS($1:33)&gt;COUNT(Dong2),"",OFFSET(TH!E$1,SMALL(Dong2,ROWS($1:33)),))</f>
        <v>42399</v>
      </c>
      <c r="D44" s="453" t="str">
        <f ca="1">IF(ROWS($1:33)&gt;COUNT(Dong2),"",OFFSET(TH!F$1,SMALL(Dong2,ROWS($1:33)),))</f>
        <v>Q11 - Phí chuyển tiền</v>
      </c>
      <c r="E44" s="217" t="str">
        <f ca="1">IF(ROWS($1:33)&gt;COUNT(Dong2),"",IF(OFFSET(TH!O$1,SMALL(Dong2,ROWS($1:33)),)=$I$6,OFFSET(TH!N$1,SMALL(Dong2,ROWS($1:33)),),OFFSET(TH!O$1,SMALL(Dong2,ROWS($1:33)),)))</f>
        <v>642</v>
      </c>
      <c r="F44" s="1295">
        <f ca="1">IF(ROWS($1:33)&gt;COUNT(Dong2),"",IF(AND(IF($M$9="Q4",RIGHT(OFFSET(TH!G$1,SMALL(Dong2,ROWS($1:33)),),2)=$M$9,RIGHT(OFFSET(TH!G$1,SMALL(Dong2,ROWS($1:33)),),3)=$M$9),OFFSET(TH!N$1,SMALL(Dong2,ROWS($1:33)),)=$I$6),IF($I$6="1121",OFFSET(TH!M$1,SMALL(Dong2,ROWS($1:33)),),OFFSET(TH!K$1,SMALL(Dong2,ROWS($1:33)),)),0))</f>
        <v>0</v>
      </c>
      <c r="G44" s="1295">
        <f ca="1">IF(ROWS($1:33)&gt;COUNT(Dong2),"",IF(AND(IF($M$9="Q4",LEFT(OFFSET(TH!G$1,SMALL(Dong2,ROWS($1:33)),),2)=$M$9,LEFT(OFFSET(TH!G$1,SMALL(Dong2,ROWS($1:33)),),3)=$M$9),OFFSET(TH!O$1,SMALL(Dong2,ROWS($1:33)),)=$I$6),IF($I$6="1121",OFFSET(TH!M$1,SMALL(Dong2,ROWS($1:33)),),OFFSET(TH!K$1,SMALL(Dong2,ROWS($1:33)),)),0))</f>
        <v>28490</v>
      </c>
      <c r="H44" s="1296">
        <f t="shared" ca="1" si="1"/>
        <v>10286776</v>
      </c>
      <c r="I44" s="1292"/>
    </row>
    <row r="45" spans="1:12" s="206" customFormat="1" ht="20.25" customHeight="1">
      <c r="A45" s="217">
        <f ca="1">IF(ROWS($1:34)&gt;COUNT(Dong2),"",OFFSET(TH!C$1,SMALL(Dong2,ROWS($1:34)),))</f>
        <v>42399</v>
      </c>
      <c r="B45" s="217" t="str">
        <f ca="1">IF(ROWS($1:34)&gt;COUNT(Dong2),"",OFFSET(TH!D$1,SMALL(Dong2,ROWS($1:34)),))</f>
        <v>GBN</v>
      </c>
      <c r="C45" s="217">
        <f ca="1">IF(ROWS($1:34)&gt;COUNT(Dong2),"",OFFSET(TH!E$1,SMALL(Dong2,ROWS($1:34)),))</f>
        <v>42399</v>
      </c>
      <c r="D45" s="453" t="str">
        <f ca="1">IF(ROWS($1:34)&gt;COUNT(Dong2),"",OFFSET(TH!F$1,SMALL(Dong2,ROWS($1:34)),))</f>
        <v>Q11 - VAT Phí chuyển tiền</v>
      </c>
      <c r="E45" s="217" t="str">
        <f ca="1">IF(ROWS($1:34)&gt;COUNT(Dong2),"",IF(OFFSET(TH!O$1,SMALL(Dong2,ROWS($1:34)),)=$I$6,OFFSET(TH!N$1,SMALL(Dong2,ROWS($1:34)),),OFFSET(TH!O$1,SMALL(Dong2,ROWS($1:34)),)))</f>
        <v>1331</v>
      </c>
      <c r="F45" s="1295">
        <f ca="1">IF(ROWS($1:34)&gt;COUNT(Dong2),"",IF(AND(IF($M$9="Q4",RIGHT(OFFSET(TH!G$1,SMALL(Dong2,ROWS($1:34)),),2)=$M$9,RIGHT(OFFSET(TH!G$1,SMALL(Dong2,ROWS($1:34)),),3)=$M$9),OFFSET(TH!N$1,SMALL(Dong2,ROWS($1:34)),)=$I$6),IF($I$6="1121",OFFSET(TH!M$1,SMALL(Dong2,ROWS($1:34)),),OFFSET(TH!K$1,SMALL(Dong2,ROWS($1:34)),)),0))</f>
        <v>0</v>
      </c>
      <c r="G45" s="1295">
        <f ca="1">IF(ROWS($1:34)&gt;COUNT(Dong2),"",IF(AND(IF($M$9="Q4",LEFT(OFFSET(TH!G$1,SMALL(Dong2,ROWS($1:34)),),2)=$M$9,LEFT(OFFSET(TH!G$1,SMALL(Dong2,ROWS($1:34)),),3)=$M$9),OFFSET(TH!O$1,SMALL(Dong2,ROWS($1:34)),)=$I$6),IF($I$6="1121",OFFSET(TH!M$1,SMALL(Dong2,ROWS($1:34)),),OFFSET(TH!K$1,SMALL(Dong2,ROWS($1:34)),)),0))</f>
        <v>2849</v>
      </c>
      <c r="H45" s="1296">
        <f t="shared" ca="1" si="1"/>
        <v>10283927</v>
      </c>
      <c r="I45" s="1292"/>
    </row>
    <row r="46" spans="1:12" s="206" customFormat="1" ht="20.25" customHeight="1">
      <c r="A46" s="217">
        <f ca="1">IF(ROWS($1:35)&gt;COUNT(Dong2),"",OFFSET(TH!C$1,SMALL(Dong2,ROWS($1:35)),))</f>
        <v>42399</v>
      </c>
      <c r="B46" s="217" t="str">
        <f ca="1">IF(ROWS($1:35)&gt;COUNT(Dong2),"",OFFSET(TH!D$1,SMALL(Dong2,ROWS($1:35)),))</f>
        <v>GBN</v>
      </c>
      <c r="C46" s="217">
        <f ca="1">IF(ROWS($1:35)&gt;COUNT(Dong2),"",OFFSET(TH!E$1,SMALL(Dong2,ROWS($1:35)),))</f>
        <v>42399</v>
      </c>
      <c r="D46" s="453" t="str">
        <f ca="1">IF(ROWS($1:35)&gt;COUNT(Dong2),"",OFFSET(TH!F$1,SMALL(Dong2,ROWS($1:35)),))</f>
        <v>Q11 - Thanh toán phí kiểm nghiệm T12/2015 - Vùng 4</v>
      </c>
      <c r="E46" s="217" t="str">
        <f ca="1">IF(ROWS($1:35)&gt;COUNT(Dong2),"",IF(OFFSET(TH!O$1,SMALL(Dong2,ROWS($1:35)),)=$I$6,OFFSET(TH!N$1,SMALL(Dong2,ROWS($1:35)),),OFFSET(TH!O$1,SMALL(Dong2,ROWS($1:35)),)))</f>
        <v>331</v>
      </c>
      <c r="F46" s="1295">
        <f ca="1">IF(ROWS($1:35)&gt;COUNT(Dong2),"",IF(AND(IF($M$9="Q4",RIGHT(OFFSET(TH!G$1,SMALL(Dong2,ROWS($1:35)),),2)=$M$9,RIGHT(OFFSET(TH!G$1,SMALL(Dong2,ROWS($1:35)),),3)=$M$9),OFFSET(TH!N$1,SMALL(Dong2,ROWS($1:35)),)=$I$6),IF($I$6="1121",OFFSET(TH!M$1,SMALL(Dong2,ROWS($1:35)),),OFFSET(TH!K$1,SMALL(Dong2,ROWS($1:35)),)),0))</f>
        <v>0</v>
      </c>
      <c r="G46" s="1295">
        <f ca="1">IF(ROWS($1:35)&gt;COUNT(Dong2),"",IF(AND(IF($M$9="Q4",LEFT(OFFSET(TH!G$1,SMALL(Dong2,ROWS($1:35)),),2)=$M$9,LEFT(OFFSET(TH!G$1,SMALL(Dong2,ROWS($1:35)),),3)=$M$9),OFFSET(TH!O$1,SMALL(Dong2,ROWS($1:35)),)=$I$6),IF($I$6="1121",OFFSET(TH!M$1,SMALL(Dong2,ROWS($1:35)),),OFFSET(TH!K$1,SMALL(Dong2,ROWS($1:35)),)),0))</f>
        <v>1300000</v>
      </c>
      <c r="H46" s="1296">
        <f t="shared" ca="1" si="1"/>
        <v>8983927</v>
      </c>
      <c r="I46" s="1292"/>
    </row>
    <row r="47" spans="1:12" s="206" customFormat="1" ht="20.25" customHeight="1">
      <c r="A47" s="217">
        <f ca="1">IF(ROWS($1:36)&gt;COUNT(Dong2),"",OFFSET(TH!C$1,SMALL(Dong2,ROWS($1:36)),))</f>
        <v>42399</v>
      </c>
      <c r="B47" s="217" t="str">
        <f ca="1">IF(ROWS($1:36)&gt;COUNT(Dong2),"",OFFSET(TH!D$1,SMALL(Dong2,ROWS($1:36)),))</f>
        <v>GBN</v>
      </c>
      <c r="C47" s="217">
        <f ca="1">IF(ROWS($1:36)&gt;COUNT(Dong2),"",OFFSET(TH!E$1,SMALL(Dong2,ROWS($1:36)),))</f>
        <v>42399</v>
      </c>
      <c r="D47" s="453" t="str">
        <f ca="1">IF(ROWS($1:36)&gt;COUNT(Dong2),"",OFFSET(TH!F$1,SMALL(Dong2,ROWS($1:36)),))</f>
        <v>Q11 - Phí chuyển tiền</v>
      </c>
      <c r="E47" s="217" t="str">
        <f ca="1">IF(ROWS($1:36)&gt;COUNT(Dong2),"",IF(OFFSET(TH!O$1,SMALL(Dong2,ROWS($1:36)),)=$I$6,OFFSET(TH!N$1,SMALL(Dong2,ROWS($1:36)),),OFFSET(TH!O$1,SMALL(Dong2,ROWS($1:36)),)))</f>
        <v>642</v>
      </c>
      <c r="F47" s="1295">
        <f ca="1">IF(ROWS($1:36)&gt;COUNT(Dong2),"",IF(AND(IF($M$9="Q4",RIGHT(OFFSET(TH!G$1,SMALL(Dong2,ROWS($1:36)),),2)=$M$9,RIGHT(OFFSET(TH!G$1,SMALL(Dong2,ROWS($1:36)),),3)=$M$9),OFFSET(TH!N$1,SMALL(Dong2,ROWS($1:36)),)=$I$6),IF($I$6="1121",OFFSET(TH!M$1,SMALL(Dong2,ROWS($1:36)),),OFFSET(TH!K$1,SMALL(Dong2,ROWS($1:36)),)),0))</f>
        <v>0</v>
      </c>
      <c r="G47" s="1295">
        <f ca="1">IF(ROWS($1:36)&gt;COUNT(Dong2),"",IF(AND(IF($M$9="Q4",LEFT(OFFSET(TH!G$1,SMALL(Dong2,ROWS($1:36)),),2)=$M$9,LEFT(OFFSET(TH!G$1,SMALL(Dong2,ROWS($1:36)),),3)=$M$9),OFFSET(TH!O$1,SMALL(Dong2,ROWS($1:36)),)=$I$6),IF($I$6="1121",OFFSET(TH!M$1,SMALL(Dong2,ROWS($1:36)),),OFFSET(TH!K$1,SMALL(Dong2,ROWS($1:36)),)),0))</f>
        <v>20000</v>
      </c>
      <c r="H47" s="1296">
        <f t="shared" ca="1" si="1"/>
        <v>8963927</v>
      </c>
      <c r="I47" s="1292"/>
    </row>
    <row r="48" spans="1:12" s="206" customFormat="1" ht="20.25" customHeight="1">
      <c r="A48" s="217">
        <f ca="1">IF(ROWS($1:37)&gt;COUNT(Dong2),"",OFFSET(TH!C$1,SMALL(Dong2,ROWS($1:37)),))</f>
        <v>42399</v>
      </c>
      <c r="B48" s="217" t="str">
        <f ca="1">IF(ROWS($1:37)&gt;COUNT(Dong2),"",OFFSET(TH!D$1,SMALL(Dong2,ROWS($1:37)),))</f>
        <v>GBN</v>
      </c>
      <c r="C48" s="217">
        <f ca="1">IF(ROWS($1:37)&gt;COUNT(Dong2),"",OFFSET(TH!E$1,SMALL(Dong2,ROWS($1:37)),))</f>
        <v>42399</v>
      </c>
      <c r="D48" s="453" t="str">
        <f ca="1">IF(ROWS($1:37)&gt;COUNT(Dong2),"",OFFSET(TH!F$1,SMALL(Dong2,ROWS($1:37)),))</f>
        <v>Q11 - VAT Phí chuyển tiền</v>
      </c>
      <c r="E48" s="217" t="str">
        <f ca="1">IF(ROWS($1:37)&gt;COUNT(Dong2),"",IF(OFFSET(TH!O$1,SMALL(Dong2,ROWS($1:37)),)=$I$6,OFFSET(TH!N$1,SMALL(Dong2,ROWS($1:37)),),OFFSET(TH!O$1,SMALL(Dong2,ROWS($1:37)),)))</f>
        <v>1331</v>
      </c>
      <c r="F48" s="1295">
        <f ca="1">IF(ROWS($1:37)&gt;COUNT(Dong2),"",IF(AND(IF($M$9="Q4",RIGHT(OFFSET(TH!G$1,SMALL(Dong2,ROWS($1:37)),),2)=$M$9,RIGHT(OFFSET(TH!G$1,SMALL(Dong2,ROWS($1:37)),),3)=$M$9),OFFSET(TH!N$1,SMALL(Dong2,ROWS($1:37)),)=$I$6),IF($I$6="1121",OFFSET(TH!M$1,SMALL(Dong2,ROWS($1:37)),),OFFSET(TH!K$1,SMALL(Dong2,ROWS($1:37)),)),0))</f>
        <v>0</v>
      </c>
      <c r="G48" s="1295">
        <f ca="1">IF(ROWS($1:37)&gt;COUNT(Dong2),"",IF(AND(IF($M$9="Q4",LEFT(OFFSET(TH!G$1,SMALL(Dong2,ROWS($1:37)),),2)=$M$9,LEFT(OFFSET(TH!G$1,SMALL(Dong2,ROWS($1:37)),),3)=$M$9),OFFSET(TH!O$1,SMALL(Dong2,ROWS($1:37)),)=$I$6),IF($I$6="1121",OFFSET(TH!M$1,SMALL(Dong2,ROWS($1:37)),),OFFSET(TH!K$1,SMALL(Dong2,ROWS($1:37)),)),0))</f>
        <v>2000</v>
      </c>
      <c r="H48" s="1296">
        <f t="shared" ca="1" si="1"/>
        <v>8961927</v>
      </c>
      <c r="I48" s="1292"/>
    </row>
    <row r="49" spans="1:12" s="206" customFormat="1" ht="20.25" customHeight="1">
      <c r="A49" s="217">
        <f ca="1">IF(ROWS($1:38)&gt;COUNT(Dong2),"",OFFSET(TH!C$1,SMALL(Dong2,ROWS($1:38)),))</f>
        <v>42399</v>
      </c>
      <c r="B49" s="217" t="str">
        <f ca="1">IF(ROWS($1:38)&gt;COUNT(Dong2),"",OFFSET(TH!D$1,SMALL(Dong2,ROWS($1:38)),))</f>
        <v>GBN</v>
      </c>
      <c r="C49" s="217">
        <f ca="1">IF(ROWS($1:38)&gt;COUNT(Dong2),"",OFFSET(TH!E$1,SMALL(Dong2,ROWS($1:38)),))</f>
        <v>42399</v>
      </c>
      <c r="D49" s="453" t="str">
        <f ca="1">IF(ROWS($1:38)&gt;COUNT(Dong2),"",OFFSET(TH!F$1,SMALL(Dong2,ROWS($1:38)),))</f>
        <v>Q11 - Thanh toán phí kiểm nghiệm T12/2015 - Vùng 4</v>
      </c>
      <c r="E49" s="217" t="str">
        <f ca="1">IF(ROWS($1:38)&gt;COUNT(Dong2),"",IF(OFFSET(TH!O$1,SMALL(Dong2,ROWS($1:38)),)=$I$6,OFFSET(TH!N$1,SMALL(Dong2,ROWS($1:38)),),OFFSET(TH!O$1,SMALL(Dong2,ROWS($1:38)),)))</f>
        <v>331</v>
      </c>
      <c r="F49" s="1295">
        <f ca="1">IF(ROWS($1:38)&gt;COUNT(Dong2),"",IF(AND(IF($M$9="Q4",RIGHT(OFFSET(TH!G$1,SMALL(Dong2,ROWS($1:38)),),2)=$M$9,RIGHT(OFFSET(TH!G$1,SMALL(Dong2,ROWS($1:38)),),3)=$M$9),OFFSET(TH!N$1,SMALL(Dong2,ROWS($1:38)),)=$I$6),IF($I$6="1121",OFFSET(TH!M$1,SMALL(Dong2,ROWS($1:38)),),OFFSET(TH!K$1,SMALL(Dong2,ROWS($1:38)),)),0))</f>
        <v>0</v>
      </c>
      <c r="G49" s="1295">
        <f ca="1">IF(ROWS($1:38)&gt;COUNT(Dong2),"",IF(AND(IF($M$9="Q4",LEFT(OFFSET(TH!G$1,SMALL(Dong2,ROWS($1:38)),),2)=$M$9,LEFT(OFFSET(TH!G$1,SMALL(Dong2,ROWS($1:38)),),3)=$M$9),OFFSET(TH!O$1,SMALL(Dong2,ROWS($1:38)),)=$I$6),IF($I$6="1121",OFFSET(TH!M$1,SMALL(Dong2,ROWS($1:38)),),OFFSET(TH!K$1,SMALL(Dong2,ROWS($1:38)),)),0))</f>
        <v>4645000</v>
      </c>
      <c r="H49" s="1296">
        <f t="shared" ca="1" si="1"/>
        <v>4316927</v>
      </c>
      <c r="I49" s="1292"/>
    </row>
    <row r="50" spans="1:12" s="206" customFormat="1" ht="20.25" customHeight="1">
      <c r="A50" s="217">
        <f ca="1">IF(ROWS($1:39)&gt;COUNT(Dong2),"",OFFSET(TH!C$1,SMALL(Dong2,ROWS($1:39)),))</f>
        <v>42399</v>
      </c>
      <c r="B50" s="217" t="str">
        <f ca="1">IF(ROWS($1:39)&gt;COUNT(Dong2),"",OFFSET(TH!D$1,SMALL(Dong2,ROWS($1:39)),))</f>
        <v>GBN</v>
      </c>
      <c r="C50" s="217">
        <f ca="1">IF(ROWS($1:39)&gt;COUNT(Dong2),"",OFFSET(TH!E$1,SMALL(Dong2,ROWS($1:39)),))</f>
        <v>42399</v>
      </c>
      <c r="D50" s="453" t="str">
        <f ca="1">IF(ROWS($1:39)&gt;COUNT(Dong2),"",OFFSET(TH!F$1,SMALL(Dong2,ROWS($1:39)),))</f>
        <v>Q11 - Phí chuyển tiền</v>
      </c>
      <c r="E50" s="217" t="str">
        <f ca="1">IF(ROWS($1:39)&gt;COUNT(Dong2),"",IF(OFFSET(TH!O$1,SMALL(Dong2,ROWS($1:39)),)=$I$6,OFFSET(TH!N$1,SMALL(Dong2,ROWS($1:39)),),OFFSET(TH!O$1,SMALL(Dong2,ROWS($1:39)),)))</f>
        <v>642</v>
      </c>
      <c r="F50" s="1295">
        <f ca="1">IF(ROWS($1:39)&gt;COUNT(Dong2),"",IF(AND(IF($M$9="Q4",RIGHT(OFFSET(TH!G$1,SMALL(Dong2,ROWS($1:39)),),2)=$M$9,RIGHT(OFFSET(TH!G$1,SMALL(Dong2,ROWS($1:39)),),3)=$M$9),OFFSET(TH!N$1,SMALL(Dong2,ROWS($1:39)),)=$I$6),IF($I$6="1121",OFFSET(TH!M$1,SMALL(Dong2,ROWS($1:39)),),OFFSET(TH!K$1,SMALL(Dong2,ROWS($1:39)),)),0))</f>
        <v>0</v>
      </c>
      <c r="G50" s="1295">
        <f ca="1">IF(ROWS($1:39)&gt;COUNT(Dong2),"",IF(AND(IF($M$9="Q4",LEFT(OFFSET(TH!G$1,SMALL(Dong2,ROWS($1:39)),),2)=$M$9,LEFT(OFFSET(TH!G$1,SMALL(Dong2,ROWS($1:39)),),3)=$M$9),OFFSET(TH!O$1,SMALL(Dong2,ROWS($1:39)),)=$I$6),IF($I$6="1121",OFFSET(TH!M$1,SMALL(Dong2,ROWS($1:39)),),OFFSET(TH!K$1,SMALL(Dong2,ROWS($1:39)),)),0))</f>
        <v>20000</v>
      </c>
      <c r="H50" s="1296">
        <f t="shared" ca="1" si="1"/>
        <v>4296927</v>
      </c>
      <c r="I50" s="1292"/>
    </row>
    <row r="51" spans="1:12" s="206" customFormat="1" ht="20.25" customHeight="1">
      <c r="A51" s="217">
        <f ca="1">IF(ROWS($1:40)&gt;COUNT(Dong2),"",OFFSET(TH!C$1,SMALL(Dong2,ROWS($1:40)),))</f>
        <v>42399</v>
      </c>
      <c r="B51" s="217" t="str">
        <f ca="1">IF(ROWS($1:40)&gt;COUNT(Dong2),"",OFFSET(TH!D$1,SMALL(Dong2,ROWS($1:40)),))</f>
        <v>GBN</v>
      </c>
      <c r="C51" s="217">
        <f ca="1">IF(ROWS($1:40)&gt;COUNT(Dong2),"",OFFSET(TH!E$1,SMALL(Dong2,ROWS($1:40)),))</f>
        <v>42399</v>
      </c>
      <c r="D51" s="453" t="str">
        <f ca="1">IF(ROWS($1:40)&gt;COUNT(Dong2),"",OFFSET(TH!F$1,SMALL(Dong2,ROWS($1:40)),))</f>
        <v>Q11 - VAT Phí chuyển tiền</v>
      </c>
      <c r="E51" s="217" t="str">
        <f ca="1">IF(ROWS($1:40)&gt;COUNT(Dong2),"",IF(OFFSET(TH!O$1,SMALL(Dong2,ROWS($1:40)),)=$I$6,OFFSET(TH!N$1,SMALL(Dong2,ROWS($1:40)),),OFFSET(TH!O$1,SMALL(Dong2,ROWS($1:40)),)))</f>
        <v>1331</v>
      </c>
      <c r="F51" s="1295">
        <f ca="1">IF(ROWS($1:40)&gt;COUNT(Dong2),"",IF(AND(IF($M$9="Q4",RIGHT(OFFSET(TH!G$1,SMALL(Dong2,ROWS($1:40)),),2)=$M$9,RIGHT(OFFSET(TH!G$1,SMALL(Dong2,ROWS($1:40)),),3)=$M$9),OFFSET(TH!N$1,SMALL(Dong2,ROWS($1:40)),)=$I$6),IF($I$6="1121",OFFSET(TH!M$1,SMALL(Dong2,ROWS($1:40)),),OFFSET(TH!K$1,SMALL(Dong2,ROWS($1:40)),)),0))</f>
        <v>0</v>
      </c>
      <c r="G51" s="1295">
        <f ca="1">IF(ROWS($1:40)&gt;COUNT(Dong2),"",IF(AND(IF($M$9="Q4",LEFT(OFFSET(TH!G$1,SMALL(Dong2,ROWS($1:40)),),2)=$M$9,LEFT(OFFSET(TH!G$1,SMALL(Dong2,ROWS($1:40)),),3)=$M$9),OFFSET(TH!O$1,SMALL(Dong2,ROWS($1:40)),)=$I$6),IF($I$6="1121",OFFSET(TH!M$1,SMALL(Dong2,ROWS($1:40)),),OFFSET(TH!K$1,SMALL(Dong2,ROWS($1:40)),)),0))</f>
        <v>2000</v>
      </c>
      <c r="H51" s="1296">
        <f t="shared" ca="1" si="1"/>
        <v>4294927</v>
      </c>
      <c r="I51" s="1292"/>
    </row>
    <row r="52" spans="1:12" s="206" customFormat="1" ht="20.25" customHeight="1">
      <c r="A52" s="217" t="str">
        <f ca="1">IF(ROWS($1:41)&gt;COUNT(Dong2),"",OFFSET(TH!C$1,SMALL(Dong2,ROWS($1:41)),))</f>
        <v/>
      </c>
      <c r="B52" s="217" t="str">
        <f ca="1">IF(ROWS($1:41)&gt;COUNT(Dong2),"",OFFSET(TH!D$1,SMALL(Dong2,ROWS($1:41)),))</f>
        <v/>
      </c>
      <c r="C52" s="217" t="str">
        <f ca="1">IF(ROWS($1:41)&gt;COUNT(Dong2),"",OFFSET(TH!E$1,SMALL(Dong2,ROWS($1:41)),))</f>
        <v/>
      </c>
      <c r="D52" s="453" t="str">
        <f ca="1">IF(ROWS($1:41)&gt;COUNT(Dong2),"",OFFSET(TH!F$1,SMALL(Dong2,ROWS($1:41)),))</f>
        <v/>
      </c>
      <c r="E52" s="217" t="str">
        <f ca="1">IF(ROWS($1:41)&gt;COUNT(Dong2),"",IF(OFFSET(TH!O$1,SMALL(Dong2,ROWS($1:41)),)=$I$6,OFFSET(TH!N$1,SMALL(Dong2,ROWS($1:41)),),OFFSET(TH!O$1,SMALL(Dong2,ROWS($1:41)),)))</f>
        <v/>
      </c>
      <c r="F52" s="1295" t="str">
        <f ca="1">IF(ROWS($1:41)&gt;COUNT(Dong2),"",IF(AND(IF($M$9="Q4",RIGHT(OFFSET(TH!G$1,SMALL(Dong2,ROWS($1:41)),),2)=$M$9,RIGHT(OFFSET(TH!G$1,SMALL(Dong2,ROWS($1:41)),),3)=$M$9),OFFSET(TH!N$1,SMALL(Dong2,ROWS($1:41)),)=$I$6),IF($I$6="1121",OFFSET(TH!M$1,SMALL(Dong2,ROWS($1:41)),),OFFSET(TH!K$1,SMALL(Dong2,ROWS($1:41)),)),0))</f>
        <v/>
      </c>
      <c r="G52" s="1295" t="str">
        <f ca="1">IF(ROWS($1:41)&gt;COUNT(Dong2),"",IF(AND(IF($M$9="Q4",LEFT(OFFSET(TH!G$1,SMALL(Dong2,ROWS($1:41)),),2)=$M$9,LEFT(OFFSET(TH!G$1,SMALL(Dong2,ROWS($1:41)),),3)=$M$9),OFFSET(TH!O$1,SMALL(Dong2,ROWS($1:41)),)=$I$6),IF($I$6="1121",OFFSET(TH!M$1,SMALL(Dong2,ROWS($1:41)),),OFFSET(TH!K$1,SMALL(Dong2,ROWS($1:41)),)),0))</f>
        <v/>
      </c>
      <c r="H52" s="1296">
        <f t="shared" ca="1" si="1"/>
        <v>0</v>
      </c>
      <c r="I52" s="1292"/>
    </row>
    <row r="53" spans="1:12" s="206" customFormat="1" ht="20.25" customHeight="1">
      <c r="A53" s="217" t="str">
        <f ca="1">IF(ROWS($1:42)&gt;COUNT(Dong2),"",OFFSET(TH!C$1,SMALL(Dong2,ROWS($1:42)),))</f>
        <v/>
      </c>
      <c r="B53" s="217" t="str">
        <f ca="1">IF(ROWS($1:42)&gt;COUNT(Dong2),"",OFFSET(TH!D$1,SMALL(Dong2,ROWS($1:42)),))</f>
        <v/>
      </c>
      <c r="C53" s="217" t="str">
        <f ca="1">IF(ROWS($1:42)&gt;COUNT(Dong2),"",OFFSET(TH!E$1,SMALL(Dong2,ROWS($1:42)),))</f>
        <v/>
      </c>
      <c r="D53" s="453" t="str">
        <f ca="1">IF(ROWS($1:42)&gt;COUNT(Dong2),"",OFFSET(TH!F$1,SMALL(Dong2,ROWS($1:42)),))</f>
        <v/>
      </c>
      <c r="E53" s="217" t="str">
        <f ca="1">IF(ROWS($1:42)&gt;COUNT(Dong2),"",IF(OFFSET(TH!O$1,SMALL(Dong2,ROWS($1:42)),)=$I$6,OFFSET(TH!N$1,SMALL(Dong2,ROWS($1:42)),),OFFSET(TH!O$1,SMALL(Dong2,ROWS($1:42)),)))</f>
        <v/>
      </c>
      <c r="F53" s="1295" t="str">
        <f ca="1">IF(ROWS($1:42)&gt;COUNT(Dong2),"",IF(AND(IF($M$9="Q4",RIGHT(OFFSET(TH!G$1,SMALL(Dong2,ROWS($1:42)),),2)=$M$9,RIGHT(OFFSET(TH!G$1,SMALL(Dong2,ROWS($1:42)),),3)=$M$9),OFFSET(TH!N$1,SMALL(Dong2,ROWS($1:42)),)=$I$6),IF($I$6="1121",OFFSET(TH!M$1,SMALL(Dong2,ROWS($1:42)),),OFFSET(TH!K$1,SMALL(Dong2,ROWS($1:42)),)),0))</f>
        <v/>
      </c>
      <c r="G53" s="1295" t="str">
        <f ca="1">IF(ROWS($1:42)&gt;COUNT(Dong2),"",IF(AND(IF($M$9="Q4",LEFT(OFFSET(TH!G$1,SMALL(Dong2,ROWS($1:42)),),2)=$M$9,LEFT(OFFSET(TH!G$1,SMALL(Dong2,ROWS($1:42)),),3)=$M$9),OFFSET(TH!O$1,SMALL(Dong2,ROWS($1:42)),)=$I$6),IF($I$6="1121",OFFSET(TH!M$1,SMALL(Dong2,ROWS($1:42)),),OFFSET(TH!K$1,SMALL(Dong2,ROWS($1:42)),)),0))</f>
        <v/>
      </c>
      <c r="H53" s="1296">
        <f t="shared" ca="1" si="1"/>
        <v>0</v>
      </c>
      <c r="I53" s="1292"/>
    </row>
    <row r="54" spans="1:12" s="206" customFormat="1" ht="20.25" customHeight="1">
      <c r="A54" s="217" t="str">
        <f ca="1">IF(ROWS($1:43)&gt;COUNT(Dong2),"",OFFSET(TH!C$1,SMALL(Dong2,ROWS($1:43)),))</f>
        <v/>
      </c>
      <c r="B54" s="217" t="str">
        <f ca="1">IF(ROWS($1:43)&gt;COUNT(Dong2),"",OFFSET(TH!D$1,SMALL(Dong2,ROWS($1:43)),))</f>
        <v/>
      </c>
      <c r="C54" s="217" t="str">
        <f ca="1">IF(ROWS($1:43)&gt;COUNT(Dong2),"",OFFSET(TH!E$1,SMALL(Dong2,ROWS($1:43)),))</f>
        <v/>
      </c>
      <c r="D54" s="453" t="str">
        <f ca="1">IF(ROWS($1:43)&gt;COUNT(Dong2),"",OFFSET(TH!F$1,SMALL(Dong2,ROWS($1:43)),))</f>
        <v/>
      </c>
      <c r="E54" s="217" t="str">
        <f ca="1">IF(ROWS($1:43)&gt;COUNT(Dong2),"",IF(OFFSET(TH!O$1,SMALL(Dong2,ROWS($1:43)),)=$I$6,OFFSET(TH!N$1,SMALL(Dong2,ROWS($1:43)),),OFFSET(TH!O$1,SMALL(Dong2,ROWS($1:43)),)))</f>
        <v/>
      </c>
      <c r="F54" s="1295" t="str">
        <f ca="1">IF(ROWS($1:43)&gt;COUNT(Dong2),"",IF(AND(IF($M$9="Q4",RIGHT(OFFSET(TH!G$1,SMALL(Dong2,ROWS($1:43)),),2)=$M$9,RIGHT(OFFSET(TH!G$1,SMALL(Dong2,ROWS($1:43)),),3)=$M$9),OFFSET(TH!N$1,SMALL(Dong2,ROWS($1:43)),)=$I$6),IF($I$6="1121",OFFSET(TH!M$1,SMALL(Dong2,ROWS($1:43)),),OFFSET(TH!K$1,SMALL(Dong2,ROWS($1:43)),)),0))</f>
        <v/>
      </c>
      <c r="G54" s="1295" t="str">
        <f ca="1">IF(ROWS($1:43)&gt;COUNT(Dong2),"",IF(AND(IF($M$9="Q4",LEFT(OFFSET(TH!G$1,SMALL(Dong2,ROWS($1:43)),),2)=$M$9,LEFT(OFFSET(TH!G$1,SMALL(Dong2,ROWS($1:43)),),3)=$M$9),OFFSET(TH!O$1,SMALL(Dong2,ROWS($1:43)),)=$I$6),IF($I$6="1121",OFFSET(TH!M$1,SMALL(Dong2,ROWS($1:43)),),OFFSET(TH!K$1,SMALL(Dong2,ROWS($1:43)),)),0))</f>
        <v/>
      </c>
      <c r="H54" s="1296">
        <f t="shared" ca="1" si="1"/>
        <v>0</v>
      </c>
      <c r="I54" s="1292"/>
    </row>
    <row r="55" spans="1:12" s="206" customFormat="1" ht="20.25" customHeight="1">
      <c r="A55" s="217" t="str">
        <f ca="1">IF(ROWS($1:44)&gt;COUNT(Dong2),"",OFFSET(TH!C$1,SMALL(Dong2,ROWS($1:44)),))</f>
        <v/>
      </c>
      <c r="B55" s="217" t="str">
        <f ca="1">IF(ROWS($1:44)&gt;COUNT(Dong2),"",OFFSET(TH!D$1,SMALL(Dong2,ROWS($1:44)),))</f>
        <v/>
      </c>
      <c r="C55" s="217" t="str">
        <f ca="1">IF(ROWS($1:44)&gt;COUNT(Dong2),"",OFFSET(TH!E$1,SMALL(Dong2,ROWS($1:44)),))</f>
        <v/>
      </c>
      <c r="D55" s="453" t="str">
        <f ca="1">IF(ROWS($1:44)&gt;COUNT(Dong2),"",OFFSET(TH!F$1,SMALL(Dong2,ROWS($1:44)),))</f>
        <v/>
      </c>
      <c r="E55" s="217" t="str">
        <f ca="1">IF(ROWS($1:44)&gt;COUNT(Dong2),"",IF(OFFSET(TH!O$1,SMALL(Dong2,ROWS($1:44)),)=$I$6,OFFSET(TH!N$1,SMALL(Dong2,ROWS($1:44)),),OFFSET(TH!O$1,SMALL(Dong2,ROWS($1:44)),)))</f>
        <v/>
      </c>
      <c r="F55" s="1295" t="str">
        <f ca="1">IF(ROWS($1:44)&gt;COUNT(Dong2),"",IF(AND(IF($M$9="Q4",RIGHT(OFFSET(TH!G$1,SMALL(Dong2,ROWS($1:44)),),2)=$M$9,RIGHT(OFFSET(TH!G$1,SMALL(Dong2,ROWS($1:44)),),3)=$M$9),OFFSET(TH!N$1,SMALL(Dong2,ROWS($1:44)),)=$I$6),IF($I$6="1121",OFFSET(TH!M$1,SMALL(Dong2,ROWS($1:44)),),OFFSET(TH!K$1,SMALL(Dong2,ROWS($1:44)),)),0))</f>
        <v/>
      </c>
      <c r="G55" s="1295" t="str">
        <f ca="1">IF(ROWS($1:44)&gt;COUNT(Dong2),"",IF(AND(IF($M$9="Q4",LEFT(OFFSET(TH!G$1,SMALL(Dong2,ROWS($1:44)),),2)=$M$9,LEFT(OFFSET(TH!G$1,SMALL(Dong2,ROWS($1:44)),),3)=$M$9),OFFSET(TH!O$1,SMALL(Dong2,ROWS($1:44)),)=$I$6),IF($I$6="1121",OFFSET(TH!M$1,SMALL(Dong2,ROWS($1:44)),),OFFSET(TH!K$1,SMALL(Dong2,ROWS($1:44)),)),0))</f>
        <v/>
      </c>
      <c r="H55" s="1296">
        <f t="shared" ca="1" si="1"/>
        <v>0</v>
      </c>
      <c r="I55" s="1292"/>
    </row>
    <row r="56" spans="1:12" s="206" customFormat="1" ht="20.25" customHeight="1">
      <c r="A56" s="217"/>
      <c r="B56" s="217"/>
      <c r="C56" s="217"/>
      <c r="D56" s="453"/>
      <c r="E56" s="217"/>
      <c r="F56" s="1295"/>
      <c r="G56" s="1295"/>
      <c r="H56" s="1296"/>
      <c r="I56" s="1292"/>
    </row>
    <row r="57" spans="1:12" s="216" customFormat="1" ht="20.25" customHeight="1">
      <c r="A57" s="218"/>
      <c r="B57" s="219"/>
      <c r="C57" s="218"/>
      <c r="D57" s="215" t="s">
        <v>160</v>
      </c>
      <c r="E57" s="220"/>
      <c r="F57" s="1294">
        <f ca="1">SUM(F12:F56)</f>
        <v>5876241172</v>
      </c>
      <c r="G57" s="1294">
        <f ca="1">SUM(G12:G56)</f>
        <v>5884039098</v>
      </c>
      <c r="H57" s="1294">
        <f ca="1">H11+F57-G57</f>
        <v>4294927</v>
      </c>
      <c r="I57" s="1293"/>
    </row>
    <row r="58" spans="1:12" s="216" customFormat="1" ht="20.25" customHeight="1">
      <c r="A58" s="218"/>
      <c r="B58" s="219"/>
      <c r="C58" s="218"/>
      <c r="D58" s="215" t="s">
        <v>10</v>
      </c>
      <c r="E58" s="220"/>
      <c r="F58" s="221"/>
      <c r="G58" s="221"/>
      <c r="H58" s="1294">
        <f ca="1">H57</f>
        <v>4294927</v>
      </c>
      <c r="I58" s="220"/>
    </row>
    <row r="59" spans="1:12" s="216" customFormat="1" ht="22.5" customHeight="1">
      <c r="A59" s="491" t="s">
        <v>249</v>
      </c>
      <c r="B59" s="222"/>
      <c r="F59" s="223"/>
      <c r="I59" s="224"/>
    </row>
    <row r="60" spans="1:12" s="216" customFormat="1" ht="12.75">
      <c r="A60" s="264" t="str">
        <f ca="1">"- Ngày mở sổ: "&amp;DAY($A$12)&amp;"/"&amp;MONTH($A$12)&amp;"/ 2015"</f>
        <v>- Ngày mở sổ: 7/1/ 2015</v>
      </c>
      <c r="B60" s="225"/>
      <c r="F60" s="223"/>
      <c r="I60" s="224"/>
    </row>
    <row r="61" spans="1:12" s="216" customFormat="1" ht="12.75">
      <c r="A61" s="226"/>
      <c r="B61" s="227"/>
      <c r="C61" s="228"/>
      <c r="F61" s="223"/>
      <c r="G61" s="361" t="str">
        <f>"Ngày "&amp;IF(OR($K$9=4,$K$9=6,$K$9=9,$K$9=11),"30",IF($K$9=2,"28","31"))&amp;" tháng "&amp;$K$9&amp;"  năm  2016 "</f>
        <v xml:space="preserve">Ngày 31 tháng 1  năm  2016 </v>
      </c>
    </row>
    <row r="62" spans="1:12" s="216" customFormat="1" ht="17.25" customHeight="1">
      <c r="B62" s="229" t="s">
        <v>11</v>
      </c>
      <c r="D62" s="229" t="s">
        <v>12</v>
      </c>
      <c r="F62" s="230"/>
      <c r="G62" s="432" t="s">
        <v>132</v>
      </c>
      <c r="H62" s="454"/>
      <c r="I62" s="454"/>
      <c r="J62" s="231"/>
      <c r="K62" s="226"/>
      <c r="L62" s="226"/>
    </row>
    <row r="63" spans="1:12" s="216" customFormat="1" ht="12.75">
      <c r="B63" s="433" t="s">
        <v>13</v>
      </c>
      <c r="D63" s="232" t="s">
        <v>13</v>
      </c>
      <c r="F63" s="233"/>
      <c r="G63" s="434" t="s">
        <v>163</v>
      </c>
      <c r="K63" s="234"/>
      <c r="L63" s="234"/>
    </row>
    <row r="70" spans="2:7">
      <c r="B70" s="442" t="s">
        <v>244</v>
      </c>
      <c r="G70" s="455" t="s">
        <v>126</v>
      </c>
    </row>
  </sheetData>
  <autoFilter ref="A10:K60"/>
  <mergeCells count="13">
    <mergeCell ref="O6:O7"/>
    <mergeCell ref="P6:P7"/>
    <mergeCell ref="Q6:Q7"/>
    <mergeCell ref="R6:R7"/>
    <mergeCell ref="A4:I4"/>
    <mergeCell ref="A5:I5"/>
    <mergeCell ref="A8:A9"/>
    <mergeCell ref="B8:C8"/>
    <mergeCell ref="D8:D9"/>
    <mergeCell ref="E8:E9"/>
    <mergeCell ref="F8:H8"/>
    <mergeCell ref="I8:I9"/>
    <mergeCell ref="E6:G6"/>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4" activePane="bottomLeft" state="frozen"/>
      <selection activeCell="A8" sqref="A8"/>
      <selection pane="bottomLeft" activeCell="A66" sqref="A66:XFD128"/>
    </sheetView>
  </sheetViews>
  <sheetFormatPr defaultRowHeight="15"/>
  <cols>
    <col min="1" max="1" width="11.7109375" style="4" customWidth="1"/>
    <col min="2" max="2" width="13.85546875" style="241"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0" customFormat="1" ht="15.75" customHeight="1">
      <c r="A1" s="195" t="s">
        <v>139</v>
      </c>
      <c r="D1" s="1134" t="s">
        <v>176</v>
      </c>
      <c r="E1" s="1134"/>
      <c r="G1" s="2"/>
      <c r="I1" s="2"/>
    </row>
    <row r="2" spans="1:10" s="240" customFormat="1" ht="15.75" customHeight="1">
      <c r="A2" s="140" t="s">
        <v>140</v>
      </c>
      <c r="D2" s="1135" t="s">
        <v>177</v>
      </c>
      <c r="E2" s="1135"/>
      <c r="G2" s="17"/>
      <c r="I2" s="17"/>
    </row>
    <row r="3" spans="1:10" s="240" customFormat="1">
      <c r="D3" s="1135" t="s">
        <v>178</v>
      </c>
      <c r="E3" s="1135"/>
      <c r="F3" s="17"/>
      <c r="G3" s="17"/>
      <c r="I3" s="17"/>
    </row>
    <row r="4" spans="1:10" ht="8.25" customHeight="1"/>
    <row r="5" spans="1:10" ht="23.25" customHeight="1">
      <c r="A5" s="1136" t="s">
        <v>179</v>
      </c>
      <c r="B5" s="1136"/>
      <c r="C5" s="1136"/>
      <c r="D5" s="1136"/>
      <c r="E5" s="1136"/>
    </row>
    <row r="6" spans="1:10" ht="18" customHeight="1">
      <c r="A6" s="1137" t="str">
        <f>$G$9&amp;"  năm  2015 "</f>
        <v xml:space="preserve">Quý I  năm  2015 </v>
      </c>
      <c r="B6" s="1137"/>
      <c r="C6" s="1137"/>
      <c r="D6" s="1137"/>
      <c r="E6" s="1137"/>
    </row>
    <row r="7" spans="1:10" ht="10.5" customHeight="1"/>
    <row r="8" spans="1:10" s="242" customFormat="1" ht="20.25" customHeight="1" thickBot="1">
      <c r="A8" s="1138" t="s">
        <v>1</v>
      </c>
      <c r="B8" s="1138"/>
      <c r="C8" s="1139" t="s">
        <v>0</v>
      </c>
      <c r="D8" s="1139" t="s">
        <v>180</v>
      </c>
      <c r="E8" s="1139" t="s">
        <v>181</v>
      </c>
      <c r="G8" s="196"/>
      <c r="H8" s="168"/>
      <c r="I8" s="1118" t="s">
        <v>164</v>
      </c>
      <c r="J8" s="1118"/>
    </row>
    <row r="9" spans="1:10" s="492" customFormat="1" ht="33" customHeight="1" thickBot="1">
      <c r="A9" s="435" t="s">
        <v>17</v>
      </c>
      <c r="B9" s="435" t="s">
        <v>34</v>
      </c>
      <c r="C9" s="1139"/>
      <c r="D9" s="1139"/>
      <c r="E9" s="1139"/>
      <c r="G9" s="493" t="s">
        <v>267</v>
      </c>
      <c r="H9" s="494"/>
      <c r="I9" s="495">
        <f>IF(G9="Quý I",1,IF(G9="Quý II",4,IF(G9="Quý III",7,IF(G9="Quý IV",10,""))))</f>
        <v>1</v>
      </c>
      <c r="J9" s="496">
        <f>IF(G9="Quý I",3,IF(G9="Quý II",6,IF(G9="Quý III",9,IF(G9="Quý IV",12,""))))</f>
        <v>3</v>
      </c>
    </row>
    <row r="10" spans="1:10" s="246" customFormat="1" ht="11.25" customHeight="1">
      <c r="A10" s="243" t="s">
        <v>2</v>
      </c>
      <c r="B10" s="244" t="s">
        <v>3</v>
      </c>
      <c r="C10" s="244" t="s">
        <v>4</v>
      </c>
      <c r="D10" s="245" t="s">
        <v>182</v>
      </c>
      <c r="E10" s="245" t="s">
        <v>183</v>
      </c>
    </row>
    <row r="11" spans="1:10" s="246" customFormat="1" ht="18" customHeight="1">
      <c r="A11" s="247"/>
      <c r="B11" s="248"/>
      <c r="C11" s="249" t="s">
        <v>184</v>
      </c>
      <c r="D11" s="250">
        <f>IF($L$9="All",CDPS!$C$16,CDPS!$C$16+SUMIF(_N133,"x",TH)-SUMIF(_C133,"x",TH))</f>
        <v>162420936</v>
      </c>
      <c r="E11" s="250"/>
    </row>
    <row r="12" spans="1:10" s="246" customFormat="1" ht="18" customHeight="1">
      <c r="A12" s="251"/>
      <c r="B12" s="252"/>
      <c r="C12" s="253" t="s">
        <v>185</v>
      </c>
      <c r="D12" s="254"/>
      <c r="E12" s="254"/>
    </row>
    <row r="13" spans="1:10" ht="18" customHeight="1">
      <c r="A13" s="266" t="str">
        <f ca="1">IF(ROWS($1:1)&gt;COUNT(Dong3),"",OFFSET(TH!D$1,SMALL(Dong3,ROWS($1:1)),))</f>
        <v>CTGS</v>
      </c>
      <c r="B13" s="255">
        <f ca="1">IF(ROWS($1:1)&gt;COUNT(Dong3),"",OFFSET(TH!E$1,SMALL(Dong3,ROWS($1:1)),))</f>
        <v>42370</v>
      </c>
      <c r="C13" s="265" t="str">
        <f ca="1">IF(ROWS($1:1)&gt;COUNT(Dong3),"",OFFSET(TH!F$1,SMALL(Dong3,ROWS($1:1)),))</f>
        <v>VAT Phí xếp dỡ, niêm chì, khai hải quan, chứng từ, điện giao hàng</v>
      </c>
      <c r="D13" s="267">
        <f ca="1">IF(ROWS($1:1)&gt;COUNT(Dong3),"",OFFSET(TH!M$1,SMALL(Dong3,ROWS($1:1)),))</f>
        <v>682356</v>
      </c>
      <c r="E13" s="256"/>
    </row>
    <row r="14" spans="1:10" ht="18" customHeight="1">
      <c r="A14" s="266" t="str">
        <f ca="1">IF(ROWS($1:2)&gt;COUNT(Dong3),"",OFFSET(TH!D$1,SMALL(Dong3,ROWS($1:2)),))</f>
        <v>CTGS</v>
      </c>
      <c r="B14" s="255">
        <f ca="1">IF(ROWS($1:2)&gt;COUNT(Dong3),"",OFFSET(TH!E$1,SMALL(Dong3,ROWS($1:2)),))</f>
        <v>42380</v>
      </c>
      <c r="C14" s="265" t="str">
        <f ca="1">IF(ROWS($1:2)&gt;COUNT(Dong3),"",OFFSET(TH!F$1,SMALL(Dong3,ROWS($1:2)),))</f>
        <v>VAT Phí xử lý cá khô</v>
      </c>
      <c r="D14" s="267">
        <f ca="1">IF(ROWS($1:2)&gt;COUNT(Dong3),"",OFFSET(TH!M$1,SMALL(Dong3,ROWS($1:2)),))</f>
        <v>200000</v>
      </c>
      <c r="E14" s="256"/>
    </row>
    <row r="15" spans="1:10" ht="18" customHeight="1">
      <c r="A15" s="266" t="str">
        <f ca="1">IF(ROWS($1:3)&gt;COUNT(Dong3),"",OFFSET(TH!D$1,SMALL(Dong3,ROWS($1:3)),))</f>
        <v>CTGS</v>
      </c>
      <c r="B15" s="255">
        <f ca="1">IF(ROWS($1:3)&gt;COUNT(Dong3),"",OFFSET(TH!E$1,SMALL(Dong3,ROWS($1:3)),))</f>
        <v>42381</v>
      </c>
      <c r="C15" s="265" t="str">
        <f ca="1">IF(ROWS($1:3)&gt;COUNT(Dong3),"",OFFSET(TH!F$1,SMALL(Dong3,ROWS($1:3)),))</f>
        <v>VAT Phí xử lý cá khô</v>
      </c>
      <c r="D15" s="267">
        <f ca="1">IF(ROWS($1:3)&gt;COUNT(Dong3),"",OFFSET(TH!M$1,SMALL(Dong3,ROWS($1:3)),))</f>
        <v>200000</v>
      </c>
      <c r="E15" s="256"/>
    </row>
    <row r="16" spans="1:10" ht="18" customHeight="1">
      <c r="A16" s="266" t="str">
        <f ca="1">IF(ROWS($1:4)&gt;COUNT(Dong3),"",OFFSET(TH!D$1,SMALL(Dong3,ROWS($1:4)),))</f>
        <v>CTGS</v>
      </c>
      <c r="B16" s="255">
        <f ca="1">IF(ROWS($1:4)&gt;COUNT(Dong3),"",OFFSET(TH!E$1,SMALL(Dong3,ROWS($1:4)),))</f>
        <v>42394</v>
      </c>
      <c r="C16" s="265" t="str">
        <f ca="1">IF(ROWS($1:4)&gt;COUNT(Dong3),"",OFFSET(TH!F$1,SMALL(Dong3,ROWS($1:4)),))</f>
        <v>VAT Phí xử lý cá khô</v>
      </c>
      <c r="D16" s="267">
        <f ca="1">IF(ROWS($1:4)&gt;COUNT(Dong3),"",OFFSET(TH!M$1,SMALL(Dong3,ROWS($1:4)),))</f>
        <v>181818</v>
      </c>
      <c r="E16" s="256"/>
    </row>
    <row r="17" spans="1:5" ht="18" customHeight="1">
      <c r="A17" s="266" t="str">
        <f ca="1">IF(ROWS($1:5)&gt;COUNT(Dong3),"",OFFSET(TH!D$1,SMALL(Dong3,ROWS($1:5)),))</f>
        <v>CTGS</v>
      </c>
      <c r="B17" s="255">
        <f ca="1">IF(ROWS($1:5)&gt;COUNT(Dong3),"",OFFSET(TH!E$1,SMALL(Dong3,ROWS($1:5)),))</f>
        <v>42398</v>
      </c>
      <c r="C17" s="265" t="str">
        <f ca="1">IF(ROWS($1:5)&gt;COUNT(Dong3),"",OFFSET(TH!F$1,SMALL(Dong3,ROWS($1:5)),))</f>
        <v>VAT Phí xếp dỡ, niêm chì, chứng từ, điện giao hàng</v>
      </c>
      <c r="D17" s="267">
        <f ca="1">IF(ROWS($1:5)&gt;COUNT(Dong3),"",OFFSET(TH!M$1,SMALL(Dong3,ROWS($1:5)),))</f>
        <v>507756</v>
      </c>
      <c r="E17" s="256"/>
    </row>
    <row r="18" spans="1:5" ht="18" customHeight="1">
      <c r="A18" s="266" t="str">
        <f ca="1">IF(ROWS($1:6)&gt;COUNT(Dong3),"",OFFSET(TH!D$1,SMALL(Dong3,ROWS($1:6)),))</f>
        <v>CTGS</v>
      </c>
      <c r="B18" s="255">
        <f ca="1">IF(ROWS($1:6)&gt;COUNT(Dong3),"",OFFSET(TH!E$1,SMALL(Dong3,ROWS($1:6)),))</f>
        <v>42398</v>
      </c>
      <c r="C18" s="265" t="str">
        <f ca="1">IF(ROWS($1:6)&gt;COUNT(Dong3),"",OFFSET(TH!F$1,SMALL(Dong3,ROWS($1:6)),))</f>
        <v>VAT Phí xếp dỡ, niêm chì, khai hải quan, chứng từ, điện giao hàng</v>
      </c>
      <c r="D18" s="267">
        <f ca="1">IF(ROWS($1:6)&gt;COUNT(Dong3),"",OFFSET(TH!M$1,SMALL(Dong3,ROWS($1:6)),))</f>
        <v>641376</v>
      </c>
      <c r="E18" s="256"/>
    </row>
    <row r="19" spans="1:5" ht="18" customHeight="1">
      <c r="A19" s="266" t="str">
        <f ca="1">IF(ROWS($1:7)&gt;COUNT(Dong3),"",OFFSET(TH!D$1,SMALL(Dong3,ROWS($1:7)),))</f>
        <v>CTGS</v>
      </c>
      <c r="B19" s="255">
        <f ca="1">IF(ROWS($1:7)&gt;COUNT(Dong3),"",OFFSET(TH!E$1,SMALL(Dong3,ROWS($1:7)),))</f>
        <v>42400</v>
      </c>
      <c r="C19" s="265" t="str">
        <f ca="1">IF(ROWS($1:7)&gt;COUNT(Dong3),"",OFFSET(TH!F$1,SMALL(Dong3,ROWS($1:7)),))</f>
        <v>VAT Phí xử lý cá khô</v>
      </c>
      <c r="D19" s="267">
        <f ca="1">IF(ROWS($1:7)&gt;COUNT(Dong3),"",OFFSET(TH!M$1,SMALL(Dong3,ROWS($1:7)),))</f>
        <v>200000</v>
      </c>
      <c r="E19" s="256"/>
    </row>
    <row r="20" spans="1:5" ht="18" customHeight="1">
      <c r="A20" s="266" t="str">
        <f ca="1">IF(ROWS($1:8)&gt;COUNT(Dong3),"",OFFSET(TH!D$1,SMALL(Dong3,ROWS($1:8)),))</f>
        <v>CTGS</v>
      </c>
      <c r="B20" s="255">
        <f ca="1">IF(ROWS($1:8)&gt;COUNT(Dong3),"",OFFSET(TH!E$1,SMALL(Dong3,ROWS($1:8)),))</f>
        <v>42375</v>
      </c>
      <c r="C20" s="265" t="str">
        <f ca="1">IF(ROWS($1:8)&gt;COUNT(Dong3),"",OFFSET(TH!F$1,SMALL(Dong3,ROWS($1:8)),))</f>
        <v>VAT Tiền điện kỳ 1 T1/2016</v>
      </c>
      <c r="D20" s="267">
        <f ca="1">IF(ROWS($1:8)&gt;COUNT(Dong3),"",OFFSET(TH!M$1,SMALL(Dong3,ROWS($1:8)),))</f>
        <v>2465300</v>
      </c>
      <c r="E20" s="256"/>
    </row>
    <row r="21" spans="1:5" ht="18" customHeight="1">
      <c r="A21" s="266" t="str">
        <f ca="1">IF(ROWS($1:9)&gt;COUNT(Dong3),"",OFFSET(TH!D$1,SMALL(Dong3,ROWS($1:9)),))</f>
        <v>CTGS</v>
      </c>
      <c r="B21" s="255">
        <f ca="1">IF(ROWS($1:9)&gt;COUNT(Dong3),"",OFFSET(TH!E$1,SMALL(Dong3,ROWS($1:9)),))</f>
        <v>42385</v>
      </c>
      <c r="C21" s="265" t="str">
        <f ca="1">IF(ROWS($1:9)&gt;COUNT(Dong3),"",OFFSET(TH!F$1,SMALL(Dong3,ROWS($1:9)),))</f>
        <v>VAT Tiền điện kỳ 2 T1/2016</v>
      </c>
      <c r="D21" s="267">
        <f ca="1">IF(ROWS($1:9)&gt;COUNT(Dong3),"",OFFSET(TH!M$1,SMALL(Dong3,ROWS($1:9)),))</f>
        <v>2932740</v>
      </c>
      <c r="E21" s="256"/>
    </row>
    <row r="22" spans="1:5" ht="18" customHeight="1">
      <c r="A22" s="266" t="str">
        <f ca="1">IF(ROWS($1:10)&gt;COUNT(Dong3),"",OFFSET(TH!D$1,SMALL(Dong3,ROWS($1:10)),))</f>
        <v>CTGS</v>
      </c>
      <c r="B22" s="255">
        <f ca="1">IF(ROWS($1:10)&gt;COUNT(Dong3),"",OFFSET(TH!E$1,SMALL(Dong3,ROWS($1:10)),))</f>
        <v>42395</v>
      </c>
      <c r="C22" s="265" t="str">
        <f ca="1">IF(ROWS($1:10)&gt;COUNT(Dong3),"",OFFSET(TH!F$1,SMALL(Dong3,ROWS($1:10)),))</f>
        <v>VAT Tiền điện kỳ 3 T1/2016</v>
      </c>
      <c r="D22" s="267">
        <f ca="1">IF(ROWS($1:10)&gt;COUNT(Dong3),"",OFFSET(TH!M$1,SMALL(Dong3,ROWS($1:10)),))</f>
        <v>2899150</v>
      </c>
      <c r="E22" s="256"/>
    </row>
    <row r="23" spans="1:5" ht="18" customHeight="1">
      <c r="A23" s="266" t="str">
        <f ca="1">IF(ROWS($1:11)&gt;COUNT(Dong3),"",OFFSET(TH!D$1,SMALL(Dong3,ROWS($1:11)),))</f>
        <v>VL/N01</v>
      </c>
      <c r="B23" s="255">
        <f ca="1">IF(ROWS($1:11)&gt;COUNT(Dong3),"",OFFSET(TH!E$1,SMALL(Dong3,ROWS($1:11)),))</f>
        <v>42374</v>
      </c>
      <c r="C23" s="265" t="str">
        <f ca="1">IF(ROWS($1:11)&gt;COUNT(Dong3),"",OFFSET(TH!F$1,SMALL(Dong3,ROWS($1:11)),))</f>
        <v>VAT Đường</v>
      </c>
      <c r="D23" s="267">
        <f ca="1">IF(ROWS($1:11)&gt;COUNT(Dong3),"",OFFSET(TH!M$1,SMALL(Dong3,ROWS($1:11)),))</f>
        <v>678571</v>
      </c>
      <c r="E23" s="256"/>
    </row>
    <row r="24" spans="1:5" ht="18" customHeight="1">
      <c r="A24" s="266" t="str">
        <f ca="1">IF(ROWS($1:12)&gt;COUNT(Dong3),"",OFFSET(TH!D$1,SMALL(Dong3,ROWS($1:12)),))</f>
        <v>VL/N02</v>
      </c>
      <c r="B24" s="255">
        <f ca="1">IF(ROWS($1:12)&gt;COUNT(Dong3),"",OFFSET(TH!E$1,SMALL(Dong3,ROWS($1:12)),))</f>
        <v>42374</v>
      </c>
      <c r="C24" s="265" t="str">
        <f ca="1">IF(ROWS($1:12)&gt;COUNT(Dong3),"",OFFSET(TH!F$1,SMALL(Dong3,ROWS($1:12)),))</f>
        <v>VAT Túi PE</v>
      </c>
      <c r="D24" s="267">
        <f ca="1">IF(ROWS($1:12)&gt;COUNT(Dong3),"",OFFSET(TH!M$1,SMALL(Dong3,ROWS($1:12)),))</f>
        <v>3300000</v>
      </c>
      <c r="E24" s="256"/>
    </row>
    <row r="25" spans="1:5" ht="18" customHeight="1">
      <c r="A25" s="266" t="str">
        <f ca="1">IF(ROWS($1:13)&gt;COUNT(Dong3),"",OFFSET(TH!D$1,SMALL(Dong3,ROWS($1:13)),))</f>
        <v>VL/N03</v>
      </c>
      <c r="B25" s="255">
        <f ca="1">IF(ROWS($1:13)&gt;COUNT(Dong3),"",OFFSET(TH!E$1,SMALL(Dong3,ROWS($1:13)),))</f>
        <v>42375</v>
      </c>
      <c r="C25" s="265" t="str">
        <f ca="1">IF(ROWS($1:13)&gt;COUNT(Dong3),"",OFFSET(TH!F$1,SMALL(Dong3,ROWS($1:13)),))</f>
        <v>VAT Sorbitol</v>
      </c>
      <c r="D25" s="267">
        <f ca="1">IF(ROWS($1:13)&gt;COUNT(Dong3),"",OFFSET(TH!M$1,SMALL(Dong3,ROWS($1:13)),))</f>
        <v>7776000</v>
      </c>
      <c r="E25" s="256"/>
    </row>
    <row r="26" spans="1:5" ht="18" customHeight="1">
      <c r="A26" s="266" t="str">
        <f ca="1">IF(ROWS($1:14)&gt;COUNT(Dong3),"",OFFSET(TH!D$1,SMALL(Dong3,ROWS($1:14)),))</f>
        <v>VL/N04</v>
      </c>
      <c r="B26" s="255">
        <f ca="1">IF(ROWS($1:14)&gt;COUNT(Dong3),"",OFFSET(TH!E$1,SMALL(Dong3,ROWS($1:14)),))</f>
        <v>42383</v>
      </c>
      <c r="C26" s="265" t="str">
        <f ca="1">IF(ROWS($1:14)&gt;COUNT(Dong3),"",OFFSET(TH!F$1,SMALL(Dong3,ROWS($1:14)),))</f>
        <v>VAT Thùng carton</v>
      </c>
      <c r="D26" s="267">
        <f ca="1">IF(ROWS($1:14)&gt;COUNT(Dong3),"",OFFSET(TH!M$1,SMALL(Dong3,ROWS($1:14)),))</f>
        <v>3437100</v>
      </c>
      <c r="E26" s="256"/>
    </row>
    <row r="27" spans="1:5" ht="18" customHeight="1">
      <c r="A27" s="266" t="str">
        <f ca="1">IF(ROWS($1:15)&gt;COUNT(Dong3),"",OFFSET(TH!D$1,SMALL(Dong3,ROWS($1:15)),))</f>
        <v>VL/N05</v>
      </c>
      <c r="B27" s="255">
        <f ca="1">IF(ROWS($1:15)&gt;COUNT(Dong3),"",OFFSET(TH!E$1,SMALL(Dong3,ROWS($1:15)),))</f>
        <v>42387</v>
      </c>
      <c r="C27" s="265" t="str">
        <f ca="1">IF(ROWS($1:15)&gt;COUNT(Dong3),"",OFFSET(TH!F$1,SMALL(Dong3,ROWS($1:15)),))</f>
        <v>VAT Đường</v>
      </c>
      <c r="D27" s="267">
        <f ca="1">IF(ROWS($1:15)&gt;COUNT(Dong3),"",OFFSET(TH!M$1,SMALL(Dong3,ROWS($1:15)),))</f>
        <v>726190</v>
      </c>
      <c r="E27" s="256"/>
    </row>
    <row r="28" spans="1:5" ht="18" customHeight="1">
      <c r="A28" s="266" t="str">
        <f ca="1">IF(ROWS($1:16)&gt;COUNT(Dong3),"",OFFSET(TH!D$1,SMALL(Dong3,ROWS($1:16)),))</f>
        <v>VL/N06</v>
      </c>
      <c r="B28" s="255">
        <f ca="1">IF(ROWS($1:16)&gt;COUNT(Dong3),"",OFFSET(TH!E$1,SMALL(Dong3,ROWS($1:16)),))</f>
        <v>42391</v>
      </c>
      <c r="C28" s="265" t="str">
        <f ca="1">IF(ROWS($1:16)&gt;COUNT(Dong3),"",OFFSET(TH!F$1,SMALL(Dong3,ROWS($1:16)),))</f>
        <v>VAT Hộp ghẹ</v>
      </c>
      <c r="D28" s="267">
        <f ca="1">IF(ROWS($1:16)&gt;COUNT(Dong3),"",OFFSET(TH!M$1,SMALL(Dong3,ROWS($1:16)),))</f>
        <v>3500000</v>
      </c>
      <c r="E28" s="256"/>
    </row>
    <row r="29" spans="1:5" ht="18" customHeight="1">
      <c r="A29" s="266" t="str">
        <f ca="1">IF(ROWS($1:17)&gt;COUNT(Dong3),"",OFFSET(TH!D$1,SMALL(Dong3,ROWS($1:17)),))</f>
        <v>C01</v>
      </c>
      <c r="B29" s="255">
        <f ca="1">IF(ROWS($1:17)&gt;COUNT(Dong3),"",OFFSET(TH!E$1,SMALL(Dong3,ROWS($1:17)),))</f>
        <v>42368</v>
      </c>
      <c r="C29" s="265" t="str">
        <f ca="1">IF(ROWS($1:17)&gt;COUNT(Dong3),"",OFFSET(TH!F$1,SMALL(Dong3,ROWS($1:17)),))</f>
        <v>VAT Phí cấp cont, hạ bãi</v>
      </c>
      <c r="D29" s="267">
        <f ca="1">IF(ROWS($1:17)&gt;COUNT(Dong3),"",OFFSET(TH!M$1,SMALL(Dong3,ROWS($1:17)),))</f>
        <v>440003</v>
      </c>
      <c r="E29" s="256"/>
    </row>
    <row r="30" spans="1:5" ht="18" customHeight="1">
      <c r="A30" s="266" t="str">
        <f ca="1">IF(ROWS($1:18)&gt;COUNT(Dong3),"",OFFSET(TH!D$1,SMALL(Dong3,ROWS($1:18)),))</f>
        <v>C02</v>
      </c>
      <c r="B30" s="255">
        <f ca="1">IF(ROWS($1:18)&gt;COUNT(Dong3),"",OFFSET(TH!E$1,SMALL(Dong3,ROWS($1:18)),))</f>
        <v>42369</v>
      </c>
      <c r="C30" s="265" t="str">
        <f ca="1">IF(ROWS($1:18)&gt;COUNT(Dong3),"",OFFSET(TH!F$1,SMALL(Dong3,ROWS($1:18)),))</f>
        <v xml:space="preserve">VAT Cước CPN </v>
      </c>
      <c r="D30" s="267">
        <f ca="1">IF(ROWS($1:18)&gt;COUNT(Dong3),"",OFFSET(TH!M$1,SMALL(Dong3,ROWS($1:18)),))</f>
        <v>4715</v>
      </c>
      <c r="E30" s="256"/>
    </row>
    <row r="31" spans="1:5" ht="18" customHeight="1">
      <c r="A31" s="266" t="str">
        <f ca="1">IF(ROWS($1:19)&gt;COUNT(Dong3),"",OFFSET(TH!D$1,SMALL(Dong3,ROWS($1:19)),))</f>
        <v>C03</v>
      </c>
      <c r="B31" s="255">
        <f ca="1">IF(ROWS($1:19)&gt;COUNT(Dong3),"",OFFSET(TH!E$1,SMALL(Dong3,ROWS($1:19)),))</f>
        <v>42367</v>
      </c>
      <c r="C31" s="265" t="str">
        <f ca="1">IF(ROWS($1:19)&gt;COUNT(Dong3),"",OFFSET(TH!F$1,SMALL(Dong3,ROWS($1:19)),))</f>
        <v>VAT Phí cấp cont, hạ bãi</v>
      </c>
      <c r="D31" s="267">
        <f ca="1">IF(ROWS($1:19)&gt;COUNT(Dong3),"",OFFSET(TH!M$1,SMALL(Dong3,ROWS($1:19)),))</f>
        <v>209090</v>
      </c>
      <c r="E31" s="256"/>
    </row>
    <row r="32" spans="1:5" ht="18" customHeight="1">
      <c r="A32" s="266" t="str">
        <f ca="1">IF(ROWS($1:20)&gt;COUNT(Dong3),"",OFFSET(TH!D$1,SMALL(Dong3,ROWS($1:20)),))</f>
        <v>C04</v>
      </c>
      <c r="B32" s="255">
        <f ca="1">IF(ROWS($1:20)&gt;COUNT(Dong3),"",OFFSET(TH!E$1,SMALL(Dong3,ROWS($1:20)),))</f>
        <v>42367</v>
      </c>
      <c r="C32" s="265" t="str">
        <f ca="1">IF(ROWS($1:20)&gt;COUNT(Dong3),"",OFFSET(TH!F$1,SMALL(Dong3,ROWS($1:20)),))</f>
        <v>VAT Cước vận chuyển</v>
      </c>
      <c r="D32" s="267">
        <f ca="1">IF(ROWS($1:20)&gt;COUNT(Dong3),"",OFFSET(TH!M$1,SMALL(Dong3,ROWS($1:20)),))</f>
        <v>1200000</v>
      </c>
      <c r="E32" s="256"/>
    </row>
    <row r="33" spans="1:5" ht="18" customHeight="1">
      <c r="A33" s="266" t="str">
        <f ca="1">IF(ROWS($1:21)&gt;COUNT(Dong3),"",OFFSET(TH!D$1,SMALL(Dong3,ROWS($1:21)),))</f>
        <v>C05</v>
      </c>
      <c r="B33" s="255">
        <f ca="1">IF(ROWS($1:21)&gt;COUNT(Dong3),"",OFFSET(TH!E$1,SMALL(Dong3,ROWS($1:21)),))</f>
        <v>42370</v>
      </c>
      <c r="C33" s="265" t="str">
        <f ca="1">IF(ROWS($1:21)&gt;COUNT(Dong3),"",OFFSET(TH!F$1,SMALL(Dong3,ROWS($1:21)),))</f>
        <v>VAT Dầu DO</v>
      </c>
      <c r="D33" s="267">
        <f ca="1">IF(ROWS($1:21)&gt;COUNT(Dong3),"",OFFSET(TH!M$1,SMALL(Dong3,ROWS($1:21)),))</f>
        <v>62078</v>
      </c>
      <c r="E33" s="256"/>
    </row>
    <row r="34" spans="1:5" ht="18" customHeight="1">
      <c r="A34" s="266" t="str">
        <f ca="1">IF(ROWS($1:22)&gt;COUNT(Dong3),"",OFFSET(TH!D$1,SMALL(Dong3,ROWS($1:22)),))</f>
        <v>C07</v>
      </c>
      <c r="B34" s="255">
        <f ca="1">IF(ROWS($1:22)&gt;COUNT(Dong3),"",OFFSET(TH!E$1,SMALL(Dong3,ROWS($1:22)),))</f>
        <v>42373</v>
      </c>
      <c r="C34" s="265" t="str">
        <f ca="1">IF(ROWS($1:22)&gt;COUNT(Dong3),"",OFFSET(TH!F$1,SMALL(Dong3,ROWS($1:22)),))</f>
        <v>VAT Xi măng Fico</v>
      </c>
      <c r="D34" s="267">
        <f ca="1">IF(ROWS($1:22)&gt;COUNT(Dong3),"",OFFSET(TH!M$1,SMALL(Dong3,ROWS($1:22)),))</f>
        <v>1665000</v>
      </c>
      <c r="E34" s="256"/>
    </row>
    <row r="35" spans="1:5" ht="18" customHeight="1">
      <c r="A35" s="266" t="str">
        <f ca="1">IF(ROWS($1:23)&gt;COUNT(Dong3),"",OFFSET(TH!D$1,SMALL(Dong3,ROWS($1:23)),))</f>
        <v>C08</v>
      </c>
      <c r="B35" s="255">
        <f ca="1">IF(ROWS($1:23)&gt;COUNT(Dong3),"",OFFSET(TH!E$1,SMALL(Dong3,ROWS($1:23)),))</f>
        <v>42336</v>
      </c>
      <c r="C35" s="265" t="str">
        <f ca="1">IF(ROWS($1:23)&gt;COUNT(Dong3),"",OFFSET(TH!F$1,SMALL(Dong3,ROWS($1:23)),))</f>
        <v>VAT Cước vận chuyển</v>
      </c>
      <c r="D35" s="267">
        <f ca="1">IF(ROWS($1:23)&gt;COUNT(Dong3),"",OFFSET(TH!M$1,SMALL(Dong3,ROWS($1:23)),))</f>
        <v>1200000</v>
      </c>
      <c r="E35" s="256"/>
    </row>
    <row r="36" spans="1:5" ht="18" customHeight="1">
      <c r="A36" s="266" t="str">
        <f ca="1">IF(ROWS($1:24)&gt;COUNT(Dong3),"",OFFSET(TH!D$1,SMALL(Dong3,ROWS($1:24)),))</f>
        <v>C09</v>
      </c>
      <c r="B36" s="255">
        <f ca="1">IF(ROWS($1:24)&gt;COUNT(Dong3),"",OFFSET(TH!E$1,SMALL(Dong3,ROWS($1:24)),))</f>
        <v>42373</v>
      </c>
      <c r="C36" s="265" t="str">
        <f ca="1">IF(ROWS($1:24)&gt;COUNT(Dong3),"",OFFSET(TH!F$1,SMALL(Dong3,ROWS($1:24)),))</f>
        <v>VAT Xăng</v>
      </c>
      <c r="D36" s="267">
        <f ca="1">IF(ROWS($1:24)&gt;COUNT(Dong3),"",OFFSET(TH!M$1,SMALL(Dong3,ROWS($1:24)),))</f>
        <v>68400</v>
      </c>
      <c r="E36" s="256"/>
    </row>
    <row r="37" spans="1:5" ht="18" customHeight="1">
      <c r="A37" s="266" t="str">
        <f ca="1">IF(ROWS($1:25)&gt;COUNT(Dong3),"",OFFSET(TH!D$1,SMALL(Dong3,ROWS($1:25)),))</f>
        <v>C10</v>
      </c>
      <c r="B37" s="255">
        <f ca="1">IF(ROWS($1:25)&gt;COUNT(Dong3),"",OFFSET(TH!E$1,SMALL(Dong3,ROWS($1:25)),))</f>
        <v>42373</v>
      </c>
      <c r="C37" s="265" t="str">
        <f ca="1">IF(ROWS($1:25)&gt;COUNT(Dong3),"",OFFSET(TH!F$1,SMALL(Dong3,ROWS($1:25)),))</f>
        <v>VAT Xăng</v>
      </c>
      <c r="D37" s="267">
        <f ca="1">IF(ROWS($1:25)&gt;COUNT(Dong3),"",OFFSET(TH!M$1,SMALL(Dong3,ROWS($1:25)),))</f>
        <v>2982</v>
      </c>
      <c r="E37" s="256"/>
    </row>
    <row r="38" spans="1:5" ht="18" customHeight="1">
      <c r="A38" s="266" t="str">
        <f ca="1">IF(ROWS($1:26)&gt;COUNT(Dong3),"",OFFSET(TH!D$1,SMALL(Dong3,ROWS($1:26)),))</f>
        <v>C11</v>
      </c>
      <c r="B38" s="255">
        <f ca="1">IF(ROWS($1:26)&gt;COUNT(Dong3),"",OFFSET(TH!E$1,SMALL(Dong3,ROWS($1:26)),))</f>
        <v>42374</v>
      </c>
      <c r="C38" s="265" t="str">
        <f ca="1">IF(ROWS($1:26)&gt;COUNT(Dong3),"",OFFSET(TH!F$1,SMALL(Dong3,ROWS($1:26)),))</f>
        <v>VAT Gạch ống, cát vàng</v>
      </c>
      <c r="D38" s="267">
        <f ca="1">IF(ROWS($1:26)&gt;COUNT(Dong3),"",OFFSET(TH!M$1,SMALL(Dong3,ROWS($1:26)),))</f>
        <v>1689000</v>
      </c>
      <c r="E38" s="256"/>
    </row>
    <row r="39" spans="1:5" ht="18" customHeight="1">
      <c r="A39" s="266" t="str">
        <f ca="1">IF(ROWS($1:27)&gt;COUNT(Dong3),"",OFFSET(TH!D$1,SMALL(Dong3,ROWS($1:27)),))</f>
        <v>C12</v>
      </c>
      <c r="B39" s="255">
        <f ca="1">IF(ROWS($1:27)&gt;COUNT(Dong3),"",OFFSET(TH!E$1,SMALL(Dong3,ROWS($1:27)),))</f>
        <v>42350</v>
      </c>
      <c r="C39" s="265" t="str">
        <f ca="1">IF(ROWS($1:27)&gt;COUNT(Dong3),"",OFFSET(TH!F$1,SMALL(Dong3,ROWS($1:27)),))</f>
        <v>VAT Cước vận chuyển</v>
      </c>
      <c r="D39" s="267">
        <f ca="1">IF(ROWS($1:27)&gt;COUNT(Dong3),"",OFFSET(TH!M$1,SMALL(Dong3,ROWS($1:27)),))</f>
        <v>1200000</v>
      </c>
      <c r="E39" s="256"/>
    </row>
    <row r="40" spans="1:5" ht="18" customHeight="1">
      <c r="A40" s="266" t="str">
        <f ca="1">IF(ROWS($1:28)&gt;COUNT(Dong3),"",OFFSET(TH!D$1,SMALL(Dong3,ROWS($1:28)),))</f>
        <v>C13</v>
      </c>
      <c r="B40" s="255">
        <f ca="1">IF(ROWS($1:28)&gt;COUNT(Dong3),"",OFFSET(TH!E$1,SMALL(Dong3,ROWS($1:28)),))</f>
        <v>42374</v>
      </c>
      <c r="C40" s="265" t="str">
        <f ca="1">IF(ROWS($1:28)&gt;COUNT(Dong3),"",OFFSET(TH!F$1,SMALL(Dong3,ROWS($1:28)),))</f>
        <v>VAT Xăng</v>
      </c>
      <c r="D40" s="267">
        <f ca="1">IF(ROWS($1:28)&gt;COUNT(Dong3),"",OFFSET(TH!M$1,SMALL(Dong3,ROWS($1:28)),))</f>
        <v>67670</v>
      </c>
      <c r="E40" s="256"/>
    </row>
    <row r="41" spans="1:5" ht="18" customHeight="1">
      <c r="A41" s="266" t="str">
        <f ca="1">IF(ROWS($1:29)&gt;COUNT(Dong3),"",OFFSET(TH!D$1,SMALL(Dong3,ROWS($1:29)),))</f>
        <v>C16</v>
      </c>
      <c r="B41" s="255">
        <f ca="1">IF(ROWS($1:29)&gt;COUNT(Dong3),"",OFFSET(TH!E$1,SMALL(Dong3,ROWS($1:29)),))</f>
        <v>42376</v>
      </c>
      <c r="C41" s="265" t="str">
        <f ca="1">IF(ROWS($1:29)&gt;COUNT(Dong3),"",OFFSET(TH!F$1,SMALL(Dong3,ROWS($1:29)),))</f>
        <v>VAT Bảo dưỡng xe 51F - 080.56</v>
      </c>
      <c r="D41" s="267">
        <f ca="1">IF(ROWS($1:29)&gt;COUNT(Dong3),"",OFFSET(TH!M$1,SMALL(Dong3,ROWS($1:29)),))</f>
        <v>134106</v>
      </c>
      <c r="E41" s="256"/>
    </row>
    <row r="42" spans="1:5" ht="18" customHeight="1">
      <c r="A42" s="266" t="str">
        <f ca="1">IF(ROWS($1:30)&gt;COUNT(Dong3),"",OFFSET(TH!D$1,SMALL(Dong3,ROWS($1:30)),))</f>
        <v>C17</v>
      </c>
      <c r="B42" s="255">
        <f ca="1">IF(ROWS($1:30)&gt;COUNT(Dong3),"",OFFSET(TH!E$1,SMALL(Dong3,ROWS($1:30)),))</f>
        <v>42377</v>
      </c>
      <c r="C42" s="265" t="str">
        <f ca="1">IF(ROWS($1:30)&gt;COUNT(Dong3),"",OFFSET(TH!F$1,SMALL(Dong3,ROWS($1:30)),))</f>
        <v>VAT Máy tính</v>
      </c>
      <c r="D42" s="267">
        <f ca="1">IF(ROWS($1:30)&gt;COUNT(Dong3),"",OFFSET(TH!M$1,SMALL(Dong3,ROWS($1:30)),))</f>
        <v>536364</v>
      </c>
      <c r="E42" s="256"/>
    </row>
    <row r="43" spans="1:5" ht="18" customHeight="1">
      <c r="A43" s="266" t="str">
        <f ca="1">IF(ROWS($1:31)&gt;COUNT(Dong3),"",OFFSET(TH!D$1,SMALL(Dong3,ROWS($1:31)),))</f>
        <v>C18</v>
      </c>
      <c r="B43" s="255">
        <f ca="1">IF(ROWS($1:31)&gt;COUNT(Dong3),"",OFFSET(TH!E$1,SMALL(Dong3,ROWS($1:31)),))</f>
        <v>42377</v>
      </c>
      <c r="C43" s="265" t="str">
        <f ca="1">IF(ROWS($1:31)&gt;COUNT(Dong3),"",OFFSET(TH!F$1,SMALL(Dong3,ROWS($1:31)),))</f>
        <v xml:space="preserve">VAT Xăng </v>
      </c>
      <c r="D43" s="267">
        <f ca="1">IF(ROWS($1:31)&gt;COUNT(Dong3),"",OFFSET(TH!M$1,SMALL(Dong3,ROWS($1:31)),))</f>
        <v>85171</v>
      </c>
      <c r="E43" s="256"/>
    </row>
    <row r="44" spans="1:5" ht="18" customHeight="1">
      <c r="A44" s="266" t="str">
        <f ca="1">IF(ROWS($1:32)&gt;COUNT(Dong3),"",OFFSET(TH!D$1,SMALL(Dong3,ROWS($1:32)),))</f>
        <v>GBN</v>
      </c>
      <c r="B44" s="255">
        <f ca="1">IF(ROWS($1:32)&gt;COUNT(Dong3),"",OFFSET(TH!E$1,SMALL(Dong3,ROWS($1:32)),))</f>
        <v>42380</v>
      </c>
      <c r="C44" s="265" t="str">
        <f ca="1">IF(ROWS($1:32)&gt;COUNT(Dong3),"",OFFSET(TH!F$1,SMALL(Dong3,ROWS($1:32)),))</f>
        <v>Q11 - VAT Phí thông báo LC</v>
      </c>
      <c r="D44" s="267">
        <f ca="1">IF(ROWS($1:32)&gt;COUNT(Dong3),"",OFFSET(TH!M$1,SMALL(Dong3,ROWS($1:32)),))</f>
        <v>33660</v>
      </c>
      <c r="E44" s="256"/>
    </row>
    <row r="45" spans="1:5" ht="18" customHeight="1">
      <c r="A45" s="266" t="str">
        <f ca="1">IF(ROWS($1:33)&gt;COUNT(Dong3),"",OFFSET(TH!D$1,SMALL(Dong3,ROWS($1:33)),))</f>
        <v>C19</v>
      </c>
      <c r="B45" s="255">
        <f ca="1">IF(ROWS($1:33)&gt;COUNT(Dong3),"",OFFSET(TH!E$1,SMALL(Dong3,ROWS($1:33)),))</f>
        <v>42380</v>
      </c>
      <c r="C45" s="265" t="str">
        <f ca="1">IF(ROWS($1:33)&gt;COUNT(Dong3),"",OFFSET(TH!F$1,SMALL(Dong3,ROWS($1:33)),))</f>
        <v>VAT Dầu DO</v>
      </c>
      <c r="D45" s="267">
        <f ca="1">IF(ROWS($1:33)&gt;COUNT(Dong3),"",OFFSET(TH!M$1,SMALL(Dong3,ROWS($1:33)),))</f>
        <v>59590</v>
      </c>
      <c r="E45" s="256"/>
    </row>
    <row r="46" spans="1:5" ht="18" customHeight="1">
      <c r="A46" s="266" t="str">
        <f ca="1">IF(ROWS($1:34)&gt;COUNT(Dong3),"",OFFSET(TH!D$1,SMALL(Dong3,ROWS($1:34)),))</f>
        <v>C20</v>
      </c>
      <c r="B46" s="255">
        <f ca="1">IF(ROWS($1:34)&gt;COUNT(Dong3),"",OFFSET(TH!E$1,SMALL(Dong3,ROWS($1:34)),))</f>
        <v>42381</v>
      </c>
      <c r="C46" s="265" t="str">
        <f ca="1">IF(ROWS($1:34)&gt;COUNT(Dong3),"",OFFSET(TH!F$1,SMALL(Dong3,ROWS($1:34)),))</f>
        <v>VAT Xăng</v>
      </c>
      <c r="D46" s="267">
        <f ca="1">IF(ROWS($1:34)&gt;COUNT(Dong3),"",OFFSET(TH!M$1,SMALL(Dong3,ROWS($1:34)),))</f>
        <v>79087</v>
      </c>
      <c r="E46" s="256"/>
    </row>
    <row r="47" spans="1:5" ht="18" customHeight="1">
      <c r="A47" s="266" t="str">
        <f ca="1">IF(ROWS($1:35)&gt;COUNT(Dong3),"",OFFSET(TH!D$1,SMALL(Dong3,ROWS($1:35)),))</f>
        <v>C21</v>
      </c>
      <c r="B47" s="255">
        <f ca="1">IF(ROWS($1:35)&gt;COUNT(Dong3),"",OFFSET(TH!E$1,SMALL(Dong3,ROWS($1:35)),))</f>
        <v>42381</v>
      </c>
      <c r="C47" s="265" t="str">
        <f ca="1">IF(ROWS($1:35)&gt;COUNT(Dong3),"",OFFSET(TH!F$1,SMALL(Dong3,ROWS($1:35)),))</f>
        <v>VAT Tư vấn giám sát môi trường</v>
      </c>
      <c r="D47" s="267">
        <f ca="1">IF(ROWS($1:35)&gt;COUNT(Dong3),"",OFFSET(TH!M$1,SMALL(Dong3,ROWS($1:35)),))</f>
        <v>332500</v>
      </c>
      <c r="E47" s="256"/>
    </row>
    <row r="48" spans="1:5" ht="18" customHeight="1">
      <c r="A48" s="266" t="str">
        <f ca="1">IF(ROWS($1:36)&gt;COUNT(Dong3),"",OFFSET(TH!D$1,SMALL(Dong3,ROWS($1:36)),))</f>
        <v>GBN</v>
      </c>
      <c r="B48" s="255">
        <f ca="1">IF(ROWS($1:36)&gt;COUNT(Dong3),"",OFFSET(TH!E$1,SMALL(Dong3,ROWS($1:36)),))</f>
        <v>42383</v>
      </c>
      <c r="C48" s="265" t="str">
        <f ca="1">IF(ROWS($1:36)&gt;COUNT(Dong3),"",OFFSET(TH!F$1,SMALL(Dong3,ROWS($1:36)),))</f>
        <v>Q11 - VAT Phí chuyển tiền</v>
      </c>
      <c r="D48" s="267">
        <f ca="1">IF(ROWS($1:36)&gt;COUNT(Dong3),"",OFFSET(TH!M$1,SMALL(Dong3,ROWS($1:36)),))</f>
        <v>2000</v>
      </c>
      <c r="E48" s="256"/>
    </row>
    <row r="49" spans="1:5" ht="18" customHeight="1">
      <c r="A49" s="266" t="str">
        <f ca="1">IF(ROWS($1:37)&gt;COUNT(Dong3),"",OFFSET(TH!D$1,SMALL(Dong3,ROWS($1:37)),))</f>
        <v>C22</v>
      </c>
      <c r="B49" s="255">
        <f ca="1">IF(ROWS($1:37)&gt;COUNT(Dong3),"",OFFSET(TH!E$1,SMALL(Dong3,ROWS($1:37)),))</f>
        <v>42383</v>
      </c>
      <c r="C49" s="265" t="str">
        <f ca="1">IF(ROWS($1:37)&gt;COUNT(Dong3),"",OFFSET(TH!F$1,SMALL(Dong3,ROWS($1:37)),))</f>
        <v>VAT Bảo dưỡng xe 51F - 080.56</v>
      </c>
      <c r="D49" s="267">
        <f ca="1">IF(ROWS($1:37)&gt;COUNT(Dong3),"",OFFSET(TH!M$1,SMALL(Dong3,ROWS($1:37)),))</f>
        <v>1666290</v>
      </c>
      <c r="E49" s="256"/>
    </row>
    <row r="50" spans="1:5" ht="18" customHeight="1">
      <c r="A50" s="266" t="str">
        <f ca="1">IF(ROWS($1:38)&gt;COUNT(Dong3),"",OFFSET(TH!D$1,SMALL(Dong3,ROWS($1:38)),))</f>
        <v>C23</v>
      </c>
      <c r="B50" s="255">
        <f ca="1">IF(ROWS($1:38)&gt;COUNT(Dong3),"",OFFSET(TH!E$1,SMALL(Dong3,ROWS($1:38)),))</f>
        <v>42384</v>
      </c>
      <c r="C50" s="265" t="str">
        <f ca="1">IF(ROWS($1:38)&gt;COUNT(Dong3),"",OFFSET(TH!F$1,SMALL(Dong3,ROWS($1:38)),))</f>
        <v>VAT Xăng</v>
      </c>
      <c r="D50" s="267">
        <f ca="1">IF(ROWS($1:38)&gt;COUNT(Dong3),"",OFFSET(TH!M$1,SMALL(Dong3,ROWS($1:38)),))</f>
        <v>30603</v>
      </c>
      <c r="E50" s="256"/>
    </row>
    <row r="51" spans="1:5" ht="18" customHeight="1">
      <c r="A51" s="266" t="str">
        <f ca="1">IF(ROWS($1:39)&gt;COUNT(Dong3),"",OFFSET(TH!D$1,SMALL(Dong3,ROWS($1:39)),))</f>
        <v>C24</v>
      </c>
      <c r="B51" s="255">
        <f ca="1">IF(ROWS($1:39)&gt;COUNT(Dong3),"",OFFSET(TH!E$1,SMALL(Dong3,ROWS($1:39)),))</f>
        <v>42384</v>
      </c>
      <c r="C51" s="265" t="str">
        <f ca="1">IF(ROWS($1:39)&gt;COUNT(Dong3),"",OFFSET(TH!F$1,SMALL(Dong3,ROWS($1:39)),))</f>
        <v>VAT Xăng</v>
      </c>
      <c r="D51" s="267">
        <f ca="1">IF(ROWS($1:39)&gt;COUNT(Dong3),"",OFFSET(TH!M$1,SMALL(Dong3,ROWS($1:39)),))</f>
        <v>59315</v>
      </c>
      <c r="E51" s="256"/>
    </row>
    <row r="52" spans="1:5" ht="18" customHeight="1">
      <c r="A52" s="266" t="str">
        <f ca="1">IF(ROWS($1:40)&gt;COUNT(Dong3),"",OFFSET(TH!D$1,SMALL(Dong3,ROWS($1:40)),))</f>
        <v>C25</v>
      </c>
      <c r="B52" s="255">
        <f ca="1">IF(ROWS($1:40)&gt;COUNT(Dong3),"",OFFSET(TH!E$1,SMALL(Dong3,ROWS($1:40)),))</f>
        <v>42384</v>
      </c>
      <c r="C52" s="265" t="str">
        <f ca="1">IF(ROWS($1:40)&gt;COUNT(Dong3),"",OFFSET(TH!F$1,SMALL(Dong3,ROWS($1:40)),))</f>
        <v>VAT Phí phân tích cá khô</v>
      </c>
      <c r="D52" s="267">
        <f ca="1">IF(ROWS($1:40)&gt;COUNT(Dong3),"",OFFSET(TH!M$1,SMALL(Dong3,ROWS($1:40)),))</f>
        <v>20000</v>
      </c>
      <c r="E52" s="256"/>
    </row>
    <row r="53" spans="1:5" ht="18" customHeight="1">
      <c r="A53" s="266" t="str">
        <f ca="1">IF(ROWS($1:41)&gt;COUNT(Dong3),"",OFFSET(TH!D$1,SMALL(Dong3,ROWS($1:41)),))</f>
        <v>C26</v>
      </c>
      <c r="B53" s="255">
        <f ca="1">IF(ROWS($1:41)&gt;COUNT(Dong3),"",OFFSET(TH!E$1,SMALL(Dong3,ROWS($1:41)),))</f>
        <v>42384</v>
      </c>
      <c r="C53" s="265" t="str">
        <f ca="1">IF(ROWS($1:41)&gt;COUNT(Dong3),"",OFFSET(TH!F$1,SMALL(Dong3,ROWS($1:41)),))</f>
        <v>VAT Bảo dưỡng xe 51F - 080.56</v>
      </c>
      <c r="D53" s="267">
        <f ca="1">IF(ROWS($1:41)&gt;COUNT(Dong3),"",OFFSET(TH!M$1,SMALL(Dong3,ROWS($1:41)),))</f>
        <v>1743580</v>
      </c>
      <c r="E53" s="256"/>
    </row>
    <row r="54" spans="1:5" ht="18" customHeight="1">
      <c r="A54" s="266" t="str">
        <f ca="1">IF(ROWS($1:42)&gt;COUNT(Dong3),"",OFFSET(TH!D$1,SMALL(Dong3,ROWS($1:42)),))</f>
        <v>C27</v>
      </c>
      <c r="B54" s="255">
        <f ca="1">IF(ROWS($1:42)&gt;COUNT(Dong3),"",OFFSET(TH!E$1,SMALL(Dong3,ROWS($1:42)),))</f>
        <v>42387</v>
      </c>
      <c r="C54" s="265" t="str">
        <f ca="1">IF(ROWS($1:42)&gt;COUNT(Dong3),"",OFFSET(TH!F$1,SMALL(Dong3,ROWS($1:42)),))</f>
        <v>VAT Dầu DO, Xăng</v>
      </c>
      <c r="D54" s="267">
        <f ca="1">IF(ROWS($1:42)&gt;COUNT(Dong3),"",OFFSET(TH!M$1,SMALL(Dong3,ROWS($1:42)),))</f>
        <v>134614</v>
      </c>
      <c r="E54" s="256"/>
    </row>
    <row r="55" spans="1:5" ht="18" customHeight="1">
      <c r="A55" s="266" t="str">
        <f ca="1">IF(ROWS($1:43)&gt;COUNT(Dong3),"",OFFSET(TH!D$1,SMALL(Dong3,ROWS($1:43)),))</f>
        <v>C29</v>
      </c>
      <c r="B55" s="255">
        <f ca="1">IF(ROWS($1:43)&gt;COUNT(Dong3),"",OFFSET(TH!E$1,SMALL(Dong3,ROWS($1:43)),))</f>
        <v>42388</v>
      </c>
      <c r="C55" s="265" t="str">
        <f ca="1">IF(ROWS($1:43)&gt;COUNT(Dong3),"",OFFSET(TH!F$1,SMALL(Dong3,ROWS($1:43)),))</f>
        <v>VAT Xăng</v>
      </c>
      <c r="D55" s="267">
        <f ca="1">IF(ROWS($1:43)&gt;COUNT(Dong3),"",OFFSET(TH!M$1,SMALL(Dong3,ROWS($1:43)),))</f>
        <v>2915</v>
      </c>
      <c r="E55" s="256"/>
    </row>
    <row r="56" spans="1:5" ht="18" customHeight="1">
      <c r="A56" s="266" t="str">
        <f ca="1">IF(ROWS($1:44)&gt;COUNT(Dong3),"",OFFSET(TH!D$1,SMALL(Dong3,ROWS($1:44)),))</f>
        <v>C30</v>
      </c>
      <c r="B56" s="255">
        <f ca="1">IF(ROWS($1:44)&gt;COUNT(Dong3),"",OFFSET(TH!E$1,SMALL(Dong3,ROWS($1:44)),))</f>
        <v>42389</v>
      </c>
      <c r="C56" s="265" t="str">
        <f ca="1">IF(ROWS($1:44)&gt;COUNT(Dong3),"",OFFSET(TH!F$1,SMALL(Dong3,ROWS($1:44)),))</f>
        <v>VAT Xăng</v>
      </c>
      <c r="D56" s="267">
        <f ca="1">IF(ROWS($1:44)&gt;COUNT(Dong3),"",OFFSET(TH!M$1,SMALL(Dong3,ROWS($1:44)),))</f>
        <v>68962</v>
      </c>
      <c r="E56" s="256"/>
    </row>
    <row r="57" spans="1:5" ht="18" customHeight="1">
      <c r="A57" s="266" t="str">
        <f ca="1">IF(ROWS($1:45)&gt;COUNT(Dong3),"",OFFSET(TH!D$1,SMALL(Dong3,ROWS($1:45)),))</f>
        <v>C31</v>
      </c>
      <c r="B57" s="255">
        <f ca="1">IF(ROWS($1:45)&gt;COUNT(Dong3),"",OFFSET(TH!E$1,SMALL(Dong3,ROWS($1:45)),))</f>
        <v>42390</v>
      </c>
      <c r="C57" s="265" t="str">
        <f ca="1">IF(ROWS($1:45)&gt;COUNT(Dong3),"",OFFSET(TH!F$1,SMALL(Dong3,ROWS($1:45)),))</f>
        <v>VAT Dầu DO</v>
      </c>
      <c r="D57" s="267">
        <f ca="1">IF(ROWS($1:45)&gt;COUNT(Dong3),"",OFFSET(TH!M$1,SMALL(Dong3,ROWS($1:45)),))</f>
        <v>38018</v>
      </c>
      <c r="E57" s="256"/>
    </row>
    <row r="58" spans="1:5" ht="18" customHeight="1">
      <c r="A58" s="266" t="str">
        <f ca="1">IF(ROWS($1:46)&gt;COUNT(Dong3),"",OFFSET(TH!D$1,SMALL(Dong3,ROWS($1:46)),))</f>
        <v>C33</v>
      </c>
      <c r="B58" s="255">
        <f ca="1">IF(ROWS($1:46)&gt;COUNT(Dong3),"",OFFSET(TH!E$1,SMALL(Dong3,ROWS($1:46)),))</f>
        <v>42393</v>
      </c>
      <c r="C58" s="265" t="str">
        <f ca="1">IF(ROWS($1:46)&gt;COUNT(Dong3),"",OFFSET(TH!F$1,SMALL(Dong3,ROWS($1:46)),))</f>
        <v>VAT Dầu DO, Xăng</v>
      </c>
      <c r="D58" s="267">
        <f ca="1">IF(ROWS($1:46)&gt;COUNT(Dong3),"",OFFSET(TH!M$1,SMALL(Dong3,ROWS($1:46)),))</f>
        <v>113776</v>
      </c>
      <c r="E58" s="256"/>
    </row>
    <row r="59" spans="1:5" ht="18" customHeight="1">
      <c r="A59" s="266" t="str">
        <f ca="1">IF(ROWS($1:47)&gt;COUNT(Dong3),"",OFFSET(TH!D$1,SMALL(Dong3,ROWS($1:47)),))</f>
        <v>GBN</v>
      </c>
      <c r="B59" s="255">
        <f ca="1">IF(ROWS($1:47)&gt;COUNT(Dong3),"",OFFSET(TH!E$1,SMALL(Dong3,ROWS($1:47)),))</f>
        <v>42394</v>
      </c>
      <c r="C59" s="265" t="str">
        <f ca="1">IF(ROWS($1:47)&gt;COUNT(Dong3),"",OFFSET(TH!F$1,SMALL(Dong3,ROWS($1:47)),))</f>
        <v>Q11 - VAT Phí thông báo LC</v>
      </c>
      <c r="D59" s="267">
        <f ca="1">IF(ROWS($1:47)&gt;COUNT(Dong3),"",OFFSET(TH!M$1,SMALL(Dong3,ROWS($1:47)),))</f>
        <v>33555</v>
      </c>
      <c r="E59" s="256"/>
    </row>
    <row r="60" spans="1:5" ht="18" customHeight="1">
      <c r="A60" s="266" t="str">
        <f ca="1">IF(ROWS($1:48)&gt;COUNT(Dong3),"",OFFSET(TH!D$1,SMALL(Dong3,ROWS($1:48)),))</f>
        <v>C35</v>
      </c>
      <c r="B60" s="255">
        <f ca="1">IF(ROWS($1:48)&gt;COUNT(Dong3),"",OFFSET(TH!E$1,SMALL(Dong3,ROWS($1:48)),))</f>
        <v>42394</v>
      </c>
      <c r="C60" s="265" t="str">
        <f ca="1">IF(ROWS($1:48)&gt;COUNT(Dong3),"",OFFSET(TH!F$1,SMALL(Dong3,ROWS($1:48)),))</f>
        <v>VAT Phí dịch vụ bảo vệ T1/2016</v>
      </c>
      <c r="D60" s="267">
        <f ca="1">IF(ROWS($1:48)&gt;COUNT(Dong3),"",OFFSET(TH!M$1,SMALL(Dong3,ROWS($1:48)),))</f>
        <v>1500000</v>
      </c>
      <c r="E60" s="256"/>
    </row>
    <row r="61" spans="1:5" ht="18" customHeight="1">
      <c r="A61" s="266" t="str">
        <f ca="1">IF(ROWS($1:49)&gt;COUNT(Dong3),"",OFFSET(TH!D$1,SMALL(Dong3,ROWS($1:49)),))</f>
        <v>GBN</v>
      </c>
      <c r="B61" s="255">
        <f ca="1">IF(ROWS($1:49)&gt;COUNT(Dong3),"",OFFSET(TH!E$1,SMALL(Dong3,ROWS($1:49)),))</f>
        <v>42396</v>
      </c>
      <c r="C61" s="265" t="str">
        <f ca="1">IF(ROWS($1:49)&gt;COUNT(Dong3),"",OFFSET(TH!F$1,SMALL(Dong3,ROWS($1:49)),))</f>
        <v>Q11 - VAT Phí chuyển tiền</v>
      </c>
      <c r="D61" s="267">
        <f ca="1">IF(ROWS($1:49)&gt;COUNT(Dong3),"",OFFSET(TH!M$1,SMALL(Dong3,ROWS($1:49)),))</f>
        <v>2500</v>
      </c>
      <c r="E61" s="256"/>
    </row>
    <row r="62" spans="1:5" ht="18" customHeight="1">
      <c r="A62" s="266" t="str">
        <f ca="1">IF(ROWS($1:50)&gt;COUNT(Dong3),"",OFFSET(TH!D$1,SMALL(Dong3,ROWS($1:50)),))</f>
        <v>GBN</v>
      </c>
      <c r="B62" s="255">
        <f ca="1">IF(ROWS($1:50)&gt;COUNT(Dong3),"",OFFSET(TH!E$1,SMALL(Dong3,ROWS($1:50)),))</f>
        <v>42398</v>
      </c>
      <c r="C62" s="265" t="str">
        <f ca="1">IF(ROWS($1:50)&gt;COUNT(Dong3),"",OFFSET(TH!F$1,SMALL(Dong3,ROWS($1:50)),))</f>
        <v>Q4 - VAT Phí dịch vụ</v>
      </c>
      <c r="D62" s="267">
        <f ca="1">IF(ROWS($1:50)&gt;COUNT(Dong3),"",OFFSET(TH!M$1,SMALL(Dong3,ROWS($1:50)),))</f>
        <v>2000</v>
      </c>
      <c r="E62" s="256"/>
    </row>
    <row r="63" spans="1:5" ht="18" customHeight="1">
      <c r="A63" s="266" t="str">
        <f ca="1">IF(ROWS($1:51)&gt;COUNT(Dong3),"",OFFSET(TH!D$1,SMALL(Dong3,ROWS($1:51)),))</f>
        <v>C38</v>
      </c>
      <c r="B63" s="255">
        <f ca="1">IF(ROWS($1:51)&gt;COUNT(Dong3),"",OFFSET(TH!E$1,SMALL(Dong3,ROWS($1:51)),))</f>
        <v>42398</v>
      </c>
      <c r="C63" s="265" t="str">
        <f ca="1">IF(ROWS($1:51)&gt;COUNT(Dong3),"",OFFSET(TH!F$1,SMALL(Dong3,ROWS($1:51)),))</f>
        <v>VAT Xăng</v>
      </c>
      <c r="D63" s="267">
        <f ca="1">IF(ROWS($1:51)&gt;COUNT(Dong3),"",OFFSET(TH!M$1,SMALL(Dong3,ROWS($1:51)),))</f>
        <v>66027</v>
      </c>
      <c r="E63" s="256"/>
    </row>
    <row r="64" spans="1:5" ht="18" customHeight="1">
      <c r="A64" s="266" t="str">
        <f ca="1">IF(ROWS($1:52)&gt;COUNT(Dong3),"",OFFSET(TH!D$1,SMALL(Dong3,ROWS($1:52)),))</f>
        <v>GBN</v>
      </c>
      <c r="B64" s="255">
        <f ca="1">IF(ROWS($1:52)&gt;COUNT(Dong3),"",OFFSET(TH!E$1,SMALL(Dong3,ROWS($1:52)),))</f>
        <v>42399</v>
      </c>
      <c r="C64" s="265" t="str">
        <f ca="1">IF(ROWS($1:52)&gt;COUNT(Dong3),"",OFFSET(TH!F$1,SMALL(Dong3,ROWS($1:52)),))</f>
        <v>Q11 - VAT Phí chuyển tiền</v>
      </c>
      <c r="D64" s="267">
        <f ca="1">IF(ROWS($1:52)&gt;COUNT(Dong3),"",OFFSET(TH!M$1,SMALL(Dong3,ROWS($1:52)),))</f>
        <v>2849</v>
      </c>
      <c r="E64" s="256"/>
    </row>
    <row r="65" spans="1:5" ht="18" customHeight="1">
      <c r="A65" s="266" t="str">
        <f ca="1">IF(ROWS($1:53)&gt;COUNT(Dong3),"",OFFSET(TH!D$1,SMALL(Dong3,ROWS($1:53)),))</f>
        <v>GBN</v>
      </c>
      <c r="B65" s="255">
        <f ca="1">IF(ROWS($1:53)&gt;COUNT(Dong3),"",OFFSET(TH!E$1,SMALL(Dong3,ROWS($1:53)),))</f>
        <v>42399</v>
      </c>
      <c r="C65" s="265" t="str">
        <f ca="1">IF(ROWS($1:53)&gt;COUNT(Dong3),"",OFFSET(TH!F$1,SMALL(Dong3,ROWS($1:53)),))</f>
        <v>Q11 - VAT Phí chuyển tiền</v>
      </c>
      <c r="D65" s="267">
        <f ca="1">IF(ROWS($1:53)&gt;COUNT(Dong3),"",OFFSET(TH!M$1,SMALL(Dong3,ROWS($1:53)),))</f>
        <v>2000</v>
      </c>
      <c r="E65" s="256"/>
    </row>
    <row r="66" spans="1:5" ht="18" customHeight="1">
      <c r="A66" s="266"/>
      <c r="B66" s="255"/>
      <c r="C66" s="418"/>
      <c r="D66" s="419"/>
      <c r="E66" s="420"/>
    </row>
    <row r="67" spans="1:5" s="246" customFormat="1" ht="18" customHeight="1">
      <c r="A67" s="257"/>
      <c r="B67" s="258"/>
      <c r="C67" s="259" t="s">
        <v>186</v>
      </c>
      <c r="D67" s="260">
        <f ca="1">SUM(D13:D66)</f>
        <v>44886777</v>
      </c>
      <c r="E67" s="260">
        <f>SUM(E13:E65)</f>
        <v>0</v>
      </c>
    </row>
    <row r="68" spans="1:5" s="246" customFormat="1" ht="18" customHeight="1">
      <c r="A68" s="261"/>
      <c r="B68" s="262"/>
      <c r="C68" s="259" t="s">
        <v>187</v>
      </c>
      <c r="D68" s="260">
        <f ca="1">IF(D67+D11-E67&gt;0,D11+D67-E67,0)</f>
        <v>207307713</v>
      </c>
      <c r="E68" s="260"/>
    </row>
    <row r="70" spans="1:5">
      <c r="B70" s="263" t="s">
        <v>188</v>
      </c>
    </row>
    <row r="71" spans="1:5">
      <c r="B71" s="264" t="str">
        <f ca="1">IF(YEAR($B$13)&lt;&gt;2015,"- Ngày mở sổ: 01/01/2015","- Ngày mở sổ: "&amp;DAY($B$13)&amp;"/"&amp;MONTH($B$13)&amp;"/ 2015")</f>
        <v>- Ngày mở sổ: 01/01/2015</v>
      </c>
    </row>
    <row r="72" spans="1:5">
      <c r="D72" s="192" t="str">
        <f>"Trà Vinh, Ngày "&amp;IF(OR($J$9=3,$J$9=12),"31","30")&amp;" tháng "&amp;$J$9&amp;"  năm  2015 "</f>
        <v xml:space="preserve">Trà Vinh, Ngày 31 tháng 3  năm  2015 </v>
      </c>
    </row>
    <row r="73" spans="1:5" s="241" customFormat="1">
      <c r="A73" s="4"/>
      <c r="B73" s="241" t="s">
        <v>11</v>
      </c>
      <c r="D73" s="241" t="s">
        <v>12</v>
      </c>
    </row>
    <row r="74" spans="1:5" s="241" customFormat="1">
      <c r="A74" s="4"/>
      <c r="B74" s="241" t="s">
        <v>13</v>
      </c>
      <c r="D74" s="241" t="s">
        <v>13</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I21" sqref="I21"/>
    </sheetView>
  </sheetViews>
  <sheetFormatPr defaultColWidth="8" defaultRowHeight="13.5"/>
  <cols>
    <col min="1" max="1" width="2.7109375" style="1000" customWidth="1"/>
    <col min="2" max="2" width="34" style="1000" customWidth="1"/>
    <col min="3" max="3" width="10.5703125" style="268" customWidth="1"/>
    <col min="4" max="4" width="14" style="1001" customWidth="1"/>
    <col min="5" max="5" width="10.85546875" style="268" customWidth="1"/>
    <col min="6" max="6" width="14" style="1001" customWidth="1"/>
    <col min="7" max="7" width="12.7109375" style="268" customWidth="1"/>
    <col min="8" max="8" width="15.7109375" style="1001" customWidth="1"/>
    <col min="9" max="9" width="15.5703125" style="268" customWidth="1"/>
    <col min="10" max="10" width="14.7109375" style="1001" customWidth="1"/>
    <col min="11" max="11" width="11.140625" style="268" customWidth="1"/>
    <col min="12" max="12" width="12.5703125" style="1001" customWidth="1"/>
    <col min="13" max="13" width="14.5703125" style="268" customWidth="1"/>
    <col min="14" max="14" width="14.42578125" style="1001" customWidth="1"/>
    <col min="15" max="16384" width="8" style="1000"/>
  </cols>
  <sheetData>
    <row r="1" spans="1:14" ht="21" customHeight="1">
      <c r="A1" s="1141" t="s">
        <v>661</v>
      </c>
      <c r="B1" s="1141"/>
      <c r="C1" s="1141"/>
      <c r="D1" s="1141"/>
      <c r="E1" s="1141"/>
      <c r="F1" s="1141"/>
      <c r="G1" s="1141"/>
      <c r="H1" s="1141"/>
      <c r="I1" s="1141"/>
      <c r="J1" s="1141"/>
      <c r="K1" s="1141"/>
      <c r="L1" s="1141"/>
      <c r="M1" s="1141"/>
      <c r="N1" s="1141"/>
    </row>
    <row r="2" spans="1:14" s="10" customFormat="1" ht="15.75" customHeight="1">
      <c r="A2" s="1142" t="s">
        <v>37</v>
      </c>
      <c r="B2" s="1140" t="s">
        <v>38</v>
      </c>
      <c r="C2" s="1020" t="s">
        <v>39</v>
      </c>
      <c r="D2" s="1019"/>
      <c r="E2" s="1020"/>
      <c r="F2" s="1019"/>
      <c r="G2" s="1020" t="s">
        <v>40</v>
      </c>
      <c r="H2" s="1019"/>
      <c r="I2" s="1020"/>
      <c r="J2" s="1019"/>
      <c r="K2" s="1020" t="s">
        <v>44</v>
      </c>
      <c r="L2" s="1019"/>
      <c r="M2" s="1020"/>
      <c r="N2" s="1019"/>
    </row>
    <row r="3" spans="1:14" s="10" customFormat="1" ht="15.75" customHeight="1">
      <c r="A3" s="1142"/>
      <c r="B3" s="1140"/>
      <c r="C3" s="1140" t="s">
        <v>45</v>
      </c>
      <c r="D3" s="1140"/>
      <c r="E3" s="1140" t="s">
        <v>46</v>
      </c>
      <c r="F3" s="1140"/>
      <c r="G3" s="1140" t="s">
        <v>45</v>
      </c>
      <c r="H3" s="1140"/>
      <c r="I3" s="1140" t="s">
        <v>46</v>
      </c>
      <c r="J3" s="1140"/>
      <c r="K3" s="1140" t="s">
        <v>45</v>
      </c>
      <c r="L3" s="1140"/>
      <c r="M3" s="1140" t="s">
        <v>46</v>
      </c>
      <c r="N3" s="1140"/>
    </row>
    <row r="4" spans="1:14" s="10" customFormat="1" ht="15.75" customHeight="1">
      <c r="A4" s="1142"/>
      <c r="B4" s="1140"/>
      <c r="C4" s="980" t="s">
        <v>261</v>
      </c>
      <c r="D4" s="1018" t="s">
        <v>660</v>
      </c>
      <c r="E4" s="980" t="s">
        <v>261</v>
      </c>
      <c r="F4" s="1018" t="s">
        <v>660</v>
      </c>
      <c r="G4" s="980" t="s">
        <v>261</v>
      </c>
      <c r="H4" s="1018" t="s">
        <v>660</v>
      </c>
      <c r="I4" s="980" t="s">
        <v>261</v>
      </c>
      <c r="J4" s="1018" t="s">
        <v>660</v>
      </c>
      <c r="K4" s="980" t="s">
        <v>261</v>
      </c>
      <c r="L4" s="1018" t="s">
        <v>660</v>
      </c>
      <c r="M4" s="980" t="s">
        <v>261</v>
      </c>
      <c r="N4" s="1018" t="s">
        <v>660</v>
      </c>
    </row>
    <row r="5" spans="1:14" s="10" customFormat="1" ht="18" customHeight="1">
      <c r="A5" s="1017">
        <f t="shared" ref="A5:A15" si="0">ROW()-4</f>
        <v>1</v>
      </c>
      <c r="B5" s="273" t="s">
        <v>659</v>
      </c>
      <c r="C5" s="1012">
        <v>0</v>
      </c>
      <c r="D5" s="1011">
        <v>0</v>
      </c>
      <c r="E5" s="1012">
        <v>0</v>
      </c>
      <c r="F5" s="1011">
        <v>0</v>
      </c>
      <c r="G5" s="1012">
        <f t="array" ref="G5">SUM(IF("131"&amp;B5=KHN&amp;KH,_TH))</f>
        <v>0</v>
      </c>
      <c r="H5" s="1011">
        <f t="array" ref="H5">SUM(IF("131"&amp;B5=KHN&amp;KH,TH))</f>
        <v>0</v>
      </c>
      <c r="I5" s="1012">
        <f t="array" ref="I5">SUM(IF("131"&amp;B5=KHC&amp;KH,_TH))</f>
        <v>0</v>
      </c>
      <c r="J5" s="1011">
        <f t="array" ref="J5">SUM(IF("131"&amp;B5=KHC&amp;KH,TH))</f>
        <v>0</v>
      </c>
      <c r="K5" s="1016">
        <f t="shared" ref="K5:K15" si="1">ROUND(MAX(C5+G5-E5-I5,0),2)</f>
        <v>0</v>
      </c>
      <c r="L5" s="1015">
        <f t="shared" ref="L5:L15" si="2">ROUND(MAX(D5+H5-F5-J5,0),0)</f>
        <v>0</v>
      </c>
      <c r="M5" s="1016">
        <f t="shared" ref="M5:M15" si="3">ROUND(MAX(E5+I5-C5-G5,0),2)</f>
        <v>0</v>
      </c>
      <c r="N5" s="1015">
        <f t="shared" ref="N5:N15" si="4">ROUND(MAX(F5+J5-D5-H5,0),0)</f>
        <v>0</v>
      </c>
    </row>
    <row r="6" spans="1:14" s="10" customFormat="1" ht="18" customHeight="1">
      <c r="A6" s="6">
        <f t="shared" si="0"/>
        <v>2</v>
      </c>
      <c r="B6" s="7" t="s">
        <v>658</v>
      </c>
      <c r="C6" s="1012">
        <v>0</v>
      </c>
      <c r="D6" s="1011">
        <v>0</v>
      </c>
      <c r="E6" s="1012">
        <v>0</v>
      </c>
      <c r="F6" s="1011">
        <v>0</v>
      </c>
      <c r="G6" s="1012">
        <f t="array" ref="G6">SUM(IF("131"&amp;B6=KHN&amp;KH,_TH))</f>
        <v>0</v>
      </c>
      <c r="H6" s="1011">
        <f t="array" ref="H6">SUM(IF("131"&amp;B6=KHN&amp;KH,TH))</f>
        <v>0</v>
      </c>
      <c r="I6" s="1012">
        <f t="array" ref="I6">SUM(IF("131"&amp;B6=KHC&amp;KH,_TH))</f>
        <v>0</v>
      </c>
      <c r="J6" s="1011">
        <f t="array" ref="J6">SUM(IF("131"&amp;B6=KHC&amp;KH,TH))</f>
        <v>0</v>
      </c>
      <c r="K6" s="1010">
        <f t="shared" si="1"/>
        <v>0</v>
      </c>
      <c r="L6" s="486">
        <f t="shared" si="2"/>
        <v>0</v>
      </c>
      <c r="M6" s="1010">
        <f t="shared" si="3"/>
        <v>0</v>
      </c>
      <c r="N6" s="486">
        <f t="shared" si="4"/>
        <v>0</v>
      </c>
    </row>
    <row r="7" spans="1:14" s="10" customFormat="1" ht="18" customHeight="1">
      <c r="A7" s="6">
        <f t="shared" si="0"/>
        <v>3</v>
      </c>
      <c r="B7" s="7" t="s">
        <v>657</v>
      </c>
      <c r="C7" s="1012">
        <v>0</v>
      </c>
      <c r="D7" s="1011">
        <v>0</v>
      </c>
      <c r="E7" s="1012">
        <v>0</v>
      </c>
      <c r="F7" s="1011">
        <v>0</v>
      </c>
      <c r="G7" s="1012">
        <f t="array" ref="G7">SUM(IF("131"&amp;B7=KHN&amp;KH,_TH))</f>
        <v>0</v>
      </c>
      <c r="H7" s="1011">
        <f t="array" ref="H7">SUM(IF("131"&amp;B7=KHN&amp;KH,TH))</f>
        <v>0</v>
      </c>
      <c r="I7" s="1012">
        <f t="array" ref="I7">SUM(IF("131"&amp;B7=KHC&amp;KH,_TH))</f>
        <v>0</v>
      </c>
      <c r="J7" s="1011">
        <f t="array" ref="J7">SUM(IF("131"&amp;B7=KHC&amp;KH,TH))</f>
        <v>0</v>
      </c>
      <c r="K7" s="1010">
        <f t="shared" si="1"/>
        <v>0</v>
      </c>
      <c r="L7" s="486">
        <f t="shared" si="2"/>
        <v>0</v>
      </c>
      <c r="M7" s="1010">
        <f t="shared" si="3"/>
        <v>0</v>
      </c>
      <c r="N7" s="486">
        <f t="shared" si="4"/>
        <v>0</v>
      </c>
    </row>
    <row r="8" spans="1:14" s="10" customFormat="1" ht="18" customHeight="1">
      <c r="A8" s="6">
        <f t="shared" si="0"/>
        <v>4</v>
      </c>
      <c r="B8" s="7" t="s">
        <v>656</v>
      </c>
      <c r="C8" s="1012">
        <v>44066.42</v>
      </c>
      <c r="D8" s="1011">
        <v>986296391</v>
      </c>
      <c r="E8" s="1012">
        <v>0</v>
      </c>
      <c r="F8" s="1011">
        <v>0</v>
      </c>
      <c r="G8" s="1012">
        <f t="array" ref="G8">SUM(IF("131"&amp;B8=KHN&amp;KH,_TH))</f>
        <v>0</v>
      </c>
      <c r="H8" s="1011">
        <f t="array" ref="H8">SUM(IF("131"&amp;B8=KHN&amp;KH,TH))</f>
        <v>0</v>
      </c>
      <c r="I8" s="1012">
        <f t="array" ref="I8">SUM(IF("131"&amp;B8=KHC&amp;KH,_TH))</f>
        <v>0</v>
      </c>
      <c r="J8" s="1011">
        <f t="array" ref="J8">SUM(IF("131"&amp;B8=KHC&amp;KH,TH))</f>
        <v>0</v>
      </c>
      <c r="K8" s="1010">
        <f t="shared" si="1"/>
        <v>44066.42</v>
      </c>
      <c r="L8" s="486">
        <f t="shared" si="2"/>
        <v>986296391</v>
      </c>
      <c r="M8" s="1010">
        <f t="shared" si="3"/>
        <v>0</v>
      </c>
      <c r="N8" s="486">
        <f t="shared" si="4"/>
        <v>0</v>
      </c>
    </row>
    <row r="9" spans="1:14" s="10" customFormat="1" ht="18" customHeight="1">
      <c r="A9" s="6">
        <f t="shared" si="0"/>
        <v>5</v>
      </c>
      <c r="B9" s="7" t="s">
        <v>655</v>
      </c>
      <c r="C9" s="1012">
        <v>0</v>
      </c>
      <c r="D9" s="1012">
        <v>0</v>
      </c>
      <c r="E9" s="1012">
        <v>0</v>
      </c>
      <c r="F9" s="1011">
        <v>0</v>
      </c>
      <c r="G9" s="1012">
        <f t="array" ref="G9">SUM(IF("131"&amp;B9=KHN&amp;KH,_TH))</f>
        <v>79520</v>
      </c>
      <c r="H9" s="1011">
        <f t="array" ref="H9">SUM(IF("131"&amp;B9=KHN&amp;KH,TH))</f>
        <v>1778464800</v>
      </c>
      <c r="I9" s="1012">
        <f t="array" ref="I9">SUM(IF("131"&amp;B9=KHC&amp;KH,_TH))</f>
        <v>71560</v>
      </c>
      <c r="J9" s="1011">
        <f t="array" ref="J9">SUM(IF("131"&amp;B9=KHC&amp;KH,TH))</f>
        <v>1595788414</v>
      </c>
      <c r="K9" s="1010">
        <f t="shared" si="1"/>
        <v>7960</v>
      </c>
      <c r="L9" s="486">
        <f t="shared" si="2"/>
        <v>182676386</v>
      </c>
      <c r="M9" s="1010">
        <f t="shared" si="3"/>
        <v>0</v>
      </c>
      <c r="N9" s="486">
        <f t="shared" si="4"/>
        <v>0</v>
      </c>
    </row>
    <row r="10" spans="1:14" s="10" customFormat="1" ht="18" customHeight="1">
      <c r="A10" s="6">
        <f t="shared" si="0"/>
        <v>6</v>
      </c>
      <c r="B10" s="7" t="s">
        <v>654</v>
      </c>
      <c r="C10" s="1012">
        <v>103545</v>
      </c>
      <c r="D10" s="1012">
        <v>2233983375</v>
      </c>
      <c r="E10" s="1012">
        <v>0</v>
      </c>
      <c r="F10" s="1012">
        <v>0</v>
      </c>
      <c r="G10" s="1012">
        <f t="array" ref="G10">SUM(IF("131"&amp;B10=KHN&amp;KH,_TH))</f>
        <v>0</v>
      </c>
      <c r="H10" s="1011">
        <f t="array" ref="H10">SUM(IF("131"&amp;B10=KHN&amp;KH,TH))</f>
        <v>0</v>
      </c>
      <c r="I10" s="1012">
        <f t="array" ref="I10">SUM(IF("131"&amp;B10=KHC&amp;KH,_TH))</f>
        <v>0</v>
      </c>
      <c r="J10" s="1011">
        <f t="array" ref="J10">SUM(IF("131"&amp;B10=KHC&amp;KH,TH))</f>
        <v>0</v>
      </c>
      <c r="K10" s="1010">
        <f t="shared" si="1"/>
        <v>103545</v>
      </c>
      <c r="L10" s="486">
        <f t="shared" si="2"/>
        <v>2233983375</v>
      </c>
      <c r="M10" s="1010">
        <f t="shared" si="3"/>
        <v>0</v>
      </c>
      <c r="N10" s="486">
        <f t="shared" si="4"/>
        <v>0</v>
      </c>
    </row>
    <row r="11" spans="1:14" s="10" customFormat="1" ht="18" customHeight="1">
      <c r="A11" s="6">
        <f t="shared" si="0"/>
        <v>7</v>
      </c>
      <c r="B11" s="7" t="s">
        <v>653</v>
      </c>
      <c r="C11" s="1012">
        <v>0</v>
      </c>
      <c r="D11" s="1012">
        <v>0</v>
      </c>
      <c r="E11" s="1012">
        <v>0</v>
      </c>
      <c r="F11" s="1012">
        <v>0</v>
      </c>
      <c r="G11" s="1012">
        <f t="array" ref="G11">SUM(IF("131"&amp;B11=KHN&amp;KH,_TH))</f>
        <v>0</v>
      </c>
      <c r="H11" s="1011">
        <f t="array" ref="H11">SUM(IF("131"&amp;B11=KHN&amp;KH,TH))</f>
        <v>0</v>
      </c>
      <c r="I11" s="1012">
        <f t="array" ref="I11">SUM(IF("131"&amp;B11=KHC&amp;KH,_TH))</f>
        <v>0</v>
      </c>
      <c r="J11" s="1011">
        <f t="array" ref="J11">SUM(IF("131"&amp;B11=KHC&amp;KH,TH))</f>
        <v>0</v>
      </c>
      <c r="K11" s="1010">
        <f t="shared" si="1"/>
        <v>0</v>
      </c>
      <c r="L11" s="486">
        <f t="shared" si="2"/>
        <v>0</v>
      </c>
      <c r="M11" s="1010">
        <f t="shared" si="3"/>
        <v>0</v>
      </c>
      <c r="N11" s="486">
        <f t="shared" si="4"/>
        <v>0</v>
      </c>
    </row>
    <row r="12" spans="1:14" s="10" customFormat="1" ht="18" customHeight="1">
      <c r="A12" s="6">
        <f t="shared" si="0"/>
        <v>8</v>
      </c>
      <c r="B12" s="7" t="s">
        <v>652</v>
      </c>
      <c r="C12" s="1012">
        <v>5219.6400000000003</v>
      </c>
      <c r="D12" s="1012">
        <v>123101834</v>
      </c>
      <c r="E12" s="1012">
        <v>0</v>
      </c>
      <c r="F12" s="1012">
        <v>0</v>
      </c>
      <c r="G12" s="1012">
        <f t="array" ref="G12">SUM(IF("131"&amp;B12=KHN&amp;KH,_TH))</f>
        <v>0</v>
      </c>
      <c r="H12" s="1011">
        <f t="array" ref="H12">SUM(IF("131"&amp;B12=KHN&amp;KH,TH))</f>
        <v>0</v>
      </c>
      <c r="I12" s="1012">
        <f t="array" ref="I12">SUM(IF("131"&amp;B12=KHC&amp;KH,_TH))</f>
        <v>4819.12</v>
      </c>
      <c r="J12" s="1011">
        <f t="array" ref="J12">SUM(IF("131"&amp;B12=KHC&amp;KH,TH))</f>
        <v>108382009</v>
      </c>
      <c r="K12" s="1010">
        <f t="shared" si="1"/>
        <v>400.52</v>
      </c>
      <c r="L12" s="486">
        <f t="shared" si="2"/>
        <v>14719825</v>
      </c>
      <c r="M12" s="1010">
        <f t="shared" si="3"/>
        <v>0</v>
      </c>
      <c r="N12" s="486">
        <f t="shared" si="4"/>
        <v>0</v>
      </c>
    </row>
    <row r="13" spans="1:14" s="10" customFormat="1" ht="18" customHeight="1">
      <c r="A13" s="6">
        <f t="shared" si="0"/>
        <v>9</v>
      </c>
      <c r="B13" s="1014" t="s">
        <v>651</v>
      </c>
      <c r="C13" s="1012">
        <v>0</v>
      </c>
      <c r="D13" s="1012">
        <v>0</v>
      </c>
      <c r="E13" s="1012">
        <v>0</v>
      </c>
      <c r="F13" s="1012">
        <v>0</v>
      </c>
      <c r="G13" s="1012">
        <f t="array" ref="G13">SUM(IF("131"&amp;B13=KHN&amp;KH,_TH))</f>
        <v>0</v>
      </c>
      <c r="H13" s="1011">
        <f t="array" ref="H13">SUM(IF("131"&amp;B13=KHN&amp;KH,TH))</f>
        <v>0</v>
      </c>
      <c r="I13" s="1012">
        <f t="array" ref="I13">SUM(IF("131"&amp;B13=KHC&amp;KH,_TH))</f>
        <v>0</v>
      </c>
      <c r="J13" s="1011">
        <f t="array" ref="J13">SUM(IF("131"&amp;B13=KHC&amp;KH,TH))</f>
        <v>0</v>
      </c>
      <c r="K13" s="1010">
        <f t="shared" si="1"/>
        <v>0</v>
      </c>
      <c r="L13" s="486">
        <f t="shared" si="2"/>
        <v>0</v>
      </c>
      <c r="M13" s="1010">
        <f t="shared" si="3"/>
        <v>0</v>
      </c>
      <c r="N13" s="486">
        <f t="shared" si="4"/>
        <v>0</v>
      </c>
    </row>
    <row r="14" spans="1:14" s="10" customFormat="1" ht="18" customHeight="1">
      <c r="A14" s="6">
        <f t="shared" si="0"/>
        <v>10</v>
      </c>
      <c r="B14" s="1013" t="s">
        <v>650</v>
      </c>
      <c r="C14" s="1012">
        <v>0</v>
      </c>
      <c r="D14" s="1012">
        <v>0</v>
      </c>
      <c r="E14" s="1012">
        <v>0</v>
      </c>
      <c r="F14" s="1012">
        <v>0</v>
      </c>
      <c r="G14" s="1012">
        <f t="array" ref="G14">SUM(IF("131"&amp;B14=KHN&amp;KH,_TH))</f>
        <v>0</v>
      </c>
      <c r="H14" s="1011">
        <f t="array" ref="H14">SUM(IF("131"&amp;B14=KHN&amp;KH,TH))</f>
        <v>0</v>
      </c>
      <c r="I14" s="1012">
        <f t="array" ref="I14">SUM(IF("131"&amp;B14=KHC&amp;KH,_TH))</f>
        <v>0</v>
      </c>
      <c r="J14" s="1011">
        <f t="array" ref="J14">SUM(IF("131"&amp;B14=KHC&amp;KH,TH))</f>
        <v>0</v>
      </c>
      <c r="K14" s="1010">
        <f t="shared" si="1"/>
        <v>0</v>
      </c>
      <c r="L14" s="486">
        <f t="shared" si="2"/>
        <v>0</v>
      </c>
      <c r="M14" s="1010">
        <f t="shared" si="3"/>
        <v>0</v>
      </c>
      <c r="N14" s="486">
        <f t="shared" si="4"/>
        <v>0</v>
      </c>
    </row>
    <row r="15" spans="1:14" s="10" customFormat="1" ht="18" customHeight="1">
      <c r="A15" s="6">
        <f t="shared" si="0"/>
        <v>11</v>
      </c>
      <c r="B15" s="1013" t="s">
        <v>649</v>
      </c>
      <c r="C15" s="1012">
        <v>0</v>
      </c>
      <c r="D15" s="1012">
        <v>0</v>
      </c>
      <c r="E15" s="1012">
        <v>0</v>
      </c>
      <c r="F15" s="1012">
        <v>0</v>
      </c>
      <c r="G15" s="1012">
        <f t="array" ref="G15">SUM(IF("131"&amp;B15=KHN&amp;KH,_TH))</f>
        <v>41760</v>
      </c>
      <c r="H15" s="1011">
        <f t="array" ref="H15">SUM(IF("131"&amp;B15=KHN&amp;KH,TH))</f>
        <v>933962400</v>
      </c>
      <c r="I15" s="1012">
        <f t="array" ref="I15">SUM(IF("131"&amp;B15=KHC&amp;KH,_TH))</f>
        <v>39600</v>
      </c>
      <c r="J15" s="1011">
        <f t="array" ref="J15">SUM(IF("131"&amp;B15=KHC&amp;KH,TH))</f>
        <v>883476000</v>
      </c>
      <c r="K15" s="1010">
        <f t="shared" si="1"/>
        <v>2160</v>
      </c>
      <c r="L15" s="486">
        <f t="shared" si="2"/>
        <v>50486400</v>
      </c>
      <c r="M15" s="1010">
        <f t="shared" si="3"/>
        <v>0</v>
      </c>
      <c r="N15" s="486">
        <f t="shared" si="4"/>
        <v>0</v>
      </c>
    </row>
    <row r="16" spans="1:14" s="10" customFormat="1" ht="18" customHeight="1">
      <c r="A16" s="1009"/>
      <c r="B16" s="1008"/>
      <c r="C16" s="1007"/>
      <c r="D16" s="1007"/>
      <c r="E16" s="1007"/>
      <c r="F16" s="1007"/>
      <c r="G16" s="1007"/>
      <c r="H16" s="1006"/>
      <c r="I16" s="1007"/>
      <c r="J16" s="1006"/>
      <c r="K16" s="1005"/>
      <c r="L16" s="1004"/>
      <c r="M16" s="1005"/>
      <c r="N16" s="1004"/>
    </row>
    <row r="17" spans="1:14" ht="18" customHeight="1">
      <c r="A17" s="11"/>
      <c r="B17" s="12" t="s">
        <v>41</v>
      </c>
      <c r="C17" s="1003">
        <f t="shared" ref="C17:N17" si="5">SUM(C5:C16)</f>
        <v>152831.06</v>
      </c>
      <c r="D17" s="1002">
        <f t="shared" si="5"/>
        <v>3343381600</v>
      </c>
      <c r="E17" s="1003">
        <f t="shared" si="5"/>
        <v>0</v>
      </c>
      <c r="F17" s="1002">
        <f t="shared" si="5"/>
        <v>0</v>
      </c>
      <c r="G17" s="1003">
        <f t="shared" si="5"/>
        <v>121280</v>
      </c>
      <c r="H17" s="1002">
        <f t="shared" si="5"/>
        <v>2712427200</v>
      </c>
      <c r="I17" s="1003">
        <f t="shared" si="5"/>
        <v>115979.12</v>
      </c>
      <c r="J17" s="1002">
        <f t="shared" si="5"/>
        <v>2587646423</v>
      </c>
      <c r="K17" s="1003">
        <f t="shared" si="5"/>
        <v>158131.93999999997</v>
      </c>
      <c r="L17" s="1002">
        <f t="shared" si="5"/>
        <v>3468162377</v>
      </c>
      <c r="M17" s="1003">
        <f t="shared" si="5"/>
        <v>0</v>
      </c>
      <c r="N17" s="1002">
        <f t="shared" si="5"/>
        <v>0</v>
      </c>
    </row>
    <row r="19" spans="1:14">
      <c r="H19" s="1001">
        <f>CDPS!E15</f>
        <v>2712427200</v>
      </c>
      <c r="J19" s="1001">
        <f>CDPS!F15</f>
        <v>2587646423</v>
      </c>
    </row>
    <row r="21" spans="1:14">
      <c r="H21" s="1001">
        <f>H17-H19</f>
        <v>0</v>
      </c>
      <c r="I21" s="1001"/>
      <c r="J21" s="1001">
        <f t="shared" ref="I21: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58"/>
  <sheetViews>
    <sheetView topLeftCell="A6" zoomScale="90" zoomScaleNormal="90" workbookViewId="0">
      <pane ySplit="11" topLeftCell="A41" activePane="bottomLeft" state="frozen"/>
      <selection activeCell="B5" sqref="B5"/>
      <selection pane="bottomLeft" activeCell="F28" sqref="F28"/>
    </sheetView>
  </sheetViews>
  <sheetFormatPr defaultRowHeight="14.25"/>
  <cols>
    <col min="1" max="1" width="9.85546875" style="150" customWidth="1"/>
    <col min="2" max="2" width="10.140625" style="150" bestFit="1" customWidth="1"/>
    <col min="3" max="3" width="9.85546875" style="150" customWidth="1"/>
    <col min="4" max="4" width="38" style="150" customWidth="1"/>
    <col min="5" max="5" width="8.28515625" style="150" customWidth="1"/>
    <col min="6" max="6" width="8.42578125" style="150" customWidth="1"/>
    <col min="7" max="7" width="9" style="150" customWidth="1"/>
    <col min="8" max="8" width="11.42578125" style="150" customWidth="1"/>
    <col min="9" max="9" width="14.85546875" style="150" customWidth="1"/>
    <col min="10" max="10" width="12.140625" style="150" customWidth="1"/>
    <col min="11" max="11" width="15.140625" style="150" customWidth="1"/>
    <col min="12" max="12" width="12.5703125" style="150" customWidth="1"/>
    <col min="13" max="13" width="13.42578125" style="150" customWidth="1"/>
    <col min="14" max="14" width="11.85546875" style="150" customWidth="1"/>
    <col min="15" max="15" width="14.5703125" style="150" customWidth="1"/>
    <col min="16" max="16384" width="9.140625" style="150"/>
  </cols>
  <sheetData>
    <row r="2" spans="1:15" s="979" customFormat="1" ht="16.5" customHeight="1">
      <c r="A2" s="1063" t="s">
        <v>332</v>
      </c>
      <c r="B2" s="1062"/>
      <c r="C2" s="1061"/>
      <c r="D2" s="564"/>
      <c r="E2" s="1055"/>
      <c r="G2" s="1054"/>
      <c r="H2" s="1053"/>
      <c r="I2" s="1060"/>
      <c r="J2" s="1059"/>
      <c r="K2" s="2"/>
      <c r="L2" s="2"/>
      <c r="M2" s="978" t="s">
        <v>668</v>
      </c>
      <c r="N2" s="2"/>
      <c r="O2" s="2"/>
    </row>
    <row r="3" spans="1:15" s="979" customFormat="1" ht="16.5" customHeight="1">
      <c r="A3" s="1143" t="s">
        <v>667</v>
      </c>
      <c r="B3" s="1143"/>
      <c r="C3" s="1143"/>
      <c r="D3" s="1143"/>
      <c r="E3" s="1055"/>
      <c r="G3" s="1054"/>
      <c r="H3" s="1053"/>
      <c r="I3" s="1052"/>
      <c r="J3" s="1051"/>
      <c r="K3" s="17"/>
      <c r="L3" s="17"/>
      <c r="M3" s="1057" t="s">
        <v>335</v>
      </c>
      <c r="N3" s="17"/>
      <c r="O3" s="17"/>
    </row>
    <row r="4" spans="1:15" s="979" customFormat="1" ht="16.5" customHeight="1">
      <c r="A4" s="1058"/>
      <c r="B4" s="1058"/>
      <c r="C4" s="1058"/>
      <c r="D4" s="1058"/>
      <c r="E4" s="1055"/>
      <c r="G4" s="1054" t="s">
        <v>666</v>
      </c>
      <c r="H4" s="1053"/>
      <c r="I4" s="1052"/>
      <c r="J4" s="1051"/>
      <c r="K4" s="17"/>
      <c r="L4" s="17"/>
      <c r="M4" s="1057" t="s">
        <v>336</v>
      </c>
      <c r="N4" s="17"/>
      <c r="O4" s="17"/>
    </row>
    <row r="5" spans="1:15" s="979" customFormat="1" ht="6.75" customHeight="1">
      <c r="A5" s="1056"/>
      <c r="B5" s="1056"/>
      <c r="C5" s="1056"/>
      <c r="E5" s="1055"/>
      <c r="G5" s="1054"/>
      <c r="H5" s="1053"/>
      <c r="I5" s="1052"/>
      <c r="J5" s="1051"/>
      <c r="K5" s="1050"/>
      <c r="L5" s="976"/>
      <c r="M5" s="976"/>
      <c r="N5" s="976"/>
      <c r="O5" s="976"/>
    </row>
    <row r="6" spans="1:15" s="5" customFormat="1" ht="23.25" customHeight="1">
      <c r="A6" s="1136" t="s">
        <v>665</v>
      </c>
      <c r="B6" s="1136"/>
      <c r="C6" s="1136"/>
      <c r="D6" s="1136"/>
      <c r="E6" s="1136"/>
      <c r="F6" s="1136"/>
      <c r="G6" s="1136"/>
      <c r="H6" s="1136"/>
      <c r="I6" s="1136"/>
      <c r="J6" s="1136"/>
      <c r="K6" s="1136"/>
      <c r="L6" s="1136"/>
      <c r="M6" s="1136"/>
      <c r="N6" s="1136"/>
      <c r="O6" s="1136"/>
    </row>
    <row r="7" spans="1:15" s="5" customFormat="1" ht="15">
      <c r="H7" s="977" t="s">
        <v>29</v>
      </c>
    </row>
    <row r="8" spans="1:15" s="5" customFormat="1" ht="15">
      <c r="H8" s="977" t="s">
        <v>664</v>
      </c>
    </row>
    <row r="9" spans="1:15" s="5" customFormat="1" ht="15">
      <c r="G9" s="285" t="s">
        <v>663</v>
      </c>
      <c r="H9" s="1144" t="s">
        <v>649</v>
      </c>
      <c r="I9" s="1144"/>
      <c r="J9" s="1144"/>
    </row>
    <row r="10" spans="1:15" s="5" customFormat="1" ht="15">
      <c r="H10" s="977" t="s">
        <v>259</v>
      </c>
    </row>
    <row r="11" spans="1:15" s="5" customFormat="1" ht="15">
      <c r="A11" s="4"/>
      <c r="B11" s="4"/>
      <c r="C11" s="1049"/>
      <c r="D11" s="1049"/>
      <c r="E11" s="1049"/>
      <c r="F11" s="1049"/>
      <c r="G11" s="1049"/>
      <c r="H11" s="1049"/>
      <c r="I11" s="1049"/>
      <c r="J11" s="1049"/>
      <c r="K11" s="1049"/>
      <c r="L11" s="1049"/>
      <c r="M11" s="1049"/>
      <c r="N11" s="1049"/>
      <c r="O11" s="1049"/>
    </row>
    <row r="12" spans="1:15" s="977" customFormat="1" ht="15.75" customHeight="1">
      <c r="A12" s="1145" t="s">
        <v>22</v>
      </c>
      <c r="B12" s="1148" t="s">
        <v>1</v>
      </c>
      <c r="C12" s="1149"/>
      <c r="D12" s="1145" t="s">
        <v>0</v>
      </c>
      <c r="E12" s="1145" t="s">
        <v>16</v>
      </c>
      <c r="F12" s="1145" t="s">
        <v>260</v>
      </c>
      <c r="G12" s="1150" t="s">
        <v>662</v>
      </c>
      <c r="H12" s="1148" t="s">
        <v>23</v>
      </c>
      <c r="I12" s="1153"/>
      <c r="J12" s="1153"/>
      <c r="K12" s="1149"/>
      <c r="L12" s="1148" t="s">
        <v>33</v>
      </c>
      <c r="M12" s="1154"/>
      <c r="N12" s="1154"/>
      <c r="O12" s="1155"/>
    </row>
    <row r="13" spans="1:15" s="977" customFormat="1" ht="15.75" customHeight="1">
      <c r="A13" s="1146"/>
      <c r="B13" s="1156" t="s">
        <v>17</v>
      </c>
      <c r="C13" s="1156" t="s">
        <v>34</v>
      </c>
      <c r="D13" s="1146"/>
      <c r="E13" s="1146"/>
      <c r="F13" s="1146"/>
      <c r="G13" s="1151"/>
      <c r="H13" s="1158" t="s">
        <v>24</v>
      </c>
      <c r="I13" s="1159"/>
      <c r="J13" s="1158" t="s">
        <v>25</v>
      </c>
      <c r="K13" s="1159"/>
      <c r="L13" s="1158" t="s">
        <v>24</v>
      </c>
      <c r="M13" s="1155"/>
      <c r="N13" s="1158" t="s">
        <v>25</v>
      </c>
      <c r="O13" s="1155"/>
    </row>
    <row r="14" spans="1:15" s="977" customFormat="1" ht="27.75" customHeight="1">
      <c r="A14" s="1147"/>
      <c r="B14" s="1157"/>
      <c r="C14" s="1157"/>
      <c r="D14" s="1147"/>
      <c r="E14" s="1147"/>
      <c r="F14" s="1147"/>
      <c r="G14" s="1152"/>
      <c r="H14" s="1048" t="s">
        <v>261</v>
      </c>
      <c r="I14" s="1046" t="s">
        <v>262</v>
      </c>
      <c r="J14" s="1047" t="s">
        <v>261</v>
      </c>
      <c r="K14" s="1046" t="s">
        <v>262</v>
      </c>
      <c r="L14" s="1045" t="s">
        <v>261</v>
      </c>
      <c r="M14" s="1045" t="s">
        <v>262</v>
      </c>
      <c r="N14" s="1045" t="s">
        <v>261</v>
      </c>
      <c r="O14" s="1045" t="s">
        <v>262</v>
      </c>
    </row>
    <row r="15" spans="1:15" s="977" customFormat="1" ht="15">
      <c r="A15" s="1027" t="s">
        <v>2</v>
      </c>
      <c r="B15" s="1044" t="s">
        <v>3</v>
      </c>
      <c r="C15" s="1027" t="s">
        <v>4</v>
      </c>
      <c r="D15" s="1027" t="s">
        <v>5</v>
      </c>
      <c r="E15" s="1027" t="s">
        <v>6</v>
      </c>
      <c r="F15" s="1027">
        <v>1</v>
      </c>
      <c r="G15" s="1027">
        <v>2</v>
      </c>
      <c r="H15" s="1027">
        <v>3</v>
      </c>
      <c r="I15" s="1027">
        <v>4</v>
      </c>
      <c r="J15" s="1027">
        <v>5</v>
      </c>
      <c r="K15" s="1027">
        <v>6</v>
      </c>
      <c r="L15" s="1027">
        <v>7</v>
      </c>
      <c r="M15" s="1027">
        <v>8</v>
      </c>
      <c r="N15" s="1027">
        <v>9</v>
      </c>
      <c r="O15" s="1027">
        <v>10</v>
      </c>
    </row>
    <row r="16" spans="1:15" s="5" customFormat="1" ht="16.5" customHeight="1">
      <c r="A16" s="1029"/>
      <c r="B16" s="1029"/>
      <c r="C16" s="1029"/>
      <c r="D16" s="1028" t="s">
        <v>7</v>
      </c>
      <c r="E16" s="1029"/>
      <c r="F16" s="1027"/>
      <c r="G16" s="1042"/>
      <c r="H16" s="1041"/>
      <c r="I16" s="1042"/>
      <c r="J16" s="1043"/>
      <c r="K16" s="1042"/>
      <c r="L16" s="1041">
        <f>VLOOKUP($H$9,'131'!$B$5:$F$15,2,0)</f>
        <v>0</v>
      </c>
      <c r="M16" s="1040">
        <f>VLOOKUP($H$9,'131'!$B$5:$F$15,3,0)</f>
        <v>0</v>
      </c>
      <c r="N16" s="1041">
        <f>VLOOKUP($H$9,'131'!$B$5:$F$15,4,0)</f>
        <v>0</v>
      </c>
      <c r="O16" s="1040">
        <f>VLOOKUP($H$9,'131'!$B$5:$F$15,5,0)</f>
        <v>0</v>
      </c>
    </row>
    <row r="17" spans="1:15" s="5" customFormat="1" ht="16.5" customHeight="1">
      <c r="A17" s="255">
        <f t="shared" ref="A17:A51" ca="1" si="0">IF(C17&lt;&gt;"",C17,"")</f>
        <v>42395</v>
      </c>
      <c r="B17" s="266" t="str">
        <f ca="1">IF(ROWS($1:1)&gt;COUNT(Dong14),"",OFFSET(TH!D$1,SMALL(Dong14,ROWS($1:1)),))</f>
        <v>TP/X02</v>
      </c>
      <c r="C17" s="255">
        <f ca="1">IF(ROWS($1:1)&gt;COUNT(Dong14),"",OFFSET(TH!E$1,SMALL(Dong14,ROWS($1:1)),))</f>
        <v>42395</v>
      </c>
      <c r="D17" s="1039" t="str">
        <f ca="1">IF(ROWS($1:1)&gt;COUNT(Dong14),"",OFFSET(TH!F$1,SMALL(Dong14,ROWS($1:1)),))</f>
        <v>Ghẹ khô tẩm TP - TK 300700188740</v>
      </c>
      <c r="E17" s="1037" t="str">
        <f ca="1">IF(ROWS($1:1)&gt;COUNT(Dong14),"",IF(OFFSET(TH!N$1,SMALL(Dong14,ROWS($1:1)),)="131",OFFSET(TH!O$1,SMALL(Dong14,ROWS($1:1)),),OFFSET(TH!N$1,SMALL(Dong14,ROWS($1:1)),)))</f>
        <v>5112X</v>
      </c>
      <c r="F17" s="1037">
        <f ca="1">IF(ROWS($1:1)&gt;COUNT(Dong14),0,OFFSET(TH!L$1,SMALL(Dong14,ROWS($1:1)),))</f>
        <v>22365</v>
      </c>
      <c r="G17" s="1037"/>
      <c r="H17" s="1038">
        <f ca="1">IF(ROWS($1:1)&gt;COUNT(Dong14),0,IF(OFFSET(TH!N$1,SMALL(Dong14,ROWS($1:1)),)="131",OFFSET(TH!K$1,SMALL(Dong14,ROWS($1:1)),),0))</f>
        <v>41760</v>
      </c>
      <c r="I17" s="1037">
        <f ca="1">IF(ROWS($1:1)&gt;COUNT(Dong14),0,IF(OFFSET(TH!N$1,SMALL(Dong14,ROWS($1:1)),)="131",OFFSET(TH!M$1,SMALL(Dong14,ROWS($1:1)),),0))</f>
        <v>933962400</v>
      </c>
      <c r="J17" s="1038">
        <f ca="1">IF(ROWS($1:1)&gt;COUNT(Dong14),0,IF(OFFSET(TH!O$1,SMALL(Dong14,ROWS($1:1)),)="131",OFFSET(TH!K$1,SMALL(Dong14,ROWS($1:1)),),0))</f>
        <v>0</v>
      </c>
      <c r="K17" s="1037">
        <f ca="1">IF(ROWS($1:1)&gt;COUNT(Dong14),0,IF(OFFSET(TH!O$1,SMALL(Dong14,ROWS($1:1)),)="131",OFFSET(TH!M$1,SMALL(Dong14,ROWS($1:1)),),0))</f>
        <v>0</v>
      </c>
      <c r="L17" s="1031">
        <f ca="1">IF(D17&lt;&gt;"",ROUND(MAX(L16+H17-J17-N16,0),2),0)</f>
        <v>41760</v>
      </c>
      <c r="M17" s="1030">
        <f ca="1">IF(D17&lt;&gt;"",MAX(M16-O16+I17-K17,0),0)</f>
        <v>933962400</v>
      </c>
      <c r="N17" s="1031">
        <f ca="1">IF(D17&lt;&gt;"",ROUND(MAX(N16+J17-H17-L16,0),2),0)</f>
        <v>0</v>
      </c>
      <c r="O17" s="1030">
        <f ca="1">IF(D17&lt;&gt;"",MAX(O16-M16+K17-I17,0),0)</f>
        <v>0</v>
      </c>
    </row>
    <row r="18" spans="1:15" s="5" customFormat="1" ht="16.5" customHeight="1">
      <c r="A18" s="255">
        <f t="shared" ca="1" si="0"/>
        <v>42396</v>
      </c>
      <c r="B18" s="266" t="str">
        <f ca="1">IF(ROWS($1:2)&gt;COUNT(Dong14),"",OFFSET(TH!D$1,SMALL(Dong14,ROWS($1:2)),))</f>
        <v>CTGS</v>
      </c>
      <c r="C18" s="255">
        <f ca="1">IF(ROWS($1:2)&gt;COUNT(Dong14),"",OFFSET(TH!E$1,SMALL(Dong14,ROWS($1:2)),))</f>
        <v>42396</v>
      </c>
      <c r="D18" s="1039" t="str">
        <f ca="1">IF(ROWS($1:2)&gt;COUNT(Dong14),"",OFFSET(TH!F$1,SMALL(Dong14,ROWS($1:2)),))</f>
        <v>Phí xử lý bộ chứng từ</v>
      </c>
      <c r="E18" s="1037" t="str">
        <f ca="1">IF(ROWS($1:2)&gt;COUNT(Dong14),"",IF(OFFSET(TH!N$1,SMALL(Dong14,ROWS($1:2)),)="131",OFFSET(TH!O$1,SMALL(Dong14,ROWS($1:2)),),OFFSET(TH!N$1,SMALL(Dong14,ROWS($1:2)),)))</f>
        <v>642</v>
      </c>
      <c r="F18" s="1037">
        <f ca="1">IF(ROWS($1:2)&gt;COUNT(Dong14),0,OFFSET(TH!L$1,SMALL(Dong14,ROWS($1:2)),))</f>
        <v>22310</v>
      </c>
      <c r="G18" s="1037"/>
      <c r="H18" s="1038">
        <f ca="1">IF(ROWS($1:2)&gt;COUNT(Dong14),0,IF(OFFSET(TH!N$1,SMALL(Dong14,ROWS($1:2)),)="131",OFFSET(TH!K$1,SMALL(Dong14,ROWS($1:2)),),0))</f>
        <v>0</v>
      </c>
      <c r="I18" s="1037">
        <f ca="1">IF(ROWS($1:2)&gt;COUNT(Dong14),0,IF(OFFSET(TH!N$1,SMALL(Dong14,ROWS($1:2)),)="131",OFFSET(TH!M$1,SMALL(Dong14,ROWS($1:2)),),0))</f>
        <v>0</v>
      </c>
      <c r="J18" s="1038">
        <f ca="1">IF(ROWS($1:2)&gt;COUNT(Dong14),0,IF(OFFSET(TH!O$1,SMALL(Dong14,ROWS($1:2)),)="131",OFFSET(TH!K$1,SMALL(Dong14,ROWS($1:2)),),0))</f>
        <v>11</v>
      </c>
      <c r="K18" s="1037">
        <f ca="1">IF(ROWS($1:2)&gt;COUNT(Dong14),0,IF(OFFSET(TH!O$1,SMALL(Dong14,ROWS($1:2)),)="131",OFFSET(TH!M$1,SMALL(Dong14,ROWS($1:2)),),0))</f>
        <v>245410</v>
      </c>
      <c r="L18" s="1031">
        <f t="shared" ref="L18:L50" ca="1" si="1">IF(D18&lt;&gt;"",ROUND(MAX(L17+H18-J18-N17,0),2),0)</f>
        <v>41749</v>
      </c>
      <c r="M18" s="1030">
        <f t="shared" ref="M18:M50" ca="1" si="2">IF(D18&lt;&gt;"",MAX(M17-O17+I18-K18,0),0)</f>
        <v>933716990</v>
      </c>
      <c r="N18" s="1031">
        <f t="shared" ref="N18:N50" ca="1" si="3">IF(D18&lt;&gt;"",ROUND(MAX(N17+J18-H18-L17,0),2),0)</f>
        <v>0</v>
      </c>
      <c r="O18" s="1030">
        <f t="shared" ref="O18:O50" ca="1" si="4">IF(D18&lt;&gt;"",MAX(O17-M17+K18-I18,0),0)</f>
        <v>0</v>
      </c>
    </row>
    <row r="19" spans="1:15" s="5" customFormat="1" ht="16.5" customHeight="1">
      <c r="A19" s="255">
        <f t="shared" ca="1" si="0"/>
        <v>42396</v>
      </c>
      <c r="B19" s="266" t="str">
        <f ca="1">IF(ROWS($1:3)&gt;COUNT(Dong14),"",OFFSET(TH!D$1,SMALL(Dong14,ROWS($1:3)),))</f>
        <v>CTGS</v>
      </c>
      <c r="C19" s="255">
        <f ca="1">IF(ROWS($1:3)&gt;COUNT(Dong14),"",OFFSET(TH!E$1,SMALL(Dong14,ROWS($1:3)),))</f>
        <v>42396</v>
      </c>
      <c r="D19" s="1039" t="str">
        <f ca="1">IF(ROWS($1:3)&gt;COUNT(Dong14),"",OFFSET(TH!F$1,SMALL(Dong14,ROWS($1:3)),))</f>
        <v>Phí DHL</v>
      </c>
      <c r="E19" s="1037" t="str">
        <f ca="1">IF(ROWS($1:3)&gt;COUNT(Dong14),"",IF(OFFSET(TH!N$1,SMALL(Dong14,ROWS($1:3)),)="131",OFFSET(TH!O$1,SMALL(Dong14,ROWS($1:3)),),OFFSET(TH!N$1,SMALL(Dong14,ROWS($1:3)),)))</f>
        <v>642</v>
      </c>
      <c r="F19" s="1037">
        <f ca="1">IF(ROWS($1:3)&gt;COUNT(Dong14),0,OFFSET(TH!L$1,SMALL(Dong14,ROWS($1:3)),))</f>
        <v>22310</v>
      </c>
      <c r="G19" s="1037"/>
      <c r="H19" s="1038">
        <f ca="1">IF(ROWS($1:3)&gt;COUNT(Dong14),0,IF(OFFSET(TH!N$1,SMALL(Dong14,ROWS($1:3)),)="131",OFFSET(TH!K$1,SMALL(Dong14,ROWS($1:3)),),0))</f>
        <v>0</v>
      </c>
      <c r="I19" s="1037">
        <f ca="1">IF(ROWS($1:3)&gt;COUNT(Dong14),0,IF(OFFSET(TH!N$1,SMALL(Dong14,ROWS($1:3)),)="131",OFFSET(TH!M$1,SMALL(Dong14,ROWS($1:3)),),0))</f>
        <v>0</v>
      </c>
      <c r="J19" s="1038">
        <f ca="1">IF(ROWS($1:3)&gt;COUNT(Dong14),0,IF(OFFSET(TH!O$1,SMALL(Dong14,ROWS($1:3)),)="131",OFFSET(TH!K$1,SMALL(Dong14,ROWS($1:3)),),0))</f>
        <v>30.38</v>
      </c>
      <c r="K19" s="1037">
        <f ca="1">IF(ROWS($1:3)&gt;COUNT(Dong14),0,IF(OFFSET(TH!O$1,SMALL(Dong14,ROWS($1:3)),)="131",OFFSET(TH!M$1,SMALL(Dong14,ROWS($1:3)),),0))</f>
        <v>677778</v>
      </c>
      <c r="L19" s="1031">
        <f t="shared" ca="1" si="1"/>
        <v>41718.620000000003</v>
      </c>
      <c r="M19" s="1030">
        <f t="shared" ca="1" si="2"/>
        <v>933039212</v>
      </c>
      <c r="N19" s="1031">
        <f t="shared" ca="1" si="3"/>
        <v>0</v>
      </c>
      <c r="O19" s="1030">
        <f t="shared" ca="1" si="4"/>
        <v>0</v>
      </c>
    </row>
    <row r="20" spans="1:15" s="5" customFormat="1" ht="16.5" customHeight="1">
      <c r="A20" s="255">
        <f t="shared" ca="1" si="0"/>
        <v>42396</v>
      </c>
      <c r="B20" s="266" t="str">
        <f ca="1">IF(ROWS($1:4)&gt;COUNT(Dong14),"",OFFSET(TH!D$1,SMALL(Dong14,ROWS($1:4)),))</f>
        <v>CTGS</v>
      </c>
      <c r="C20" s="255">
        <f ca="1">IF(ROWS($1:4)&gt;COUNT(Dong14),"",OFFSET(TH!E$1,SMALL(Dong14,ROWS($1:4)),))</f>
        <v>42396</v>
      </c>
      <c r="D20" s="1039" t="str">
        <f ca="1">IF(ROWS($1:4)&gt;COUNT(Dong14),"",OFFSET(TH!F$1,SMALL(Dong14,ROWS($1:4)),))</f>
        <v>Điện phí</v>
      </c>
      <c r="E20" s="1037" t="str">
        <f ca="1">IF(ROWS($1:4)&gt;COUNT(Dong14),"",IF(OFFSET(TH!N$1,SMALL(Dong14,ROWS($1:4)),)="131",OFFSET(TH!O$1,SMALL(Dong14,ROWS($1:4)),),OFFSET(TH!N$1,SMALL(Dong14,ROWS($1:4)),)))</f>
        <v>642</v>
      </c>
      <c r="F20" s="1037">
        <f ca="1">IF(ROWS($1:4)&gt;COUNT(Dong14),0,OFFSET(TH!L$1,SMALL(Dong14,ROWS($1:4)),))</f>
        <v>22310</v>
      </c>
      <c r="G20" s="1037"/>
      <c r="H20" s="1038">
        <f ca="1">IF(ROWS($1:4)&gt;COUNT(Dong14),0,IF(OFFSET(TH!N$1,SMALL(Dong14,ROWS($1:4)),)="131",OFFSET(TH!K$1,SMALL(Dong14,ROWS($1:4)),),0))</f>
        <v>0</v>
      </c>
      <c r="I20" s="1037">
        <f ca="1">IF(ROWS($1:4)&gt;COUNT(Dong14),0,IF(OFFSET(TH!N$1,SMALL(Dong14,ROWS($1:4)),)="131",OFFSET(TH!M$1,SMALL(Dong14,ROWS($1:4)),),0))</f>
        <v>0</v>
      </c>
      <c r="J20" s="1038">
        <f ca="1">IF(ROWS($1:4)&gt;COUNT(Dong14),0,IF(OFFSET(TH!O$1,SMALL(Dong14,ROWS($1:4)),)="131",OFFSET(TH!K$1,SMALL(Dong14,ROWS($1:4)),),0))</f>
        <v>5.5</v>
      </c>
      <c r="K20" s="1037">
        <f ca="1">IF(ROWS($1:4)&gt;COUNT(Dong14),0,IF(OFFSET(TH!O$1,SMALL(Dong14,ROWS($1:4)),)="131",OFFSET(TH!M$1,SMALL(Dong14,ROWS($1:4)),),0))</f>
        <v>122705</v>
      </c>
      <c r="L20" s="1031">
        <f t="shared" ca="1" si="1"/>
        <v>41713.120000000003</v>
      </c>
      <c r="M20" s="1030">
        <f t="shared" ca="1" si="2"/>
        <v>932916507</v>
      </c>
      <c r="N20" s="1031">
        <f t="shared" ca="1" si="3"/>
        <v>0</v>
      </c>
      <c r="O20" s="1030">
        <f t="shared" ca="1" si="4"/>
        <v>0</v>
      </c>
    </row>
    <row r="21" spans="1:15" s="5" customFormat="1" ht="16.5" customHeight="1">
      <c r="A21" s="255">
        <f t="shared" ca="1" si="0"/>
        <v>42396</v>
      </c>
      <c r="B21" s="266" t="str">
        <f ca="1">IF(ROWS($1:5)&gt;COUNT(Dong14),"",OFFSET(TH!D$1,SMALL(Dong14,ROWS($1:5)),))</f>
        <v>GBC</v>
      </c>
      <c r="C21" s="255">
        <f ca="1">IF(ROWS($1:5)&gt;COUNT(Dong14),"",OFFSET(TH!E$1,SMALL(Dong14,ROWS($1:5)),))</f>
        <v>42396</v>
      </c>
      <c r="D21" s="1039" t="str">
        <f ca="1">IF(ROWS($1:5)&gt;COUNT(Dong14),"",OFFSET(TH!F$1,SMALL(Dong14,ROWS($1:5)),))</f>
        <v>Q11 - Chiết khấu bộ chứng từ - SAY D.S</v>
      </c>
      <c r="E21" s="1037" t="str">
        <f ca="1">IF(ROWS($1:5)&gt;COUNT(Dong14),"",IF(OFFSET(TH!N$1,SMALL(Dong14,ROWS($1:5)),)="131",OFFSET(TH!O$1,SMALL(Dong14,ROWS($1:5)),),OFFSET(TH!N$1,SMALL(Dong14,ROWS($1:5)),)))</f>
        <v>1122</v>
      </c>
      <c r="F21" s="1037">
        <f ca="1">IF(ROWS($1:5)&gt;COUNT(Dong14),0,OFFSET(TH!L$1,SMALL(Dong14,ROWS($1:5)),))</f>
        <v>22310</v>
      </c>
      <c r="G21" s="1037"/>
      <c r="H21" s="1038">
        <f ca="1">IF(ROWS($1:5)&gt;COUNT(Dong14),0,IF(OFFSET(TH!N$1,SMALL(Dong14,ROWS($1:5)),)="131",OFFSET(TH!K$1,SMALL(Dong14,ROWS($1:5)),),0))</f>
        <v>0</v>
      </c>
      <c r="I21" s="1037">
        <f ca="1">IF(ROWS($1:5)&gt;COUNT(Dong14),0,IF(OFFSET(TH!N$1,SMALL(Dong14,ROWS($1:5)),)="131",OFFSET(TH!M$1,SMALL(Dong14,ROWS($1:5)),),0))</f>
        <v>0</v>
      </c>
      <c r="J21" s="1038">
        <f ca="1">IF(ROWS($1:5)&gt;COUNT(Dong14),0,IF(OFFSET(TH!O$1,SMALL(Dong14,ROWS($1:5)),)="131",OFFSET(TH!K$1,SMALL(Dong14,ROWS($1:5)),),0))</f>
        <v>39553.120000000003</v>
      </c>
      <c r="K21" s="1037">
        <f ca="1">IF(ROWS($1:5)&gt;COUNT(Dong14),0,IF(OFFSET(TH!O$1,SMALL(Dong14,ROWS($1:5)),)="131",OFFSET(TH!M$1,SMALL(Dong14,ROWS($1:5)),),0))</f>
        <v>882430107</v>
      </c>
      <c r="L21" s="1031">
        <f t="shared" ca="1" si="1"/>
        <v>2160</v>
      </c>
      <c r="M21" s="1030">
        <f t="shared" ca="1" si="2"/>
        <v>50486400</v>
      </c>
      <c r="N21" s="1031">
        <f t="shared" ca="1" si="3"/>
        <v>0</v>
      </c>
      <c r="O21" s="1030">
        <f t="shared" ca="1" si="4"/>
        <v>0</v>
      </c>
    </row>
    <row r="22" spans="1:15" s="5" customFormat="1" ht="16.5" customHeight="1">
      <c r="A22" s="255" t="str">
        <f t="shared" ca="1" si="0"/>
        <v/>
      </c>
      <c r="B22" s="266" t="str">
        <f ca="1">IF(ROWS($1:6)&gt;COUNT(Dong14),"",OFFSET(TH!D$1,SMALL(Dong14,ROWS($1:6)),))</f>
        <v/>
      </c>
      <c r="C22" s="255" t="str">
        <f ca="1">IF(ROWS($1:6)&gt;COUNT(Dong14),"",OFFSET(TH!E$1,SMALL(Dong14,ROWS($1:6)),))</f>
        <v/>
      </c>
      <c r="D22" s="1039" t="str">
        <f ca="1">IF(ROWS($1:6)&gt;COUNT(Dong14),"",OFFSET(TH!F$1,SMALL(Dong14,ROWS($1:6)),))</f>
        <v/>
      </c>
      <c r="E22" s="1037" t="str">
        <f ca="1">IF(ROWS($1:6)&gt;COUNT(Dong14),"",IF(OFFSET(TH!N$1,SMALL(Dong14,ROWS($1:6)),)="131",OFFSET(TH!O$1,SMALL(Dong14,ROWS($1:6)),),OFFSET(TH!N$1,SMALL(Dong14,ROWS($1:6)),)))</f>
        <v/>
      </c>
      <c r="F22" s="1037">
        <f ca="1">IF(ROWS($1:6)&gt;COUNT(Dong14),0,OFFSET(TH!L$1,SMALL(Dong14,ROWS($1:6)),))</f>
        <v>0</v>
      </c>
      <c r="G22" s="1037"/>
      <c r="H22" s="1038">
        <f ca="1">IF(ROWS($1:6)&gt;COUNT(Dong14),0,IF(OFFSET(TH!N$1,SMALL(Dong14,ROWS($1:6)),)="131",OFFSET(TH!K$1,SMALL(Dong14,ROWS($1:6)),),0))</f>
        <v>0</v>
      </c>
      <c r="I22" s="1037">
        <f ca="1">IF(ROWS($1:6)&gt;COUNT(Dong14),0,IF(OFFSET(TH!N$1,SMALL(Dong14,ROWS($1:6)),)="131",OFFSET(TH!M$1,SMALL(Dong14,ROWS($1:6)),),0))</f>
        <v>0</v>
      </c>
      <c r="J22" s="1038">
        <f ca="1">IF(ROWS($1:6)&gt;COUNT(Dong14),0,IF(OFFSET(TH!O$1,SMALL(Dong14,ROWS($1:6)),)="131",OFFSET(TH!K$1,SMALL(Dong14,ROWS($1:6)),),0))</f>
        <v>0</v>
      </c>
      <c r="K22" s="1037">
        <f ca="1">IF(ROWS($1:6)&gt;COUNT(Dong14),0,IF(OFFSET(TH!O$1,SMALL(Dong14,ROWS($1:6)),)="131",OFFSET(TH!M$1,SMALL(Dong14,ROWS($1:6)),),0))</f>
        <v>0</v>
      </c>
      <c r="L22" s="1031">
        <f t="shared" ca="1" si="1"/>
        <v>0</v>
      </c>
      <c r="M22" s="1030">
        <f t="shared" ca="1" si="2"/>
        <v>0</v>
      </c>
      <c r="N22" s="1031">
        <f t="shared" ca="1" si="3"/>
        <v>0</v>
      </c>
      <c r="O22" s="1030">
        <f t="shared" ca="1" si="4"/>
        <v>0</v>
      </c>
    </row>
    <row r="23" spans="1:15" s="5" customFormat="1" ht="16.5" customHeight="1">
      <c r="A23" s="255" t="str">
        <f t="shared" ca="1" si="0"/>
        <v/>
      </c>
      <c r="B23" s="266" t="str">
        <f ca="1">IF(ROWS($1:7)&gt;COUNT(Dong14),"",OFFSET(TH!D$1,SMALL(Dong14,ROWS($1:7)),))</f>
        <v/>
      </c>
      <c r="C23" s="255" t="str">
        <f ca="1">IF(ROWS($1:7)&gt;COUNT(Dong14),"",OFFSET(TH!E$1,SMALL(Dong14,ROWS($1:7)),))</f>
        <v/>
      </c>
      <c r="D23" s="1039" t="str">
        <f ca="1">IF(ROWS($1:7)&gt;COUNT(Dong14),"",OFFSET(TH!F$1,SMALL(Dong14,ROWS($1:7)),))</f>
        <v/>
      </c>
      <c r="E23" s="1037" t="str">
        <f ca="1">IF(ROWS($1:7)&gt;COUNT(Dong14),"",IF(OFFSET(TH!N$1,SMALL(Dong14,ROWS($1:7)),)="131",OFFSET(TH!O$1,SMALL(Dong14,ROWS($1:7)),),OFFSET(TH!N$1,SMALL(Dong14,ROWS($1:7)),)))</f>
        <v/>
      </c>
      <c r="F23" s="1037">
        <f ca="1">IF(ROWS($1:7)&gt;COUNT(Dong14),0,OFFSET(TH!L$1,SMALL(Dong14,ROWS($1:7)),))</f>
        <v>0</v>
      </c>
      <c r="G23" s="1037"/>
      <c r="H23" s="1038">
        <f ca="1">IF(ROWS($1:7)&gt;COUNT(Dong14),0,IF(OFFSET(TH!N$1,SMALL(Dong14,ROWS($1:7)),)="131",OFFSET(TH!K$1,SMALL(Dong14,ROWS($1:7)),),0))</f>
        <v>0</v>
      </c>
      <c r="I23" s="1037">
        <f ca="1">IF(ROWS($1:7)&gt;COUNT(Dong14),0,IF(OFFSET(TH!N$1,SMALL(Dong14,ROWS($1:7)),)="131",OFFSET(TH!M$1,SMALL(Dong14,ROWS($1:7)),),0))</f>
        <v>0</v>
      </c>
      <c r="J23" s="1038">
        <f ca="1">IF(ROWS($1:7)&gt;COUNT(Dong14),0,IF(OFFSET(TH!O$1,SMALL(Dong14,ROWS($1:7)),)="131",OFFSET(TH!K$1,SMALL(Dong14,ROWS($1:7)),),0))</f>
        <v>0</v>
      </c>
      <c r="K23" s="1037">
        <f ca="1">IF(ROWS($1:7)&gt;COUNT(Dong14),0,IF(OFFSET(TH!O$1,SMALL(Dong14,ROWS($1:7)),)="131",OFFSET(TH!M$1,SMALL(Dong14,ROWS($1:7)),),0))</f>
        <v>0</v>
      </c>
      <c r="L23" s="1031">
        <f t="shared" ca="1" si="1"/>
        <v>0</v>
      </c>
      <c r="M23" s="1030">
        <f t="shared" ca="1" si="2"/>
        <v>0</v>
      </c>
      <c r="N23" s="1031">
        <f t="shared" ca="1" si="3"/>
        <v>0</v>
      </c>
      <c r="O23" s="1030">
        <f t="shared" ca="1" si="4"/>
        <v>0</v>
      </c>
    </row>
    <row r="24" spans="1:15" s="5" customFormat="1" ht="16.5" customHeight="1">
      <c r="A24" s="255" t="str">
        <f t="shared" ca="1" si="0"/>
        <v/>
      </c>
      <c r="B24" s="266" t="str">
        <f ca="1">IF(ROWS($1:8)&gt;COUNT(Dong14),"",OFFSET(TH!D$1,SMALL(Dong14,ROWS($1:8)),))</f>
        <v/>
      </c>
      <c r="C24" s="255" t="str">
        <f ca="1">IF(ROWS($1:8)&gt;COUNT(Dong14),"",OFFSET(TH!E$1,SMALL(Dong14,ROWS($1:8)),))</f>
        <v/>
      </c>
      <c r="D24" s="1039" t="str">
        <f ca="1">IF(ROWS($1:8)&gt;COUNT(Dong14),"",OFFSET(TH!F$1,SMALL(Dong14,ROWS($1:8)),))</f>
        <v/>
      </c>
      <c r="E24" s="1037" t="str">
        <f ca="1">IF(ROWS($1:8)&gt;COUNT(Dong14),"",IF(OFFSET(TH!N$1,SMALL(Dong14,ROWS($1:8)),)="131",OFFSET(TH!O$1,SMALL(Dong14,ROWS($1:8)),),OFFSET(TH!N$1,SMALL(Dong14,ROWS($1:8)),)))</f>
        <v/>
      </c>
      <c r="F24" s="1037">
        <f ca="1">IF(ROWS($1:8)&gt;COUNT(Dong14),0,OFFSET(TH!L$1,SMALL(Dong14,ROWS($1:8)),))</f>
        <v>0</v>
      </c>
      <c r="G24" s="1037"/>
      <c r="H24" s="1038">
        <f ca="1">IF(ROWS($1:8)&gt;COUNT(Dong14),0,IF(OFFSET(TH!N$1,SMALL(Dong14,ROWS($1:8)),)="131",OFFSET(TH!K$1,SMALL(Dong14,ROWS($1:8)),),0))</f>
        <v>0</v>
      </c>
      <c r="I24" s="1037">
        <f ca="1">IF(ROWS($1:8)&gt;COUNT(Dong14),0,IF(OFFSET(TH!N$1,SMALL(Dong14,ROWS($1:8)),)="131",OFFSET(TH!M$1,SMALL(Dong14,ROWS($1:8)),),0))</f>
        <v>0</v>
      </c>
      <c r="J24" s="1038">
        <f ca="1">IF(ROWS($1:8)&gt;COUNT(Dong14),0,IF(OFFSET(TH!O$1,SMALL(Dong14,ROWS($1:8)),)="131",OFFSET(TH!K$1,SMALL(Dong14,ROWS($1:8)),),0))</f>
        <v>0</v>
      </c>
      <c r="K24" s="1037">
        <f ca="1">IF(ROWS($1:8)&gt;COUNT(Dong14),0,IF(OFFSET(TH!O$1,SMALL(Dong14,ROWS($1:8)),)="131",OFFSET(TH!M$1,SMALL(Dong14,ROWS($1:8)),),0))</f>
        <v>0</v>
      </c>
      <c r="L24" s="1031">
        <f t="shared" ca="1" si="1"/>
        <v>0</v>
      </c>
      <c r="M24" s="1030">
        <f t="shared" ca="1" si="2"/>
        <v>0</v>
      </c>
      <c r="N24" s="1031">
        <f t="shared" ca="1" si="3"/>
        <v>0</v>
      </c>
      <c r="O24" s="1030">
        <f t="shared" ca="1" si="4"/>
        <v>0</v>
      </c>
    </row>
    <row r="25" spans="1:15" s="5" customFormat="1" ht="16.5" customHeight="1">
      <c r="A25" s="255" t="str">
        <f t="shared" ca="1" si="0"/>
        <v/>
      </c>
      <c r="B25" s="266" t="str">
        <f ca="1">IF(ROWS($1:9)&gt;COUNT(Dong14),"",OFFSET(TH!D$1,SMALL(Dong14,ROWS($1:9)),))</f>
        <v/>
      </c>
      <c r="C25" s="255" t="str">
        <f ca="1">IF(ROWS($1:9)&gt;COUNT(Dong14),"",OFFSET(TH!E$1,SMALL(Dong14,ROWS($1:9)),))</f>
        <v/>
      </c>
      <c r="D25" s="1039" t="str">
        <f ca="1">IF(ROWS($1:9)&gt;COUNT(Dong14),"",OFFSET(TH!F$1,SMALL(Dong14,ROWS($1:9)),))</f>
        <v/>
      </c>
      <c r="E25" s="1037" t="str">
        <f ca="1">IF(ROWS($1:9)&gt;COUNT(Dong14),"",IF(OFFSET(TH!N$1,SMALL(Dong14,ROWS($1:9)),)="131",OFFSET(TH!O$1,SMALL(Dong14,ROWS($1:9)),),OFFSET(TH!N$1,SMALL(Dong14,ROWS($1:9)),)))</f>
        <v/>
      </c>
      <c r="F25" s="1037">
        <f ca="1">IF(ROWS($1:9)&gt;COUNT(Dong14),0,OFFSET(TH!L$1,SMALL(Dong14,ROWS($1:9)),))</f>
        <v>0</v>
      </c>
      <c r="G25" s="1037"/>
      <c r="H25" s="1038">
        <f ca="1">IF(ROWS($1:9)&gt;COUNT(Dong14),0,IF(OFFSET(TH!N$1,SMALL(Dong14,ROWS($1:9)),)="131",OFFSET(TH!K$1,SMALL(Dong14,ROWS($1:9)),),0))</f>
        <v>0</v>
      </c>
      <c r="I25" s="1037">
        <f ca="1">IF(ROWS($1:9)&gt;COUNT(Dong14),0,IF(OFFSET(TH!N$1,SMALL(Dong14,ROWS($1:9)),)="131",OFFSET(TH!M$1,SMALL(Dong14,ROWS($1:9)),),0))</f>
        <v>0</v>
      </c>
      <c r="J25" s="1038">
        <f ca="1">IF(ROWS($1:9)&gt;COUNT(Dong14),0,IF(OFFSET(TH!O$1,SMALL(Dong14,ROWS($1:9)),)="131",OFFSET(TH!K$1,SMALL(Dong14,ROWS($1:9)),),0))</f>
        <v>0</v>
      </c>
      <c r="K25" s="1037">
        <f ca="1">IF(ROWS($1:9)&gt;COUNT(Dong14),0,IF(OFFSET(TH!O$1,SMALL(Dong14,ROWS($1:9)),)="131",OFFSET(TH!M$1,SMALL(Dong14,ROWS($1:9)),),0))</f>
        <v>0</v>
      </c>
      <c r="L25" s="1031">
        <f t="shared" ca="1" si="1"/>
        <v>0</v>
      </c>
      <c r="M25" s="1030">
        <f t="shared" ca="1" si="2"/>
        <v>0</v>
      </c>
      <c r="N25" s="1031">
        <f t="shared" ca="1" si="3"/>
        <v>0</v>
      </c>
      <c r="O25" s="1030">
        <f t="shared" ca="1" si="4"/>
        <v>0</v>
      </c>
    </row>
    <row r="26" spans="1:15" s="5" customFormat="1" ht="16.5" customHeight="1">
      <c r="A26" s="255" t="str">
        <f t="shared" ca="1" si="0"/>
        <v/>
      </c>
      <c r="B26" s="266" t="str">
        <f ca="1">IF(ROWS($1:10)&gt;COUNT(Dong14),"",OFFSET(TH!D$1,SMALL(Dong14,ROWS($1:10)),))</f>
        <v/>
      </c>
      <c r="C26" s="255" t="str">
        <f ca="1">IF(ROWS($1:10)&gt;COUNT(Dong14),"",OFFSET(TH!E$1,SMALL(Dong14,ROWS($1:10)),))</f>
        <v/>
      </c>
      <c r="D26" s="1039" t="str">
        <f ca="1">IF(ROWS($1:10)&gt;COUNT(Dong14),"",OFFSET(TH!F$1,SMALL(Dong14,ROWS($1:10)),))</f>
        <v/>
      </c>
      <c r="E26" s="1037" t="str">
        <f ca="1">IF(ROWS($1:10)&gt;COUNT(Dong14),"",IF(OFFSET(TH!N$1,SMALL(Dong14,ROWS($1:10)),)="131",OFFSET(TH!O$1,SMALL(Dong14,ROWS($1:10)),),OFFSET(TH!N$1,SMALL(Dong14,ROWS($1:10)),)))</f>
        <v/>
      </c>
      <c r="F26" s="1037">
        <f ca="1">IF(ROWS($1:10)&gt;COUNT(Dong14),0,OFFSET(TH!L$1,SMALL(Dong14,ROWS($1:10)),))</f>
        <v>0</v>
      </c>
      <c r="G26" s="1037"/>
      <c r="H26" s="1038">
        <f ca="1">IF(ROWS($1:10)&gt;COUNT(Dong14),0,IF(OFFSET(TH!N$1,SMALL(Dong14,ROWS($1:10)),)="131",OFFSET(TH!K$1,SMALL(Dong14,ROWS($1:10)),),0))</f>
        <v>0</v>
      </c>
      <c r="I26" s="1037">
        <f ca="1">IF(ROWS($1:10)&gt;COUNT(Dong14),0,IF(OFFSET(TH!N$1,SMALL(Dong14,ROWS($1:10)),)="131",OFFSET(TH!M$1,SMALL(Dong14,ROWS($1:10)),),0))</f>
        <v>0</v>
      </c>
      <c r="J26" s="1038">
        <f ca="1">IF(ROWS($1:10)&gt;COUNT(Dong14),0,IF(OFFSET(TH!O$1,SMALL(Dong14,ROWS($1:10)),)="131",OFFSET(TH!K$1,SMALL(Dong14,ROWS($1:10)),),0))</f>
        <v>0</v>
      </c>
      <c r="K26" s="1037">
        <f ca="1">IF(ROWS($1:10)&gt;COUNT(Dong14),0,IF(OFFSET(TH!O$1,SMALL(Dong14,ROWS($1:10)),)="131",OFFSET(TH!M$1,SMALL(Dong14,ROWS($1:10)),),0))</f>
        <v>0</v>
      </c>
      <c r="L26" s="1031">
        <f t="shared" ca="1" si="1"/>
        <v>0</v>
      </c>
      <c r="M26" s="1030">
        <f t="shared" ca="1" si="2"/>
        <v>0</v>
      </c>
      <c r="N26" s="1031">
        <f t="shared" ca="1" si="3"/>
        <v>0</v>
      </c>
      <c r="O26" s="1030">
        <f t="shared" ca="1" si="4"/>
        <v>0</v>
      </c>
    </row>
    <row r="27" spans="1:15" s="5" customFormat="1" ht="16.5" customHeight="1">
      <c r="A27" s="255" t="str">
        <f t="shared" ca="1" si="0"/>
        <v/>
      </c>
      <c r="B27" s="266" t="str">
        <f ca="1">IF(ROWS($1:11)&gt;COUNT(Dong14),"",OFFSET(TH!D$1,SMALL(Dong14,ROWS($1:11)),))</f>
        <v/>
      </c>
      <c r="C27" s="255" t="str">
        <f ca="1">IF(ROWS($1:11)&gt;COUNT(Dong14),"",OFFSET(TH!E$1,SMALL(Dong14,ROWS($1:11)),))</f>
        <v/>
      </c>
      <c r="D27" s="1039" t="str">
        <f ca="1">IF(ROWS($1:11)&gt;COUNT(Dong14),"",OFFSET(TH!F$1,SMALL(Dong14,ROWS($1:11)),))</f>
        <v/>
      </c>
      <c r="E27" s="1037" t="str">
        <f ca="1">IF(ROWS($1:11)&gt;COUNT(Dong14),"",IF(OFFSET(TH!N$1,SMALL(Dong14,ROWS($1:11)),)="131",OFFSET(TH!O$1,SMALL(Dong14,ROWS($1:11)),),OFFSET(TH!N$1,SMALL(Dong14,ROWS($1:11)),)))</f>
        <v/>
      </c>
      <c r="F27" s="1037">
        <f ca="1">IF(ROWS($1:11)&gt;COUNT(Dong14),0,OFFSET(TH!L$1,SMALL(Dong14,ROWS($1:11)),))</f>
        <v>0</v>
      </c>
      <c r="G27" s="1037"/>
      <c r="H27" s="1038">
        <f ca="1">IF(ROWS($1:11)&gt;COUNT(Dong14),0,IF(OFFSET(TH!N$1,SMALL(Dong14,ROWS($1:11)),)="131",OFFSET(TH!K$1,SMALL(Dong14,ROWS($1:11)),),0))</f>
        <v>0</v>
      </c>
      <c r="I27" s="1037">
        <f ca="1">IF(ROWS($1:11)&gt;COUNT(Dong14),0,IF(OFFSET(TH!N$1,SMALL(Dong14,ROWS($1:11)),)="131",OFFSET(TH!M$1,SMALL(Dong14,ROWS($1:11)),),0))</f>
        <v>0</v>
      </c>
      <c r="J27" s="1038">
        <f ca="1">IF(ROWS($1:11)&gt;COUNT(Dong14),0,IF(OFFSET(TH!O$1,SMALL(Dong14,ROWS($1:11)),)="131",OFFSET(TH!K$1,SMALL(Dong14,ROWS($1:11)),),0))</f>
        <v>0</v>
      </c>
      <c r="K27" s="1037">
        <f ca="1">IF(ROWS($1:11)&gt;COUNT(Dong14),0,IF(OFFSET(TH!O$1,SMALL(Dong14,ROWS($1:11)),)="131",OFFSET(TH!M$1,SMALL(Dong14,ROWS($1:11)),),0))</f>
        <v>0</v>
      </c>
      <c r="L27" s="1031">
        <f t="shared" ca="1" si="1"/>
        <v>0</v>
      </c>
      <c r="M27" s="1030">
        <f t="shared" ca="1" si="2"/>
        <v>0</v>
      </c>
      <c r="N27" s="1031">
        <f t="shared" ca="1" si="3"/>
        <v>0</v>
      </c>
      <c r="O27" s="1030">
        <f t="shared" ca="1" si="4"/>
        <v>0</v>
      </c>
    </row>
    <row r="28" spans="1:15" s="5" customFormat="1" ht="16.5" customHeight="1">
      <c r="A28" s="255" t="str">
        <f t="shared" ca="1" si="0"/>
        <v/>
      </c>
      <c r="B28" s="266" t="str">
        <f ca="1">IF(ROWS($1:12)&gt;COUNT(Dong14),"",OFFSET(TH!D$1,SMALL(Dong14,ROWS($1:12)),))</f>
        <v/>
      </c>
      <c r="C28" s="255" t="str">
        <f ca="1">IF(ROWS($1:12)&gt;COUNT(Dong14),"",OFFSET(TH!E$1,SMALL(Dong14,ROWS($1:12)),))</f>
        <v/>
      </c>
      <c r="D28" s="1039" t="str">
        <f ca="1">IF(ROWS($1:12)&gt;COUNT(Dong14),"",OFFSET(TH!F$1,SMALL(Dong14,ROWS($1:12)),))</f>
        <v/>
      </c>
      <c r="E28" s="1037" t="str">
        <f ca="1">IF(ROWS($1:12)&gt;COUNT(Dong14),"",IF(OFFSET(TH!N$1,SMALL(Dong14,ROWS($1:12)),)="131",OFFSET(TH!O$1,SMALL(Dong14,ROWS($1:12)),),OFFSET(TH!N$1,SMALL(Dong14,ROWS($1:12)),)))</f>
        <v/>
      </c>
      <c r="F28" s="1037">
        <f ca="1">IF(ROWS($1:12)&gt;COUNT(Dong14),0,OFFSET(TH!L$1,SMALL(Dong14,ROWS($1:12)),))</f>
        <v>0</v>
      </c>
      <c r="G28" s="1037"/>
      <c r="H28" s="1038">
        <f ca="1">IF(ROWS($1:12)&gt;COUNT(Dong14),0,IF(OFFSET(TH!N$1,SMALL(Dong14,ROWS($1:12)),)="131",OFFSET(TH!K$1,SMALL(Dong14,ROWS($1:12)),),0))</f>
        <v>0</v>
      </c>
      <c r="I28" s="1037">
        <f ca="1">IF(ROWS($1:12)&gt;COUNT(Dong14),0,IF(OFFSET(TH!N$1,SMALL(Dong14,ROWS($1:12)),)="131",OFFSET(TH!M$1,SMALL(Dong14,ROWS($1:12)),),0))</f>
        <v>0</v>
      </c>
      <c r="J28" s="1038">
        <f ca="1">IF(ROWS($1:12)&gt;COUNT(Dong14),0,IF(OFFSET(TH!O$1,SMALL(Dong14,ROWS($1:12)),)="131",OFFSET(TH!K$1,SMALL(Dong14,ROWS($1:12)),),0))</f>
        <v>0</v>
      </c>
      <c r="K28" s="1037">
        <f ca="1">IF(ROWS($1:12)&gt;COUNT(Dong14),0,IF(OFFSET(TH!O$1,SMALL(Dong14,ROWS($1:12)),)="131",OFFSET(TH!M$1,SMALL(Dong14,ROWS($1:12)),),0))</f>
        <v>0</v>
      </c>
      <c r="L28" s="1031">
        <f t="shared" ca="1" si="1"/>
        <v>0</v>
      </c>
      <c r="M28" s="1030">
        <f t="shared" ca="1" si="2"/>
        <v>0</v>
      </c>
      <c r="N28" s="1031">
        <f t="shared" ca="1" si="3"/>
        <v>0</v>
      </c>
      <c r="O28" s="1030">
        <f t="shared" ca="1" si="4"/>
        <v>0</v>
      </c>
    </row>
    <row r="29" spans="1:15" s="5" customFormat="1" ht="16.5" customHeight="1">
      <c r="A29" s="255" t="str">
        <f t="shared" ca="1" si="0"/>
        <v/>
      </c>
      <c r="B29" s="266" t="str">
        <f ca="1">IF(ROWS($1:13)&gt;COUNT(Dong14),"",OFFSET(TH!D$1,SMALL(Dong14,ROWS($1:13)),))</f>
        <v/>
      </c>
      <c r="C29" s="255" t="str">
        <f ca="1">IF(ROWS($1:13)&gt;COUNT(Dong14),"",OFFSET(TH!E$1,SMALL(Dong14,ROWS($1:13)),))</f>
        <v/>
      </c>
      <c r="D29" s="1039" t="str">
        <f ca="1">IF(ROWS($1:13)&gt;COUNT(Dong14),"",OFFSET(TH!F$1,SMALL(Dong14,ROWS($1:13)),))</f>
        <v/>
      </c>
      <c r="E29" s="1037" t="str">
        <f ca="1">IF(ROWS($1:13)&gt;COUNT(Dong14),"",IF(OFFSET(TH!N$1,SMALL(Dong14,ROWS($1:13)),)="131",OFFSET(TH!O$1,SMALL(Dong14,ROWS($1:13)),),OFFSET(TH!N$1,SMALL(Dong14,ROWS($1:13)),)))</f>
        <v/>
      </c>
      <c r="F29" s="1037">
        <f ca="1">IF(ROWS($1:13)&gt;COUNT(Dong14),0,OFFSET(TH!L$1,SMALL(Dong14,ROWS($1:13)),))</f>
        <v>0</v>
      </c>
      <c r="G29" s="1037"/>
      <c r="H29" s="1038">
        <f ca="1">IF(ROWS($1:13)&gt;COUNT(Dong14),0,IF(OFFSET(TH!N$1,SMALL(Dong14,ROWS($1:13)),)="131",OFFSET(TH!K$1,SMALL(Dong14,ROWS($1:13)),),0))</f>
        <v>0</v>
      </c>
      <c r="I29" s="1037">
        <f ca="1">IF(ROWS($1:13)&gt;COUNT(Dong14),0,IF(OFFSET(TH!N$1,SMALL(Dong14,ROWS($1:13)),)="131",OFFSET(TH!M$1,SMALL(Dong14,ROWS($1:13)),),0))</f>
        <v>0</v>
      </c>
      <c r="J29" s="1038">
        <f ca="1">IF(ROWS($1:13)&gt;COUNT(Dong14),0,IF(OFFSET(TH!O$1,SMALL(Dong14,ROWS($1:13)),)="131",OFFSET(TH!K$1,SMALL(Dong14,ROWS($1:13)),),0))</f>
        <v>0</v>
      </c>
      <c r="K29" s="1037">
        <f ca="1">IF(ROWS($1:13)&gt;COUNT(Dong14),0,IF(OFFSET(TH!O$1,SMALL(Dong14,ROWS($1:13)),)="131",OFFSET(TH!M$1,SMALL(Dong14,ROWS($1:13)),),0))</f>
        <v>0</v>
      </c>
      <c r="L29" s="1031">
        <f t="shared" ca="1" si="1"/>
        <v>0</v>
      </c>
      <c r="M29" s="1030">
        <f t="shared" ca="1" si="2"/>
        <v>0</v>
      </c>
      <c r="N29" s="1031">
        <f t="shared" ca="1" si="3"/>
        <v>0</v>
      </c>
      <c r="O29" s="1030">
        <f t="shared" ca="1" si="4"/>
        <v>0</v>
      </c>
    </row>
    <row r="30" spans="1:15" s="5" customFormat="1" ht="16.5" customHeight="1">
      <c r="A30" s="255" t="str">
        <f t="shared" ca="1" si="0"/>
        <v/>
      </c>
      <c r="B30" s="266" t="str">
        <f ca="1">IF(ROWS($1:14)&gt;COUNT(Dong14),"",OFFSET(TH!D$1,SMALL(Dong14,ROWS($1:14)),))</f>
        <v/>
      </c>
      <c r="C30" s="255" t="str">
        <f ca="1">IF(ROWS($1:14)&gt;COUNT(Dong14),"",OFFSET(TH!E$1,SMALL(Dong14,ROWS($1:14)),))</f>
        <v/>
      </c>
      <c r="D30" s="1039" t="str">
        <f ca="1">IF(ROWS($1:14)&gt;COUNT(Dong14),"",OFFSET(TH!F$1,SMALL(Dong14,ROWS($1:14)),))</f>
        <v/>
      </c>
      <c r="E30" s="1037" t="str">
        <f ca="1">IF(ROWS($1:14)&gt;COUNT(Dong14),"",IF(OFFSET(TH!N$1,SMALL(Dong14,ROWS($1:14)),)="131",OFFSET(TH!O$1,SMALL(Dong14,ROWS($1:14)),),OFFSET(TH!N$1,SMALL(Dong14,ROWS($1:14)),)))</f>
        <v/>
      </c>
      <c r="F30" s="1037">
        <f ca="1">IF(ROWS($1:14)&gt;COUNT(Dong14),0,OFFSET(TH!L$1,SMALL(Dong14,ROWS($1:14)),))</f>
        <v>0</v>
      </c>
      <c r="G30" s="1037"/>
      <c r="H30" s="1038">
        <f ca="1">IF(ROWS($1:14)&gt;COUNT(Dong14),0,IF(OFFSET(TH!N$1,SMALL(Dong14,ROWS($1:14)),)="131",OFFSET(TH!K$1,SMALL(Dong14,ROWS($1:14)),),0))</f>
        <v>0</v>
      </c>
      <c r="I30" s="1037">
        <f ca="1">IF(ROWS($1:14)&gt;COUNT(Dong14),0,IF(OFFSET(TH!N$1,SMALL(Dong14,ROWS($1:14)),)="131",OFFSET(TH!M$1,SMALL(Dong14,ROWS($1:14)),),0))</f>
        <v>0</v>
      </c>
      <c r="J30" s="1038">
        <f ca="1">IF(ROWS($1:14)&gt;COUNT(Dong14),0,IF(OFFSET(TH!O$1,SMALL(Dong14,ROWS($1:14)),)="131",OFFSET(TH!K$1,SMALL(Dong14,ROWS($1:14)),),0))</f>
        <v>0</v>
      </c>
      <c r="K30" s="1037">
        <f ca="1">IF(ROWS($1:14)&gt;COUNT(Dong14),0,IF(OFFSET(TH!O$1,SMALL(Dong14,ROWS($1:14)),)="131",OFFSET(TH!M$1,SMALL(Dong14,ROWS($1:14)),),0))</f>
        <v>0</v>
      </c>
      <c r="L30" s="1031">
        <f t="shared" ca="1" si="1"/>
        <v>0</v>
      </c>
      <c r="M30" s="1030">
        <f t="shared" ca="1" si="2"/>
        <v>0</v>
      </c>
      <c r="N30" s="1031">
        <f t="shared" ca="1" si="3"/>
        <v>0</v>
      </c>
      <c r="O30" s="1030">
        <f t="shared" ca="1" si="4"/>
        <v>0</v>
      </c>
    </row>
    <row r="31" spans="1:15" s="5" customFormat="1" ht="16.5" customHeight="1">
      <c r="A31" s="255" t="str">
        <f t="shared" ca="1" si="0"/>
        <v/>
      </c>
      <c r="B31" s="266" t="str">
        <f ca="1">IF(ROWS($1:15)&gt;COUNT(Dong14),"",OFFSET(TH!D$1,SMALL(Dong14,ROWS($1:15)),))</f>
        <v/>
      </c>
      <c r="C31" s="255" t="str">
        <f ca="1">IF(ROWS($1:15)&gt;COUNT(Dong14),"",OFFSET(TH!E$1,SMALL(Dong14,ROWS($1:15)),))</f>
        <v/>
      </c>
      <c r="D31" s="1039" t="str">
        <f ca="1">IF(ROWS($1:15)&gt;COUNT(Dong14),"",OFFSET(TH!F$1,SMALL(Dong14,ROWS($1:15)),))</f>
        <v/>
      </c>
      <c r="E31" s="1037" t="str">
        <f ca="1">IF(ROWS($1:15)&gt;COUNT(Dong14),"",IF(OFFSET(TH!N$1,SMALL(Dong14,ROWS($1:15)),)="131",OFFSET(TH!O$1,SMALL(Dong14,ROWS($1:15)),),OFFSET(TH!N$1,SMALL(Dong14,ROWS($1:15)),)))</f>
        <v/>
      </c>
      <c r="F31" s="1037">
        <f ca="1">IF(ROWS($1:15)&gt;COUNT(Dong14),0,OFFSET(TH!L$1,SMALL(Dong14,ROWS($1:15)),))</f>
        <v>0</v>
      </c>
      <c r="G31" s="1037"/>
      <c r="H31" s="1038">
        <f ca="1">IF(ROWS($1:15)&gt;COUNT(Dong14),0,IF(OFFSET(TH!N$1,SMALL(Dong14,ROWS($1:15)),)="131",OFFSET(TH!K$1,SMALL(Dong14,ROWS($1:15)),),0))</f>
        <v>0</v>
      </c>
      <c r="I31" s="1037">
        <f ca="1">IF(ROWS($1:15)&gt;COUNT(Dong14),0,IF(OFFSET(TH!N$1,SMALL(Dong14,ROWS($1:15)),)="131",OFFSET(TH!M$1,SMALL(Dong14,ROWS($1:15)),),0))</f>
        <v>0</v>
      </c>
      <c r="J31" s="1038">
        <f ca="1">IF(ROWS($1:15)&gt;COUNT(Dong14),0,IF(OFFSET(TH!O$1,SMALL(Dong14,ROWS($1:15)),)="131",OFFSET(TH!K$1,SMALL(Dong14,ROWS($1:15)),),0))</f>
        <v>0</v>
      </c>
      <c r="K31" s="1037">
        <f ca="1">IF(ROWS($1:15)&gt;COUNT(Dong14),0,IF(OFFSET(TH!O$1,SMALL(Dong14,ROWS($1:15)),)="131",OFFSET(TH!M$1,SMALL(Dong14,ROWS($1:15)),),0))</f>
        <v>0</v>
      </c>
      <c r="L31" s="1031">
        <f t="shared" ca="1" si="1"/>
        <v>0</v>
      </c>
      <c r="M31" s="1030">
        <f t="shared" ca="1" si="2"/>
        <v>0</v>
      </c>
      <c r="N31" s="1031">
        <f t="shared" ca="1" si="3"/>
        <v>0</v>
      </c>
      <c r="O31" s="1030">
        <f t="shared" ca="1" si="4"/>
        <v>0</v>
      </c>
    </row>
    <row r="32" spans="1:15" s="5" customFormat="1" ht="16.5" customHeight="1">
      <c r="A32" s="255" t="str">
        <f t="shared" ca="1" si="0"/>
        <v/>
      </c>
      <c r="B32" s="266" t="str">
        <f ca="1">IF(ROWS($1:16)&gt;COUNT(Dong14),"",OFFSET(TH!D$1,SMALL(Dong14,ROWS($1:16)),))</f>
        <v/>
      </c>
      <c r="C32" s="255" t="str">
        <f ca="1">IF(ROWS($1:16)&gt;COUNT(Dong14),"",OFFSET(TH!E$1,SMALL(Dong14,ROWS($1:16)),))</f>
        <v/>
      </c>
      <c r="D32" s="1039" t="str">
        <f ca="1">IF(ROWS($1:16)&gt;COUNT(Dong14),"",OFFSET(TH!F$1,SMALL(Dong14,ROWS($1:16)),))</f>
        <v/>
      </c>
      <c r="E32" s="1037" t="str">
        <f ca="1">IF(ROWS($1:16)&gt;COUNT(Dong14),"",IF(OFFSET(TH!N$1,SMALL(Dong14,ROWS($1:16)),)="131",OFFSET(TH!O$1,SMALL(Dong14,ROWS($1:16)),),OFFSET(TH!N$1,SMALL(Dong14,ROWS($1:16)),)))</f>
        <v/>
      </c>
      <c r="F32" s="1037">
        <f ca="1">IF(ROWS($1:16)&gt;COUNT(Dong14),0,OFFSET(TH!L$1,SMALL(Dong14,ROWS($1:16)),))</f>
        <v>0</v>
      </c>
      <c r="G32" s="1037"/>
      <c r="H32" s="1038">
        <f ca="1">IF(ROWS($1:16)&gt;COUNT(Dong14),0,IF(OFFSET(TH!N$1,SMALL(Dong14,ROWS($1:16)),)="131",OFFSET(TH!K$1,SMALL(Dong14,ROWS($1:16)),),0))</f>
        <v>0</v>
      </c>
      <c r="I32" s="1037">
        <f ca="1">IF(ROWS($1:16)&gt;COUNT(Dong14),0,IF(OFFSET(TH!N$1,SMALL(Dong14,ROWS($1:16)),)="131",OFFSET(TH!M$1,SMALL(Dong14,ROWS($1:16)),),0))</f>
        <v>0</v>
      </c>
      <c r="J32" s="1038">
        <f ca="1">IF(ROWS($1:16)&gt;COUNT(Dong14),0,IF(OFFSET(TH!O$1,SMALL(Dong14,ROWS($1:16)),)="131",OFFSET(TH!K$1,SMALL(Dong14,ROWS($1:16)),),0))</f>
        <v>0</v>
      </c>
      <c r="K32" s="1037">
        <f ca="1">IF(ROWS($1:16)&gt;COUNT(Dong14),0,IF(OFFSET(TH!O$1,SMALL(Dong14,ROWS($1:16)),)="131",OFFSET(TH!M$1,SMALL(Dong14,ROWS($1:16)),),0))</f>
        <v>0</v>
      </c>
      <c r="L32" s="1031">
        <f t="shared" ca="1" si="1"/>
        <v>0</v>
      </c>
      <c r="M32" s="1030">
        <f t="shared" ca="1" si="2"/>
        <v>0</v>
      </c>
      <c r="N32" s="1031">
        <f t="shared" ca="1" si="3"/>
        <v>0</v>
      </c>
      <c r="O32" s="1030">
        <f t="shared" ca="1" si="4"/>
        <v>0</v>
      </c>
    </row>
    <row r="33" spans="1:15" s="5" customFormat="1" ht="16.5" customHeight="1">
      <c r="A33" s="255" t="str">
        <f t="shared" ca="1" si="0"/>
        <v/>
      </c>
      <c r="B33" s="266" t="str">
        <f ca="1">IF(ROWS($1:17)&gt;COUNT(Dong14),"",OFFSET(TH!D$1,SMALL(Dong14,ROWS($1:17)),))</f>
        <v/>
      </c>
      <c r="C33" s="255" t="str">
        <f ca="1">IF(ROWS($1:17)&gt;COUNT(Dong14),"",OFFSET(TH!E$1,SMALL(Dong14,ROWS($1:17)),))</f>
        <v/>
      </c>
      <c r="D33" s="1039" t="str">
        <f ca="1">IF(ROWS($1:17)&gt;COUNT(Dong14),"",OFFSET(TH!F$1,SMALL(Dong14,ROWS($1:17)),))</f>
        <v/>
      </c>
      <c r="E33" s="1037" t="str">
        <f ca="1">IF(ROWS($1:17)&gt;COUNT(Dong14),"",IF(OFFSET(TH!N$1,SMALL(Dong14,ROWS($1:17)),)="131",OFFSET(TH!O$1,SMALL(Dong14,ROWS($1:17)),),OFFSET(TH!N$1,SMALL(Dong14,ROWS($1:17)),)))</f>
        <v/>
      </c>
      <c r="F33" s="1037">
        <f ca="1">IF(ROWS($1:17)&gt;COUNT(Dong14),0,OFFSET(TH!L$1,SMALL(Dong14,ROWS($1:17)),))</f>
        <v>0</v>
      </c>
      <c r="G33" s="1037"/>
      <c r="H33" s="1038">
        <f ca="1">IF(ROWS($1:17)&gt;COUNT(Dong14),0,IF(OFFSET(TH!N$1,SMALL(Dong14,ROWS($1:17)),)="131",OFFSET(TH!K$1,SMALL(Dong14,ROWS($1:17)),),0))</f>
        <v>0</v>
      </c>
      <c r="I33" s="1037">
        <f ca="1">IF(ROWS($1:17)&gt;COUNT(Dong14),0,IF(OFFSET(TH!N$1,SMALL(Dong14,ROWS($1:17)),)="131",OFFSET(TH!M$1,SMALL(Dong14,ROWS($1:17)),),0))</f>
        <v>0</v>
      </c>
      <c r="J33" s="1038">
        <f ca="1">IF(ROWS($1:17)&gt;COUNT(Dong14),0,IF(OFFSET(TH!O$1,SMALL(Dong14,ROWS($1:17)),)="131",OFFSET(TH!K$1,SMALL(Dong14,ROWS($1:17)),),0))</f>
        <v>0</v>
      </c>
      <c r="K33" s="1037">
        <f ca="1">IF(ROWS($1:17)&gt;COUNT(Dong14),0,IF(OFFSET(TH!O$1,SMALL(Dong14,ROWS($1:17)),)="131",OFFSET(TH!M$1,SMALL(Dong14,ROWS($1:17)),),0))</f>
        <v>0</v>
      </c>
      <c r="L33" s="1031">
        <f t="shared" ca="1" si="1"/>
        <v>0</v>
      </c>
      <c r="M33" s="1030">
        <f t="shared" ca="1" si="2"/>
        <v>0</v>
      </c>
      <c r="N33" s="1031">
        <f t="shared" ca="1" si="3"/>
        <v>0</v>
      </c>
      <c r="O33" s="1030">
        <f t="shared" ca="1" si="4"/>
        <v>0</v>
      </c>
    </row>
    <row r="34" spans="1:15" s="5" customFormat="1" ht="16.5" customHeight="1">
      <c r="A34" s="255" t="str">
        <f t="shared" ca="1" si="0"/>
        <v/>
      </c>
      <c r="B34" s="266" t="str">
        <f ca="1">IF(ROWS($1:18)&gt;COUNT(Dong14),"",OFFSET(TH!D$1,SMALL(Dong14,ROWS($1:18)),))</f>
        <v/>
      </c>
      <c r="C34" s="255" t="str">
        <f ca="1">IF(ROWS($1:18)&gt;COUNT(Dong14),"",OFFSET(TH!E$1,SMALL(Dong14,ROWS($1:18)),))</f>
        <v/>
      </c>
      <c r="D34" s="1039" t="str">
        <f ca="1">IF(ROWS($1:18)&gt;COUNT(Dong14),"",OFFSET(TH!F$1,SMALL(Dong14,ROWS($1:18)),))</f>
        <v/>
      </c>
      <c r="E34" s="1037" t="str">
        <f ca="1">IF(ROWS($1:18)&gt;COUNT(Dong14),"",IF(OFFSET(TH!N$1,SMALL(Dong14,ROWS($1:18)),)="131",OFFSET(TH!O$1,SMALL(Dong14,ROWS($1:18)),),OFFSET(TH!N$1,SMALL(Dong14,ROWS($1:18)),)))</f>
        <v/>
      </c>
      <c r="F34" s="1037">
        <f ca="1">IF(ROWS($1:18)&gt;COUNT(Dong14),0,OFFSET(TH!L$1,SMALL(Dong14,ROWS($1:18)),))</f>
        <v>0</v>
      </c>
      <c r="G34" s="1037"/>
      <c r="H34" s="1038">
        <f ca="1">IF(ROWS($1:18)&gt;COUNT(Dong14),0,IF(OFFSET(TH!N$1,SMALL(Dong14,ROWS($1:18)),)="131",OFFSET(TH!K$1,SMALL(Dong14,ROWS($1:18)),),0))</f>
        <v>0</v>
      </c>
      <c r="I34" s="1037">
        <f ca="1">IF(ROWS($1:18)&gt;COUNT(Dong14),0,IF(OFFSET(TH!N$1,SMALL(Dong14,ROWS($1:18)),)="131",OFFSET(TH!M$1,SMALL(Dong14,ROWS($1:18)),),0))</f>
        <v>0</v>
      </c>
      <c r="J34" s="1038">
        <f ca="1">IF(ROWS($1:18)&gt;COUNT(Dong14),0,IF(OFFSET(TH!O$1,SMALL(Dong14,ROWS($1:18)),)="131",OFFSET(TH!K$1,SMALL(Dong14,ROWS($1:18)),),0))</f>
        <v>0</v>
      </c>
      <c r="K34" s="1037">
        <f ca="1">IF(ROWS($1:18)&gt;COUNT(Dong14),0,IF(OFFSET(TH!O$1,SMALL(Dong14,ROWS($1:18)),)="131",OFFSET(TH!M$1,SMALL(Dong14,ROWS($1:18)),),0))</f>
        <v>0</v>
      </c>
      <c r="L34" s="1031">
        <f t="shared" ca="1" si="1"/>
        <v>0</v>
      </c>
      <c r="M34" s="1030">
        <f t="shared" ca="1" si="2"/>
        <v>0</v>
      </c>
      <c r="N34" s="1031">
        <f t="shared" ca="1" si="3"/>
        <v>0</v>
      </c>
      <c r="O34" s="1030">
        <f t="shared" ca="1" si="4"/>
        <v>0</v>
      </c>
    </row>
    <row r="35" spans="1:15" s="5" customFormat="1" ht="16.5" customHeight="1">
      <c r="A35" s="255" t="str">
        <f t="shared" ca="1" si="0"/>
        <v/>
      </c>
      <c r="B35" s="266" t="str">
        <f ca="1">IF(ROWS($1:19)&gt;COUNT(Dong14),"",OFFSET(TH!D$1,SMALL(Dong14,ROWS($1:19)),))</f>
        <v/>
      </c>
      <c r="C35" s="255" t="str">
        <f ca="1">IF(ROWS($1:19)&gt;COUNT(Dong14),"",OFFSET(TH!E$1,SMALL(Dong14,ROWS($1:19)),))</f>
        <v/>
      </c>
      <c r="D35" s="1039" t="str">
        <f ca="1">IF(ROWS($1:19)&gt;COUNT(Dong14),"",OFFSET(TH!F$1,SMALL(Dong14,ROWS($1:19)),))</f>
        <v/>
      </c>
      <c r="E35" s="1037" t="str">
        <f ca="1">IF(ROWS($1:19)&gt;COUNT(Dong14),"",IF(OFFSET(TH!N$1,SMALL(Dong14,ROWS($1:19)),)="131",OFFSET(TH!O$1,SMALL(Dong14,ROWS($1:19)),),OFFSET(TH!N$1,SMALL(Dong14,ROWS($1:19)),)))</f>
        <v/>
      </c>
      <c r="F35" s="1037">
        <f ca="1">IF(ROWS($1:19)&gt;COUNT(Dong14),0,OFFSET(TH!L$1,SMALL(Dong14,ROWS($1:19)),))</f>
        <v>0</v>
      </c>
      <c r="G35" s="1037"/>
      <c r="H35" s="1038">
        <f ca="1">IF(ROWS($1:19)&gt;COUNT(Dong14),0,IF(OFFSET(TH!N$1,SMALL(Dong14,ROWS($1:19)),)="131",OFFSET(TH!K$1,SMALL(Dong14,ROWS($1:19)),),0))</f>
        <v>0</v>
      </c>
      <c r="I35" s="1037">
        <f ca="1">IF(ROWS($1:19)&gt;COUNT(Dong14),0,IF(OFFSET(TH!N$1,SMALL(Dong14,ROWS($1:19)),)="131",OFFSET(TH!M$1,SMALL(Dong14,ROWS($1:19)),),0))</f>
        <v>0</v>
      </c>
      <c r="J35" s="1038">
        <f ca="1">IF(ROWS($1:19)&gt;COUNT(Dong14),0,IF(OFFSET(TH!O$1,SMALL(Dong14,ROWS($1:19)),)="131",OFFSET(TH!K$1,SMALL(Dong14,ROWS($1:19)),),0))</f>
        <v>0</v>
      </c>
      <c r="K35" s="1037">
        <f ca="1">IF(ROWS($1:19)&gt;COUNT(Dong14),0,IF(OFFSET(TH!O$1,SMALL(Dong14,ROWS($1:19)),)="131",OFFSET(TH!M$1,SMALL(Dong14,ROWS($1:19)),),0))</f>
        <v>0</v>
      </c>
      <c r="L35" s="1031">
        <f t="shared" ca="1" si="1"/>
        <v>0</v>
      </c>
      <c r="M35" s="1030">
        <f t="shared" ca="1" si="2"/>
        <v>0</v>
      </c>
      <c r="N35" s="1031">
        <f t="shared" ca="1" si="3"/>
        <v>0</v>
      </c>
      <c r="O35" s="1030">
        <f t="shared" ca="1" si="4"/>
        <v>0</v>
      </c>
    </row>
    <row r="36" spans="1:15" s="5" customFormat="1" ht="16.5" customHeight="1">
      <c r="A36" s="255" t="str">
        <f t="shared" ca="1" si="0"/>
        <v/>
      </c>
      <c r="B36" s="266" t="str">
        <f ca="1">IF(ROWS($1:20)&gt;COUNT(Dong14),"",OFFSET(TH!D$1,SMALL(Dong14,ROWS($1:20)),))</f>
        <v/>
      </c>
      <c r="C36" s="255" t="str">
        <f ca="1">IF(ROWS($1:20)&gt;COUNT(Dong14),"",OFFSET(TH!E$1,SMALL(Dong14,ROWS($1:20)),))</f>
        <v/>
      </c>
      <c r="D36" s="1039" t="str">
        <f ca="1">IF(ROWS($1:20)&gt;COUNT(Dong14),"",OFFSET(TH!F$1,SMALL(Dong14,ROWS($1:20)),))</f>
        <v/>
      </c>
      <c r="E36" s="1037" t="str">
        <f ca="1">IF(ROWS($1:20)&gt;COUNT(Dong14),"",IF(OFFSET(TH!N$1,SMALL(Dong14,ROWS($1:20)),)="131",OFFSET(TH!O$1,SMALL(Dong14,ROWS($1:20)),),OFFSET(TH!N$1,SMALL(Dong14,ROWS($1:20)),)))</f>
        <v/>
      </c>
      <c r="F36" s="1037">
        <f ca="1">IF(ROWS($1:20)&gt;COUNT(Dong14),0,OFFSET(TH!L$1,SMALL(Dong14,ROWS($1:20)),))</f>
        <v>0</v>
      </c>
      <c r="G36" s="1037"/>
      <c r="H36" s="1038">
        <f ca="1">IF(ROWS($1:20)&gt;COUNT(Dong14),0,IF(OFFSET(TH!N$1,SMALL(Dong14,ROWS($1:20)),)="131",OFFSET(TH!K$1,SMALL(Dong14,ROWS($1:20)),),0))</f>
        <v>0</v>
      </c>
      <c r="I36" s="1037">
        <f ca="1">IF(ROWS($1:20)&gt;COUNT(Dong14),0,IF(OFFSET(TH!N$1,SMALL(Dong14,ROWS($1:20)),)="131",OFFSET(TH!M$1,SMALL(Dong14,ROWS($1:20)),),0))</f>
        <v>0</v>
      </c>
      <c r="J36" s="1038">
        <f ca="1">IF(ROWS($1:20)&gt;COUNT(Dong14),0,IF(OFFSET(TH!O$1,SMALL(Dong14,ROWS($1:20)),)="131",OFFSET(TH!K$1,SMALL(Dong14,ROWS($1:20)),),0))</f>
        <v>0</v>
      </c>
      <c r="K36" s="1037">
        <f ca="1">IF(ROWS($1:20)&gt;COUNT(Dong14),0,IF(OFFSET(TH!O$1,SMALL(Dong14,ROWS($1:20)),)="131",OFFSET(TH!M$1,SMALL(Dong14,ROWS($1:20)),),0))</f>
        <v>0</v>
      </c>
      <c r="L36" s="1031">
        <f t="shared" ca="1" si="1"/>
        <v>0</v>
      </c>
      <c r="M36" s="1030">
        <f t="shared" ca="1" si="2"/>
        <v>0</v>
      </c>
      <c r="N36" s="1031">
        <f t="shared" ca="1" si="3"/>
        <v>0</v>
      </c>
      <c r="O36" s="1030">
        <f t="shared" ca="1" si="4"/>
        <v>0</v>
      </c>
    </row>
    <row r="37" spans="1:15" s="5" customFormat="1" ht="16.5" customHeight="1">
      <c r="A37" s="255" t="str">
        <f t="shared" ca="1" si="0"/>
        <v/>
      </c>
      <c r="B37" s="266" t="str">
        <f ca="1">IF(ROWS($1:21)&gt;COUNT(Dong14),"",OFFSET(TH!D$1,SMALL(Dong14,ROWS($1:21)),))</f>
        <v/>
      </c>
      <c r="C37" s="255" t="str">
        <f ca="1">IF(ROWS($1:21)&gt;COUNT(Dong14),"",OFFSET(TH!E$1,SMALL(Dong14,ROWS($1:21)),))</f>
        <v/>
      </c>
      <c r="D37" s="1039" t="str">
        <f ca="1">IF(ROWS($1:21)&gt;COUNT(Dong14),"",OFFSET(TH!F$1,SMALL(Dong14,ROWS($1:21)),))</f>
        <v/>
      </c>
      <c r="E37" s="1037" t="str">
        <f ca="1">IF(ROWS($1:21)&gt;COUNT(Dong14),"",IF(OFFSET(TH!N$1,SMALL(Dong14,ROWS($1:21)),)="131",OFFSET(TH!O$1,SMALL(Dong14,ROWS($1:21)),),OFFSET(TH!N$1,SMALL(Dong14,ROWS($1:21)),)))</f>
        <v/>
      </c>
      <c r="F37" s="1037">
        <f ca="1">IF(ROWS($1:21)&gt;COUNT(Dong14),0,OFFSET(TH!L$1,SMALL(Dong14,ROWS($1:21)),))</f>
        <v>0</v>
      </c>
      <c r="G37" s="1037"/>
      <c r="H37" s="1038">
        <f ca="1">IF(ROWS($1:21)&gt;COUNT(Dong14),0,IF(OFFSET(TH!N$1,SMALL(Dong14,ROWS($1:21)),)="131",OFFSET(TH!K$1,SMALL(Dong14,ROWS($1:21)),),0))</f>
        <v>0</v>
      </c>
      <c r="I37" s="1037">
        <f ca="1">IF(ROWS($1:21)&gt;COUNT(Dong14),0,IF(OFFSET(TH!N$1,SMALL(Dong14,ROWS($1:21)),)="131",OFFSET(TH!M$1,SMALL(Dong14,ROWS($1:21)),),0))</f>
        <v>0</v>
      </c>
      <c r="J37" s="1038">
        <f ca="1">IF(ROWS($1:21)&gt;COUNT(Dong14),0,IF(OFFSET(TH!O$1,SMALL(Dong14,ROWS($1:21)),)="131",OFFSET(TH!K$1,SMALL(Dong14,ROWS($1:21)),),0))</f>
        <v>0</v>
      </c>
      <c r="K37" s="1037">
        <f ca="1">IF(ROWS($1:21)&gt;COUNT(Dong14),0,IF(OFFSET(TH!O$1,SMALL(Dong14,ROWS($1:21)),)="131",OFFSET(TH!M$1,SMALL(Dong14,ROWS($1:21)),),0))</f>
        <v>0</v>
      </c>
      <c r="L37" s="1031">
        <f t="shared" ca="1" si="1"/>
        <v>0</v>
      </c>
      <c r="M37" s="1030">
        <f t="shared" ca="1" si="2"/>
        <v>0</v>
      </c>
      <c r="N37" s="1031">
        <f t="shared" ca="1" si="3"/>
        <v>0</v>
      </c>
      <c r="O37" s="1030">
        <f t="shared" ca="1" si="4"/>
        <v>0</v>
      </c>
    </row>
    <row r="38" spans="1:15" s="5" customFormat="1" ht="16.5" customHeight="1">
      <c r="A38" s="255" t="str">
        <f t="shared" ca="1" si="0"/>
        <v/>
      </c>
      <c r="B38" s="266" t="str">
        <f ca="1">IF(ROWS($1:22)&gt;COUNT(Dong14),"",OFFSET(TH!D$1,SMALL(Dong14,ROWS($1:22)),))</f>
        <v/>
      </c>
      <c r="C38" s="255" t="str">
        <f ca="1">IF(ROWS($1:22)&gt;COUNT(Dong14),"",OFFSET(TH!E$1,SMALL(Dong14,ROWS($1:22)),))</f>
        <v/>
      </c>
      <c r="D38" s="1039" t="str">
        <f ca="1">IF(ROWS($1:22)&gt;COUNT(Dong14),"",OFFSET(TH!F$1,SMALL(Dong14,ROWS($1:22)),))</f>
        <v/>
      </c>
      <c r="E38" s="1037" t="str">
        <f ca="1">IF(ROWS($1:22)&gt;COUNT(Dong14),"",IF(OFFSET(TH!N$1,SMALL(Dong14,ROWS($1:22)),)="131",OFFSET(TH!O$1,SMALL(Dong14,ROWS($1:22)),),OFFSET(TH!N$1,SMALL(Dong14,ROWS($1:22)),)))</f>
        <v/>
      </c>
      <c r="F38" s="1037">
        <f ca="1">IF(ROWS($1:22)&gt;COUNT(Dong14),0,OFFSET(TH!L$1,SMALL(Dong14,ROWS($1:22)),))</f>
        <v>0</v>
      </c>
      <c r="G38" s="1037"/>
      <c r="H38" s="1038">
        <f ca="1">IF(ROWS($1:22)&gt;COUNT(Dong14),0,IF(OFFSET(TH!N$1,SMALL(Dong14,ROWS($1:22)),)="131",OFFSET(TH!K$1,SMALL(Dong14,ROWS($1:22)),),0))</f>
        <v>0</v>
      </c>
      <c r="I38" s="1037">
        <f ca="1">IF(ROWS($1:22)&gt;COUNT(Dong14),0,IF(OFFSET(TH!N$1,SMALL(Dong14,ROWS($1:22)),)="131",OFFSET(TH!M$1,SMALL(Dong14,ROWS($1:22)),),0))</f>
        <v>0</v>
      </c>
      <c r="J38" s="1038">
        <f ca="1">IF(ROWS($1:22)&gt;COUNT(Dong14),0,IF(OFFSET(TH!O$1,SMALL(Dong14,ROWS($1:22)),)="131",OFFSET(TH!K$1,SMALL(Dong14,ROWS($1:22)),),0))</f>
        <v>0</v>
      </c>
      <c r="K38" s="1037">
        <f ca="1">IF(ROWS($1:22)&gt;COUNT(Dong14),0,IF(OFFSET(TH!O$1,SMALL(Dong14,ROWS($1:22)),)="131",OFFSET(TH!M$1,SMALL(Dong14,ROWS($1:22)),),0))</f>
        <v>0</v>
      </c>
      <c r="L38" s="1031">
        <f t="shared" ca="1" si="1"/>
        <v>0</v>
      </c>
      <c r="M38" s="1030">
        <f t="shared" ca="1" si="2"/>
        <v>0</v>
      </c>
      <c r="N38" s="1031">
        <f t="shared" ca="1" si="3"/>
        <v>0</v>
      </c>
      <c r="O38" s="1030">
        <f t="shared" ca="1" si="4"/>
        <v>0</v>
      </c>
    </row>
    <row r="39" spans="1:15" s="5" customFormat="1" ht="16.5" customHeight="1">
      <c r="A39" s="255" t="str">
        <f t="shared" ca="1" si="0"/>
        <v/>
      </c>
      <c r="B39" s="266" t="str">
        <f ca="1">IF(ROWS($1:23)&gt;COUNT(Dong14),"",OFFSET(TH!D$1,SMALL(Dong14,ROWS($1:23)),))</f>
        <v/>
      </c>
      <c r="C39" s="255" t="str">
        <f ca="1">IF(ROWS($1:23)&gt;COUNT(Dong14),"",OFFSET(TH!E$1,SMALL(Dong14,ROWS($1:23)),))</f>
        <v/>
      </c>
      <c r="D39" s="1039" t="str">
        <f ca="1">IF(ROWS($1:23)&gt;COUNT(Dong14),"",OFFSET(TH!F$1,SMALL(Dong14,ROWS($1:23)),))</f>
        <v/>
      </c>
      <c r="E39" s="1037" t="str">
        <f ca="1">IF(ROWS($1:23)&gt;COUNT(Dong14),"",IF(OFFSET(TH!N$1,SMALL(Dong14,ROWS($1:23)),)="131",OFFSET(TH!O$1,SMALL(Dong14,ROWS($1:23)),),OFFSET(TH!N$1,SMALL(Dong14,ROWS($1:23)),)))</f>
        <v/>
      </c>
      <c r="F39" s="1037">
        <f ca="1">IF(ROWS($1:23)&gt;COUNT(Dong14),0,OFFSET(TH!L$1,SMALL(Dong14,ROWS($1:23)),))</f>
        <v>0</v>
      </c>
      <c r="G39" s="1037"/>
      <c r="H39" s="1038">
        <f ca="1">IF(ROWS($1:23)&gt;COUNT(Dong14),0,IF(OFFSET(TH!N$1,SMALL(Dong14,ROWS($1:23)),)="131",OFFSET(TH!K$1,SMALL(Dong14,ROWS($1:23)),),0))</f>
        <v>0</v>
      </c>
      <c r="I39" s="1037">
        <f ca="1">IF(ROWS($1:23)&gt;COUNT(Dong14),0,IF(OFFSET(TH!N$1,SMALL(Dong14,ROWS($1:23)),)="131",OFFSET(TH!M$1,SMALL(Dong14,ROWS($1:23)),),0))</f>
        <v>0</v>
      </c>
      <c r="J39" s="1038">
        <f ca="1">IF(ROWS($1:23)&gt;COUNT(Dong14),0,IF(OFFSET(TH!O$1,SMALL(Dong14,ROWS($1:23)),)="131",OFFSET(TH!K$1,SMALL(Dong14,ROWS($1:23)),),0))</f>
        <v>0</v>
      </c>
      <c r="K39" s="1037">
        <f ca="1">IF(ROWS($1:23)&gt;COUNT(Dong14),0,IF(OFFSET(TH!O$1,SMALL(Dong14,ROWS($1:23)),)="131",OFFSET(TH!M$1,SMALL(Dong14,ROWS($1:23)),),0))</f>
        <v>0</v>
      </c>
      <c r="L39" s="1031">
        <f t="shared" ca="1" si="1"/>
        <v>0</v>
      </c>
      <c r="M39" s="1030">
        <f t="shared" ca="1" si="2"/>
        <v>0</v>
      </c>
      <c r="N39" s="1031">
        <f t="shared" ca="1" si="3"/>
        <v>0</v>
      </c>
      <c r="O39" s="1030">
        <f t="shared" ca="1" si="4"/>
        <v>0</v>
      </c>
    </row>
    <row r="40" spans="1:15" s="5" customFormat="1" ht="16.5" customHeight="1">
      <c r="A40" s="255" t="str">
        <f t="shared" ca="1" si="0"/>
        <v/>
      </c>
      <c r="B40" s="266" t="str">
        <f ca="1">IF(ROWS($1:24)&gt;COUNT(Dong14),"",OFFSET(TH!D$1,SMALL(Dong14,ROWS($1:24)),))</f>
        <v/>
      </c>
      <c r="C40" s="255" t="str">
        <f ca="1">IF(ROWS($1:24)&gt;COUNT(Dong14),"",OFFSET(TH!E$1,SMALL(Dong14,ROWS($1:24)),))</f>
        <v/>
      </c>
      <c r="D40" s="1039" t="str">
        <f ca="1">IF(ROWS($1:24)&gt;COUNT(Dong14),"",OFFSET(TH!F$1,SMALL(Dong14,ROWS($1:24)),))</f>
        <v/>
      </c>
      <c r="E40" s="1037" t="str">
        <f ca="1">IF(ROWS($1:24)&gt;COUNT(Dong14),"",IF(OFFSET(TH!N$1,SMALL(Dong14,ROWS($1:24)),)="131",OFFSET(TH!O$1,SMALL(Dong14,ROWS($1:24)),),OFFSET(TH!N$1,SMALL(Dong14,ROWS($1:24)),)))</f>
        <v/>
      </c>
      <c r="F40" s="1037">
        <f ca="1">IF(ROWS($1:24)&gt;COUNT(Dong14),0,OFFSET(TH!L$1,SMALL(Dong14,ROWS($1:24)),))</f>
        <v>0</v>
      </c>
      <c r="G40" s="1037"/>
      <c r="H40" s="1038">
        <f ca="1">IF(ROWS($1:24)&gt;COUNT(Dong14),0,IF(OFFSET(TH!N$1,SMALL(Dong14,ROWS($1:24)),)="131",OFFSET(TH!K$1,SMALL(Dong14,ROWS($1:24)),),0))</f>
        <v>0</v>
      </c>
      <c r="I40" s="1037">
        <f ca="1">IF(ROWS($1:24)&gt;COUNT(Dong14),0,IF(OFFSET(TH!N$1,SMALL(Dong14,ROWS($1:24)),)="131",OFFSET(TH!M$1,SMALL(Dong14,ROWS($1:24)),),0))</f>
        <v>0</v>
      </c>
      <c r="J40" s="1038">
        <f ca="1">IF(ROWS($1:24)&gt;COUNT(Dong14),0,IF(OFFSET(TH!O$1,SMALL(Dong14,ROWS($1:24)),)="131",OFFSET(TH!K$1,SMALL(Dong14,ROWS($1:24)),),0))</f>
        <v>0</v>
      </c>
      <c r="K40" s="1037">
        <f ca="1">IF(ROWS($1:24)&gt;COUNT(Dong14),0,IF(OFFSET(TH!O$1,SMALL(Dong14,ROWS($1:24)),)="131",OFFSET(TH!M$1,SMALL(Dong14,ROWS($1:24)),),0))</f>
        <v>0</v>
      </c>
      <c r="L40" s="1031">
        <f t="shared" ca="1" si="1"/>
        <v>0</v>
      </c>
      <c r="M40" s="1030">
        <f t="shared" ca="1" si="2"/>
        <v>0</v>
      </c>
      <c r="N40" s="1031">
        <f t="shared" ca="1" si="3"/>
        <v>0</v>
      </c>
      <c r="O40" s="1030">
        <f t="shared" ca="1" si="4"/>
        <v>0</v>
      </c>
    </row>
    <row r="41" spans="1:15" s="5" customFormat="1" ht="16.5" customHeight="1">
      <c r="A41" s="255" t="str">
        <f t="shared" ca="1" si="0"/>
        <v/>
      </c>
      <c r="B41" s="266" t="str">
        <f ca="1">IF(ROWS($1:25)&gt;COUNT(Dong14),"",OFFSET(TH!D$1,SMALL(Dong14,ROWS($1:25)),))</f>
        <v/>
      </c>
      <c r="C41" s="255" t="str">
        <f ca="1">IF(ROWS($1:25)&gt;COUNT(Dong14),"",OFFSET(TH!E$1,SMALL(Dong14,ROWS($1:25)),))</f>
        <v/>
      </c>
      <c r="D41" s="1039" t="str">
        <f ca="1">IF(ROWS($1:25)&gt;COUNT(Dong14),"",OFFSET(TH!F$1,SMALL(Dong14,ROWS($1:25)),))</f>
        <v/>
      </c>
      <c r="E41" s="1037" t="str">
        <f ca="1">IF(ROWS($1:25)&gt;COUNT(Dong14),"",IF(OFFSET(TH!N$1,SMALL(Dong14,ROWS($1:25)),)="131",OFFSET(TH!O$1,SMALL(Dong14,ROWS($1:25)),),OFFSET(TH!N$1,SMALL(Dong14,ROWS($1:25)),)))</f>
        <v/>
      </c>
      <c r="F41" s="1037">
        <f ca="1">IF(ROWS($1:25)&gt;COUNT(Dong14),0,OFFSET(TH!L$1,SMALL(Dong14,ROWS($1:25)),))</f>
        <v>0</v>
      </c>
      <c r="G41" s="1037"/>
      <c r="H41" s="1038">
        <f ca="1">IF(ROWS($1:25)&gt;COUNT(Dong14),0,IF(OFFSET(TH!N$1,SMALL(Dong14,ROWS($1:25)),)="131",OFFSET(TH!K$1,SMALL(Dong14,ROWS($1:25)),),0))</f>
        <v>0</v>
      </c>
      <c r="I41" s="1037">
        <f ca="1">IF(ROWS($1:25)&gt;COUNT(Dong14),0,IF(OFFSET(TH!N$1,SMALL(Dong14,ROWS($1:25)),)="131",OFFSET(TH!M$1,SMALL(Dong14,ROWS($1:25)),),0))</f>
        <v>0</v>
      </c>
      <c r="J41" s="1038">
        <f ca="1">IF(ROWS($1:25)&gt;COUNT(Dong14),0,IF(OFFSET(TH!O$1,SMALL(Dong14,ROWS($1:25)),)="131",OFFSET(TH!K$1,SMALL(Dong14,ROWS($1:25)),),0))</f>
        <v>0</v>
      </c>
      <c r="K41" s="1037">
        <f ca="1">IF(ROWS($1:25)&gt;COUNT(Dong14),0,IF(OFFSET(TH!O$1,SMALL(Dong14,ROWS($1:25)),)="131",OFFSET(TH!M$1,SMALL(Dong14,ROWS($1:25)),),0))</f>
        <v>0</v>
      </c>
      <c r="L41" s="1031">
        <f t="shared" ca="1" si="1"/>
        <v>0</v>
      </c>
      <c r="M41" s="1030">
        <f t="shared" ca="1" si="2"/>
        <v>0</v>
      </c>
      <c r="N41" s="1031">
        <f t="shared" ca="1" si="3"/>
        <v>0</v>
      </c>
      <c r="O41" s="1030">
        <f t="shared" ca="1" si="4"/>
        <v>0</v>
      </c>
    </row>
    <row r="42" spans="1:15" s="5" customFormat="1" ht="16.5" customHeight="1">
      <c r="A42" s="255" t="str">
        <f t="shared" ca="1" si="0"/>
        <v/>
      </c>
      <c r="B42" s="266" t="str">
        <f ca="1">IF(ROWS($1:26)&gt;COUNT(Dong14),"",OFFSET(TH!D$1,SMALL(Dong14,ROWS($1:26)),))</f>
        <v/>
      </c>
      <c r="C42" s="255" t="str">
        <f ca="1">IF(ROWS($1:26)&gt;COUNT(Dong14),"",OFFSET(TH!E$1,SMALL(Dong14,ROWS($1:26)),))</f>
        <v/>
      </c>
      <c r="D42" s="1039" t="str">
        <f ca="1">IF(ROWS($1:26)&gt;COUNT(Dong14),"",OFFSET(TH!F$1,SMALL(Dong14,ROWS($1:26)),))</f>
        <v/>
      </c>
      <c r="E42" s="1037" t="str">
        <f ca="1">IF(ROWS($1:26)&gt;COUNT(Dong14),"",IF(OFFSET(TH!N$1,SMALL(Dong14,ROWS($1:26)),)="131",OFFSET(TH!O$1,SMALL(Dong14,ROWS($1:26)),),OFFSET(TH!N$1,SMALL(Dong14,ROWS($1:26)),)))</f>
        <v/>
      </c>
      <c r="F42" s="1037">
        <f ca="1">IF(ROWS($1:26)&gt;COUNT(Dong14),0,OFFSET(TH!L$1,SMALL(Dong14,ROWS($1:26)),))</f>
        <v>0</v>
      </c>
      <c r="G42" s="1037"/>
      <c r="H42" s="1038">
        <f ca="1">IF(ROWS($1:26)&gt;COUNT(Dong14),0,IF(OFFSET(TH!N$1,SMALL(Dong14,ROWS($1:26)),)="131",OFFSET(TH!K$1,SMALL(Dong14,ROWS($1:26)),),0))</f>
        <v>0</v>
      </c>
      <c r="I42" s="1037">
        <f ca="1">IF(ROWS($1:26)&gt;COUNT(Dong14),0,IF(OFFSET(TH!N$1,SMALL(Dong14,ROWS($1:26)),)="131",OFFSET(TH!M$1,SMALL(Dong14,ROWS($1:26)),),0))</f>
        <v>0</v>
      </c>
      <c r="J42" s="1038">
        <f ca="1">IF(ROWS($1:26)&gt;COUNT(Dong14),0,IF(OFFSET(TH!O$1,SMALL(Dong14,ROWS($1:26)),)="131",OFFSET(TH!K$1,SMALL(Dong14,ROWS($1:26)),),0))</f>
        <v>0</v>
      </c>
      <c r="K42" s="1037">
        <f ca="1">IF(ROWS($1:26)&gt;COUNT(Dong14),0,IF(OFFSET(TH!O$1,SMALL(Dong14,ROWS($1:26)),)="131",OFFSET(TH!M$1,SMALL(Dong14,ROWS($1:26)),),0))</f>
        <v>0</v>
      </c>
      <c r="L42" s="1031">
        <f t="shared" ca="1" si="1"/>
        <v>0</v>
      </c>
      <c r="M42" s="1030">
        <f t="shared" ca="1" si="2"/>
        <v>0</v>
      </c>
      <c r="N42" s="1031">
        <f t="shared" ca="1" si="3"/>
        <v>0</v>
      </c>
      <c r="O42" s="1030">
        <f t="shared" ca="1" si="4"/>
        <v>0</v>
      </c>
    </row>
    <row r="43" spans="1:15" s="5" customFormat="1" ht="16.5" customHeight="1">
      <c r="A43" s="255" t="str">
        <f t="shared" ca="1" si="0"/>
        <v/>
      </c>
      <c r="B43" s="266" t="str">
        <f ca="1">IF(ROWS($1:27)&gt;COUNT(Dong14),"",OFFSET(TH!D$1,SMALL(Dong14,ROWS($1:27)),))</f>
        <v/>
      </c>
      <c r="C43" s="255" t="str">
        <f ca="1">IF(ROWS($1:27)&gt;COUNT(Dong14),"",OFFSET(TH!E$1,SMALL(Dong14,ROWS($1:27)),))</f>
        <v/>
      </c>
      <c r="D43" s="1039" t="str">
        <f ca="1">IF(ROWS($1:27)&gt;COUNT(Dong14),"",OFFSET(TH!F$1,SMALL(Dong14,ROWS($1:27)),))</f>
        <v/>
      </c>
      <c r="E43" s="1037" t="str">
        <f ca="1">IF(ROWS($1:27)&gt;COUNT(Dong14),"",IF(OFFSET(TH!N$1,SMALL(Dong14,ROWS($1:27)),)="131",OFFSET(TH!O$1,SMALL(Dong14,ROWS($1:27)),),OFFSET(TH!N$1,SMALL(Dong14,ROWS($1:27)),)))</f>
        <v/>
      </c>
      <c r="F43" s="1037">
        <f ca="1">IF(ROWS($1:27)&gt;COUNT(Dong14),0,OFFSET(TH!L$1,SMALL(Dong14,ROWS($1:27)),))</f>
        <v>0</v>
      </c>
      <c r="G43" s="1037"/>
      <c r="H43" s="1038">
        <f ca="1">IF(ROWS($1:27)&gt;COUNT(Dong14),0,IF(OFFSET(TH!N$1,SMALL(Dong14,ROWS($1:27)),)="131",OFFSET(TH!K$1,SMALL(Dong14,ROWS($1:27)),),0))</f>
        <v>0</v>
      </c>
      <c r="I43" s="1037">
        <f ca="1">IF(ROWS($1:27)&gt;COUNT(Dong14),0,IF(OFFSET(TH!N$1,SMALL(Dong14,ROWS($1:27)),)="131",OFFSET(TH!M$1,SMALL(Dong14,ROWS($1:27)),),0))</f>
        <v>0</v>
      </c>
      <c r="J43" s="1038">
        <f ca="1">IF(ROWS($1:27)&gt;COUNT(Dong14),0,IF(OFFSET(TH!O$1,SMALL(Dong14,ROWS($1:27)),)="131",OFFSET(TH!K$1,SMALL(Dong14,ROWS($1:27)),),0))</f>
        <v>0</v>
      </c>
      <c r="K43" s="1037">
        <f ca="1">IF(ROWS($1:27)&gt;COUNT(Dong14),0,IF(OFFSET(TH!O$1,SMALL(Dong14,ROWS($1:27)),)="131",OFFSET(TH!M$1,SMALL(Dong14,ROWS($1:27)),),0))</f>
        <v>0</v>
      </c>
      <c r="L43" s="1031">
        <f t="shared" ca="1" si="1"/>
        <v>0</v>
      </c>
      <c r="M43" s="1030">
        <f t="shared" ca="1" si="2"/>
        <v>0</v>
      </c>
      <c r="N43" s="1031">
        <f t="shared" ca="1" si="3"/>
        <v>0</v>
      </c>
      <c r="O43" s="1030">
        <f t="shared" ca="1" si="4"/>
        <v>0</v>
      </c>
    </row>
    <row r="44" spans="1:15" s="5" customFormat="1" ht="16.5" customHeight="1">
      <c r="A44" s="255" t="str">
        <f t="shared" ca="1" si="0"/>
        <v/>
      </c>
      <c r="B44" s="266" t="str">
        <f ca="1">IF(ROWS($1:28)&gt;COUNT(Dong14),"",OFFSET(TH!D$1,SMALL(Dong14,ROWS($1:28)),))</f>
        <v/>
      </c>
      <c r="C44" s="255" t="str">
        <f ca="1">IF(ROWS($1:28)&gt;COUNT(Dong14),"",OFFSET(TH!E$1,SMALL(Dong14,ROWS($1:28)),))</f>
        <v/>
      </c>
      <c r="D44" s="1039" t="str">
        <f ca="1">IF(ROWS($1:28)&gt;COUNT(Dong14),"",OFFSET(TH!F$1,SMALL(Dong14,ROWS($1:28)),))</f>
        <v/>
      </c>
      <c r="E44" s="1037" t="str">
        <f ca="1">IF(ROWS($1:28)&gt;COUNT(Dong14),"",IF(OFFSET(TH!N$1,SMALL(Dong14,ROWS($1:28)),)="131",OFFSET(TH!O$1,SMALL(Dong14,ROWS($1:28)),),OFFSET(TH!N$1,SMALL(Dong14,ROWS($1:28)),)))</f>
        <v/>
      </c>
      <c r="F44" s="1037">
        <f ca="1">IF(ROWS($1:28)&gt;COUNT(Dong14),0,OFFSET(TH!L$1,SMALL(Dong14,ROWS($1:28)),))</f>
        <v>0</v>
      </c>
      <c r="G44" s="1037"/>
      <c r="H44" s="1038">
        <f ca="1">IF(ROWS($1:28)&gt;COUNT(Dong14),0,IF(OFFSET(TH!N$1,SMALL(Dong14,ROWS($1:28)),)="131",OFFSET(TH!K$1,SMALL(Dong14,ROWS($1:28)),),0))</f>
        <v>0</v>
      </c>
      <c r="I44" s="1037">
        <f ca="1">IF(ROWS($1:28)&gt;COUNT(Dong14),0,IF(OFFSET(TH!N$1,SMALL(Dong14,ROWS($1:28)),)="131",OFFSET(TH!M$1,SMALL(Dong14,ROWS($1:28)),),0))</f>
        <v>0</v>
      </c>
      <c r="J44" s="1038">
        <f ca="1">IF(ROWS($1:28)&gt;COUNT(Dong14),0,IF(OFFSET(TH!O$1,SMALL(Dong14,ROWS($1:28)),)="131",OFFSET(TH!K$1,SMALL(Dong14,ROWS($1:28)),),0))</f>
        <v>0</v>
      </c>
      <c r="K44" s="1037">
        <f ca="1">IF(ROWS($1:28)&gt;COUNT(Dong14),0,IF(OFFSET(TH!O$1,SMALL(Dong14,ROWS($1:28)),)="131",OFFSET(TH!M$1,SMALL(Dong14,ROWS($1:28)),),0))</f>
        <v>0</v>
      </c>
      <c r="L44" s="1031">
        <f t="shared" ca="1" si="1"/>
        <v>0</v>
      </c>
      <c r="M44" s="1030">
        <f t="shared" ca="1" si="2"/>
        <v>0</v>
      </c>
      <c r="N44" s="1031">
        <f t="shared" ca="1" si="3"/>
        <v>0</v>
      </c>
      <c r="O44" s="1030">
        <f t="shared" ca="1" si="4"/>
        <v>0</v>
      </c>
    </row>
    <row r="45" spans="1:15" s="5" customFormat="1" ht="16.5" customHeight="1">
      <c r="A45" s="255" t="str">
        <f t="shared" ca="1" si="0"/>
        <v/>
      </c>
      <c r="B45" s="266" t="str">
        <f ca="1">IF(ROWS($1:29)&gt;COUNT(Dong14),"",OFFSET(TH!D$1,SMALL(Dong14,ROWS($1:29)),))</f>
        <v/>
      </c>
      <c r="C45" s="255" t="str">
        <f ca="1">IF(ROWS($1:29)&gt;COUNT(Dong14),"",OFFSET(TH!E$1,SMALL(Dong14,ROWS($1:29)),))</f>
        <v/>
      </c>
      <c r="D45" s="1039" t="str">
        <f ca="1">IF(ROWS($1:29)&gt;COUNT(Dong14),"",OFFSET(TH!F$1,SMALL(Dong14,ROWS($1:29)),))</f>
        <v/>
      </c>
      <c r="E45" s="1037" t="str">
        <f ca="1">IF(ROWS($1:29)&gt;COUNT(Dong14),"",IF(OFFSET(TH!N$1,SMALL(Dong14,ROWS($1:29)),)="131",OFFSET(TH!O$1,SMALL(Dong14,ROWS($1:29)),),OFFSET(TH!N$1,SMALL(Dong14,ROWS($1:29)),)))</f>
        <v/>
      </c>
      <c r="F45" s="1037">
        <f ca="1">IF(ROWS($1:29)&gt;COUNT(Dong14),0,OFFSET(TH!L$1,SMALL(Dong14,ROWS($1:29)),))</f>
        <v>0</v>
      </c>
      <c r="G45" s="1037"/>
      <c r="H45" s="1038">
        <f ca="1">IF(ROWS($1:29)&gt;COUNT(Dong14),0,IF(OFFSET(TH!N$1,SMALL(Dong14,ROWS($1:29)),)="131",OFFSET(TH!K$1,SMALL(Dong14,ROWS($1:29)),),0))</f>
        <v>0</v>
      </c>
      <c r="I45" s="1037">
        <f ca="1">IF(ROWS($1:29)&gt;COUNT(Dong14),0,IF(OFFSET(TH!N$1,SMALL(Dong14,ROWS($1:29)),)="131",OFFSET(TH!M$1,SMALL(Dong14,ROWS($1:29)),),0))</f>
        <v>0</v>
      </c>
      <c r="J45" s="1038">
        <f ca="1">IF(ROWS($1:29)&gt;COUNT(Dong14),0,IF(OFFSET(TH!O$1,SMALL(Dong14,ROWS($1:29)),)="131",OFFSET(TH!K$1,SMALL(Dong14,ROWS($1:29)),),0))</f>
        <v>0</v>
      </c>
      <c r="K45" s="1037">
        <f ca="1">IF(ROWS($1:29)&gt;COUNT(Dong14),0,IF(OFFSET(TH!O$1,SMALL(Dong14,ROWS($1:29)),)="131",OFFSET(TH!M$1,SMALL(Dong14,ROWS($1:29)),),0))</f>
        <v>0</v>
      </c>
      <c r="L45" s="1031">
        <f t="shared" ca="1" si="1"/>
        <v>0</v>
      </c>
      <c r="M45" s="1030">
        <f t="shared" ca="1" si="2"/>
        <v>0</v>
      </c>
      <c r="N45" s="1031">
        <f t="shared" ca="1" si="3"/>
        <v>0</v>
      </c>
      <c r="O45" s="1030">
        <f t="shared" ca="1" si="4"/>
        <v>0</v>
      </c>
    </row>
    <row r="46" spans="1:15" s="5" customFormat="1" ht="16.5" customHeight="1">
      <c r="A46" s="255" t="str">
        <f t="shared" ca="1" si="0"/>
        <v/>
      </c>
      <c r="B46" s="266" t="str">
        <f ca="1">IF(ROWS($1:30)&gt;COUNT(Dong14),"",OFFSET(TH!D$1,SMALL(Dong14,ROWS($1:30)),))</f>
        <v/>
      </c>
      <c r="C46" s="255" t="str">
        <f ca="1">IF(ROWS($1:30)&gt;COUNT(Dong14),"",OFFSET(TH!E$1,SMALL(Dong14,ROWS($1:30)),))</f>
        <v/>
      </c>
      <c r="D46" s="1039" t="str">
        <f ca="1">IF(ROWS($1:30)&gt;COUNT(Dong14),"",OFFSET(TH!F$1,SMALL(Dong14,ROWS($1:30)),))</f>
        <v/>
      </c>
      <c r="E46" s="1037" t="str">
        <f ca="1">IF(ROWS($1:30)&gt;COUNT(Dong14),"",IF(OFFSET(TH!N$1,SMALL(Dong14,ROWS($1:30)),)="131",OFFSET(TH!O$1,SMALL(Dong14,ROWS($1:30)),),OFFSET(TH!N$1,SMALL(Dong14,ROWS($1:30)),)))</f>
        <v/>
      </c>
      <c r="F46" s="1037">
        <f ca="1">IF(ROWS($1:30)&gt;COUNT(Dong14),0,OFFSET(TH!L$1,SMALL(Dong14,ROWS($1:30)),))</f>
        <v>0</v>
      </c>
      <c r="G46" s="1037"/>
      <c r="H46" s="1038">
        <f ca="1">IF(ROWS($1:30)&gt;COUNT(Dong14),0,IF(OFFSET(TH!N$1,SMALL(Dong14,ROWS($1:30)),)="131",OFFSET(TH!K$1,SMALL(Dong14,ROWS($1:30)),),0))</f>
        <v>0</v>
      </c>
      <c r="I46" s="1037">
        <f ca="1">IF(ROWS($1:30)&gt;COUNT(Dong14),0,IF(OFFSET(TH!N$1,SMALL(Dong14,ROWS($1:30)),)="131",OFFSET(TH!M$1,SMALL(Dong14,ROWS($1:30)),),0))</f>
        <v>0</v>
      </c>
      <c r="J46" s="1038">
        <f ca="1">IF(ROWS($1:30)&gt;COUNT(Dong14),0,IF(OFFSET(TH!O$1,SMALL(Dong14,ROWS($1:30)),)="131",OFFSET(TH!K$1,SMALL(Dong14,ROWS($1:30)),),0))</f>
        <v>0</v>
      </c>
      <c r="K46" s="1037">
        <f ca="1">IF(ROWS($1:30)&gt;COUNT(Dong14),0,IF(OFFSET(TH!O$1,SMALL(Dong14,ROWS($1:30)),)="131",OFFSET(TH!M$1,SMALL(Dong14,ROWS($1:30)),),0))</f>
        <v>0</v>
      </c>
      <c r="L46" s="1031">
        <f t="shared" ca="1" si="1"/>
        <v>0</v>
      </c>
      <c r="M46" s="1030">
        <f t="shared" ca="1" si="2"/>
        <v>0</v>
      </c>
      <c r="N46" s="1031">
        <f t="shared" ca="1" si="3"/>
        <v>0</v>
      </c>
      <c r="O46" s="1030">
        <f t="shared" ca="1" si="4"/>
        <v>0</v>
      </c>
    </row>
    <row r="47" spans="1:15" s="5" customFormat="1" ht="16.5" customHeight="1">
      <c r="A47" s="255" t="str">
        <f t="shared" ca="1" si="0"/>
        <v/>
      </c>
      <c r="B47" s="266" t="str">
        <f ca="1">IF(ROWS($1:31)&gt;COUNT(Dong14),"",OFFSET(TH!D$1,SMALL(Dong14,ROWS($1:31)),))</f>
        <v/>
      </c>
      <c r="C47" s="255" t="str">
        <f ca="1">IF(ROWS($1:31)&gt;COUNT(Dong14),"",OFFSET(TH!E$1,SMALL(Dong14,ROWS($1:31)),))</f>
        <v/>
      </c>
      <c r="D47" s="1039" t="str">
        <f ca="1">IF(ROWS($1:31)&gt;COUNT(Dong14),"",OFFSET(TH!F$1,SMALL(Dong14,ROWS($1:31)),))</f>
        <v/>
      </c>
      <c r="E47" s="1037" t="str">
        <f ca="1">IF(ROWS($1:31)&gt;COUNT(Dong14),"",IF(OFFSET(TH!N$1,SMALL(Dong14,ROWS($1:31)),)="131",OFFSET(TH!O$1,SMALL(Dong14,ROWS($1:31)),),OFFSET(TH!N$1,SMALL(Dong14,ROWS($1:31)),)))</f>
        <v/>
      </c>
      <c r="F47" s="1037">
        <f ca="1">IF(ROWS($1:31)&gt;COUNT(Dong14),0,OFFSET(TH!L$1,SMALL(Dong14,ROWS($1:31)),))</f>
        <v>0</v>
      </c>
      <c r="G47" s="1037"/>
      <c r="H47" s="1038">
        <f ca="1">IF(ROWS($1:31)&gt;COUNT(Dong14),0,IF(OFFSET(TH!N$1,SMALL(Dong14,ROWS($1:31)),)="131",OFFSET(TH!K$1,SMALL(Dong14,ROWS($1:31)),),0))</f>
        <v>0</v>
      </c>
      <c r="I47" s="1037">
        <f ca="1">IF(ROWS($1:31)&gt;COUNT(Dong14),0,IF(OFFSET(TH!N$1,SMALL(Dong14,ROWS($1:31)),)="131",OFFSET(TH!M$1,SMALL(Dong14,ROWS($1:31)),),0))</f>
        <v>0</v>
      </c>
      <c r="J47" s="1038">
        <f ca="1">IF(ROWS($1:31)&gt;COUNT(Dong14),0,IF(OFFSET(TH!O$1,SMALL(Dong14,ROWS($1:31)),)="131",OFFSET(TH!K$1,SMALL(Dong14,ROWS($1:31)),),0))</f>
        <v>0</v>
      </c>
      <c r="K47" s="1037">
        <f ca="1">IF(ROWS($1:31)&gt;COUNT(Dong14),0,IF(OFFSET(TH!O$1,SMALL(Dong14,ROWS($1:31)),)="131",OFFSET(TH!M$1,SMALL(Dong14,ROWS($1:31)),),0))</f>
        <v>0</v>
      </c>
      <c r="L47" s="1031">
        <f t="shared" ca="1" si="1"/>
        <v>0</v>
      </c>
      <c r="M47" s="1030">
        <f t="shared" ca="1" si="2"/>
        <v>0</v>
      </c>
      <c r="N47" s="1031">
        <f t="shared" ca="1" si="3"/>
        <v>0</v>
      </c>
      <c r="O47" s="1030">
        <f t="shared" ca="1" si="4"/>
        <v>0</v>
      </c>
    </row>
    <row r="48" spans="1:15" s="5" customFormat="1" ht="16.5" customHeight="1">
      <c r="A48" s="255" t="str">
        <f t="shared" ca="1" si="0"/>
        <v/>
      </c>
      <c r="B48" s="266" t="str">
        <f ca="1">IF(ROWS($1:32)&gt;COUNT(Dong14),"",OFFSET(TH!D$1,SMALL(Dong14,ROWS($1:32)),))</f>
        <v/>
      </c>
      <c r="C48" s="255" t="str">
        <f ca="1">IF(ROWS($1:32)&gt;COUNT(Dong14),"",OFFSET(TH!E$1,SMALL(Dong14,ROWS($1:32)),))</f>
        <v/>
      </c>
      <c r="D48" s="1039" t="str">
        <f ca="1">IF(ROWS($1:32)&gt;COUNT(Dong14),"",OFFSET(TH!F$1,SMALL(Dong14,ROWS($1:32)),))</f>
        <v/>
      </c>
      <c r="E48" s="1037" t="str">
        <f ca="1">IF(ROWS($1:32)&gt;COUNT(Dong14),"",IF(OFFSET(TH!N$1,SMALL(Dong14,ROWS($1:32)),)="131",OFFSET(TH!O$1,SMALL(Dong14,ROWS($1:32)),),OFFSET(TH!N$1,SMALL(Dong14,ROWS($1:32)),)))</f>
        <v/>
      </c>
      <c r="F48" s="1037">
        <f ca="1">IF(ROWS($1:32)&gt;COUNT(Dong14),0,OFFSET(TH!L$1,SMALL(Dong14,ROWS($1:32)),))</f>
        <v>0</v>
      </c>
      <c r="G48" s="1037"/>
      <c r="H48" s="1038">
        <f ca="1">IF(ROWS($1:32)&gt;COUNT(Dong14),0,IF(OFFSET(TH!N$1,SMALL(Dong14,ROWS($1:32)),)="131",OFFSET(TH!K$1,SMALL(Dong14,ROWS($1:32)),),0))</f>
        <v>0</v>
      </c>
      <c r="I48" s="1037">
        <f ca="1">IF(ROWS($1:32)&gt;COUNT(Dong14),0,IF(OFFSET(TH!N$1,SMALL(Dong14,ROWS($1:32)),)="131",OFFSET(TH!M$1,SMALL(Dong14,ROWS($1:32)),),0))</f>
        <v>0</v>
      </c>
      <c r="J48" s="1038">
        <f ca="1">IF(ROWS($1:32)&gt;COUNT(Dong14),0,IF(OFFSET(TH!O$1,SMALL(Dong14,ROWS($1:32)),)="131",OFFSET(TH!K$1,SMALL(Dong14,ROWS($1:32)),),0))</f>
        <v>0</v>
      </c>
      <c r="K48" s="1037">
        <f ca="1">IF(ROWS($1:32)&gt;COUNT(Dong14),0,IF(OFFSET(TH!O$1,SMALL(Dong14,ROWS($1:32)),)="131",OFFSET(TH!M$1,SMALL(Dong14,ROWS($1:32)),),0))</f>
        <v>0</v>
      </c>
      <c r="L48" s="1031">
        <f t="shared" ca="1" si="1"/>
        <v>0</v>
      </c>
      <c r="M48" s="1030">
        <f t="shared" ca="1" si="2"/>
        <v>0</v>
      </c>
      <c r="N48" s="1031">
        <f t="shared" ca="1" si="3"/>
        <v>0</v>
      </c>
      <c r="O48" s="1030">
        <f t="shared" ca="1" si="4"/>
        <v>0</v>
      </c>
    </row>
    <row r="49" spans="1:15" s="5" customFormat="1" ht="16.5" customHeight="1">
      <c r="A49" s="255" t="str">
        <f t="shared" ca="1" si="0"/>
        <v/>
      </c>
      <c r="B49" s="266" t="str">
        <f ca="1">IF(ROWS($1:33)&gt;COUNT(Dong14),"",OFFSET(TH!D$1,SMALL(Dong14,ROWS($1:33)),))</f>
        <v/>
      </c>
      <c r="C49" s="255" t="str">
        <f ca="1">IF(ROWS($1:33)&gt;COUNT(Dong14),"",OFFSET(TH!E$1,SMALL(Dong14,ROWS($1:33)),))</f>
        <v/>
      </c>
      <c r="D49" s="1039" t="str">
        <f ca="1">IF(ROWS($1:33)&gt;COUNT(Dong14),"",OFFSET(TH!F$1,SMALL(Dong14,ROWS($1:33)),))</f>
        <v/>
      </c>
      <c r="E49" s="1037" t="str">
        <f ca="1">IF(ROWS($1:33)&gt;COUNT(Dong14),"",IF(OFFSET(TH!N$1,SMALL(Dong14,ROWS($1:33)),)="131",OFFSET(TH!O$1,SMALL(Dong14,ROWS($1:33)),),OFFSET(TH!N$1,SMALL(Dong14,ROWS($1:33)),)))</f>
        <v/>
      </c>
      <c r="F49" s="1037">
        <f ca="1">IF(ROWS($1:33)&gt;COUNT(Dong14),0,OFFSET(TH!L$1,SMALL(Dong14,ROWS($1:33)),))</f>
        <v>0</v>
      </c>
      <c r="G49" s="1037"/>
      <c r="H49" s="1038">
        <f ca="1">IF(ROWS($1:33)&gt;COUNT(Dong14),0,IF(OFFSET(TH!N$1,SMALL(Dong14,ROWS($1:33)),)="131",OFFSET(TH!K$1,SMALL(Dong14,ROWS($1:33)),),0))</f>
        <v>0</v>
      </c>
      <c r="I49" s="1037">
        <f ca="1">IF(ROWS($1:33)&gt;COUNT(Dong14),0,IF(OFFSET(TH!N$1,SMALL(Dong14,ROWS($1:33)),)="131",OFFSET(TH!M$1,SMALL(Dong14,ROWS($1:33)),),0))</f>
        <v>0</v>
      </c>
      <c r="J49" s="1038">
        <f ca="1">IF(ROWS($1:33)&gt;COUNT(Dong14),0,IF(OFFSET(TH!O$1,SMALL(Dong14,ROWS($1:33)),)="131",OFFSET(TH!K$1,SMALL(Dong14,ROWS($1:33)),),0))</f>
        <v>0</v>
      </c>
      <c r="K49" s="1037">
        <f ca="1">IF(ROWS($1:33)&gt;COUNT(Dong14),0,IF(OFFSET(TH!O$1,SMALL(Dong14,ROWS($1:33)),)="131",OFFSET(TH!M$1,SMALL(Dong14,ROWS($1:33)),),0))</f>
        <v>0</v>
      </c>
      <c r="L49" s="1031">
        <f t="shared" ca="1" si="1"/>
        <v>0</v>
      </c>
      <c r="M49" s="1030">
        <f t="shared" ca="1" si="2"/>
        <v>0</v>
      </c>
      <c r="N49" s="1031">
        <f t="shared" ca="1" si="3"/>
        <v>0</v>
      </c>
      <c r="O49" s="1030">
        <f t="shared" ca="1" si="4"/>
        <v>0</v>
      </c>
    </row>
    <row r="50" spans="1:15" s="5" customFormat="1" ht="16.5" customHeight="1">
      <c r="A50" s="255" t="str">
        <f t="shared" ca="1" si="0"/>
        <v/>
      </c>
      <c r="B50" s="266" t="str">
        <f ca="1">IF(ROWS($1:34)&gt;COUNT(Dong14),"",OFFSET(TH!D$1,SMALL(Dong14,ROWS($1:34)),))</f>
        <v/>
      </c>
      <c r="C50" s="255" t="str">
        <f ca="1">IF(ROWS($1:34)&gt;COUNT(Dong14),"",OFFSET(TH!E$1,SMALL(Dong14,ROWS($1:34)),))</f>
        <v/>
      </c>
      <c r="D50" s="1039" t="str">
        <f ca="1">IF(ROWS($1:34)&gt;COUNT(Dong14),"",OFFSET(TH!F$1,SMALL(Dong14,ROWS($1:34)),))</f>
        <v/>
      </c>
      <c r="E50" s="1037" t="str">
        <f ca="1">IF(ROWS($1:34)&gt;COUNT(Dong14),"",IF(OFFSET(TH!N$1,SMALL(Dong14,ROWS($1:34)),)="131",OFFSET(TH!O$1,SMALL(Dong14,ROWS($1:34)),),OFFSET(TH!N$1,SMALL(Dong14,ROWS($1:34)),)))</f>
        <v/>
      </c>
      <c r="F50" s="1037">
        <f ca="1">IF(ROWS($1:34)&gt;COUNT(Dong14),0,OFFSET(TH!L$1,SMALL(Dong14,ROWS($1:34)),))</f>
        <v>0</v>
      </c>
      <c r="G50" s="1037"/>
      <c r="H50" s="1038">
        <f ca="1">IF(ROWS($1:34)&gt;COUNT(Dong14),0,IF(OFFSET(TH!N$1,SMALL(Dong14,ROWS($1:34)),)="131",OFFSET(TH!K$1,SMALL(Dong14,ROWS($1:34)),),0))</f>
        <v>0</v>
      </c>
      <c r="I50" s="1037">
        <f ca="1">IF(ROWS($1:34)&gt;COUNT(Dong14),0,IF(OFFSET(TH!N$1,SMALL(Dong14,ROWS($1:34)),)="131",OFFSET(TH!M$1,SMALL(Dong14,ROWS($1:34)),),0))</f>
        <v>0</v>
      </c>
      <c r="J50" s="1038">
        <f ca="1">IF(ROWS($1:34)&gt;COUNT(Dong14),0,IF(OFFSET(TH!O$1,SMALL(Dong14,ROWS($1:34)),)="131",OFFSET(TH!K$1,SMALL(Dong14,ROWS($1:34)),),0))</f>
        <v>0</v>
      </c>
      <c r="K50" s="1037">
        <f ca="1">IF(ROWS($1:34)&gt;COUNT(Dong14),0,IF(OFFSET(TH!O$1,SMALL(Dong14,ROWS($1:34)),)="131",OFFSET(TH!M$1,SMALL(Dong14,ROWS($1:34)),),0))</f>
        <v>0</v>
      </c>
      <c r="L50" s="1031">
        <f t="shared" ca="1" si="1"/>
        <v>0</v>
      </c>
      <c r="M50" s="1030">
        <f t="shared" ca="1" si="2"/>
        <v>0</v>
      </c>
      <c r="N50" s="1031">
        <f t="shared" ca="1" si="3"/>
        <v>0</v>
      </c>
      <c r="O50" s="1030">
        <f t="shared" ca="1" si="4"/>
        <v>0</v>
      </c>
    </row>
    <row r="51" spans="1:15" s="5" customFormat="1" ht="16.5" customHeight="1">
      <c r="A51" s="255" t="str">
        <f t="shared" si="0"/>
        <v/>
      </c>
      <c r="B51" s="1035"/>
      <c r="C51" s="1035"/>
      <c r="D51" s="1036"/>
      <c r="E51" s="1035"/>
      <c r="F51" s="1034"/>
      <c r="G51" s="1032"/>
      <c r="H51" s="1033"/>
      <c r="I51" s="1030"/>
      <c r="J51" s="1033"/>
      <c r="K51" s="1032"/>
      <c r="L51" s="1031"/>
      <c r="M51" s="1030"/>
      <c r="N51" s="1031"/>
      <c r="O51" s="1030"/>
    </row>
    <row r="52" spans="1:15" s="5" customFormat="1" ht="16.5" customHeight="1">
      <c r="A52" s="1029"/>
      <c r="B52" s="1029"/>
      <c r="C52" s="1029"/>
      <c r="D52" s="1028" t="s">
        <v>35</v>
      </c>
      <c r="E52" s="1027" t="s">
        <v>21</v>
      </c>
      <c r="F52" s="1027"/>
      <c r="G52" s="1024" t="s">
        <v>21</v>
      </c>
      <c r="H52" s="1025">
        <f ca="1">SUM(H17:H51)</f>
        <v>41760</v>
      </c>
      <c r="I52" s="1024">
        <f ca="1">SUM(I17:I51)</f>
        <v>933962400</v>
      </c>
      <c r="J52" s="1026">
        <f ca="1">SUM(J17:J51)</f>
        <v>39600</v>
      </c>
      <c r="K52" s="1024">
        <f ca="1">ROUND(SUM(K17:K51),0)</f>
        <v>883476000</v>
      </c>
      <c r="L52" s="1025" t="s">
        <v>21</v>
      </c>
      <c r="M52" s="1024" t="s">
        <v>21</v>
      </c>
      <c r="N52" s="1024" t="s">
        <v>21</v>
      </c>
      <c r="O52" s="1024" t="s">
        <v>21</v>
      </c>
    </row>
    <row r="53" spans="1:15" s="5" customFormat="1" ht="16.5" customHeight="1">
      <c r="A53" s="1029"/>
      <c r="B53" s="1029"/>
      <c r="C53" s="1029"/>
      <c r="D53" s="1028" t="s">
        <v>10</v>
      </c>
      <c r="E53" s="1027" t="s">
        <v>21</v>
      </c>
      <c r="F53" s="1027"/>
      <c r="G53" s="1024" t="s">
        <v>21</v>
      </c>
      <c r="H53" s="1025" t="s">
        <v>21</v>
      </c>
      <c r="I53" s="1024" t="s">
        <v>21</v>
      </c>
      <c r="J53" s="1026" t="s">
        <v>21</v>
      </c>
      <c r="K53" s="1024" t="s">
        <v>21</v>
      </c>
      <c r="L53" s="1025">
        <f ca="1">ROUND(MAX(L16+H52-N16-J52,0),2)</f>
        <v>2160</v>
      </c>
      <c r="M53" s="1024">
        <f ca="1">ROUND(MAX(M16+I52-O16-K52,0),0)</f>
        <v>50486400</v>
      </c>
      <c r="N53" s="1024">
        <f ca="1">ROUND(MAX(N16+J52-L16-H52,0),2)</f>
        <v>0</v>
      </c>
      <c r="O53" s="1024">
        <f ca="1">ROUND(MAX(O16+K52-M16-I52,0),-1)</f>
        <v>0</v>
      </c>
    </row>
    <row r="54" spans="1:15" s="5" customFormat="1" ht="15">
      <c r="A54" s="263" t="s">
        <v>509</v>
      </c>
      <c r="B54" s="4"/>
      <c r="C54" s="4"/>
      <c r="E54" s="4"/>
      <c r="F54" s="977"/>
      <c r="G54" s="1021"/>
      <c r="H54" s="1023"/>
      <c r="I54" s="1021"/>
      <c r="J54" s="287"/>
      <c r="K54" s="1021"/>
    </row>
    <row r="55" spans="1:15" s="5" customFormat="1" ht="15">
      <c r="A55" s="263" t="s">
        <v>202</v>
      </c>
      <c r="B55" s="4"/>
      <c r="C55" s="4"/>
      <c r="E55" s="4"/>
      <c r="F55" s="977"/>
      <c r="G55" s="1021"/>
      <c r="H55" s="1023"/>
      <c r="I55" s="1021"/>
      <c r="J55" s="287"/>
      <c r="K55" s="1021"/>
    </row>
    <row r="56" spans="1:15" s="5" customFormat="1" ht="15">
      <c r="A56" s="4"/>
      <c r="B56" s="4"/>
      <c r="C56" s="4"/>
      <c r="E56" s="4"/>
      <c r="F56" s="977"/>
      <c r="G56" s="1021"/>
      <c r="H56" s="1022"/>
      <c r="I56" s="1021"/>
      <c r="J56" s="1111" t="s">
        <v>189</v>
      </c>
      <c r="K56" s="1111"/>
      <c r="L56" s="1111"/>
      <c r="M56" s="1111"/>
      <c r="N56" s="1111"/>
      <c r="O56" s="1111"/>
    </row>
    <row r="57" spans="1:15" s="5" customFormat="1" ht="15">
      <c r="A57" s="4"/>
      <c r="B57" s="4" t="s">
        <v>11</v>
      </c>
      <c r="C57" s="4"/>
      <c r="E57" s="4"/>
      <c r="F57" s="977"/>
      <c r="G57" s="1021"/>
      <c r="H57" s="1022"/>
      <c r="I57" s="1021"/>
      <c r="J57" s="287"/>
      <c r="K57" s="1021"/>
      <c r="L57" s="1111" t="s">
        <v>12</v>
      </c>
      <c r="M57" s="1111"/>
    </row>
    <row r="58" spans="1:15" s="5" customFormat="1" ht="15">
      <c r="A58" s="4"/>
      <c r="B58" s="4" t="s">
        <v>13</v>
      </c>
      <c r="C58" s="4"/>
      <c r="E58" s="4"/>
      <c r="F58" s="977"/>
      <c r="G58" s="1021"/>
      <c r="H58" s="1022"/>
      <c r="I58" s="1021"/>
      <c r="J58" s="287"/>
      <c r="K58" s="1021"/>
      <c r="L58" s="1111" t="s">
        <v>13</v>
      </c>
      <c r="M58" s="1111"/>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Zeros="0" workbookViewId="0">
      <pane ySplit="3" topLeftCell="A19" activePane="bottomLeft" state="frozen"/>
      <selection pane="bottomLeft" activeCell="B13" sqref="B13"/>
    </sheetView>
  </sheetViews>
  <sheetFormatPr defaultColWidth="8" defaultRowHeight="13.5"/>
  <cols>
    <col min="1" max="1" width="5.5703125" style="268" customWidth="1"/>
    <col min="2" max="2" width="59.140625" style="268" customWidth="1"/>
    <col min="3" max="8" width="16.42578125" style="268" customWidth="1"/>
    <col min="9" max="16384" width="8" style="268"/>
  </cols>
  <sheetData>
    <row r="1" spans="1:8" ht="27" customHeight="1">
      <c r="A1" s="1141" t="s">
        <v>125</v>
      </c>
      <c r="B1" s="1141"/>
      <c r="C1" s="1141"/>
      <c r="D1" s="1141"/>
      <c r="E1" s="1141"/>
      <c r="F1" s="1141"/>
      <c r="G1" s="1141"/>
      <c r="H1" s="1141"/>
    </row>
    <row r="2" spans="1:8" s="10" customFormat="1" ht="14.25" customHeight="1">
      <c r="A2" s="1162" t="s">
        <v>37</v>
      </c>
      <c r="B2" s="1164" t="s">
        <v>38</v>
      </c>
      <c r="C2" s="1160" t="s">
        <v>39</v>
      </c>
      <c r="D2" s="1161"/>
      <c r="E2" s="1160" t="s">
        <v>40</v>
      </c>
      <c r="F2" s="1161"/>
      <c r="G2" s="1160" t="s">
        <v>44</v>
      </c>
      <c r="H2" s="1161"/>
    </row>
    <row r="3" spans="1:8" s="10" customFormat="1" ht="14.25" customHeight="1">
      <c r="A3" s="1163"/>
      <c r="B3" s="1165"/>
      <c r="C3" s="375" t="s">
        <v>45</v>
      </c>
      <c r="D3" s="375" t="s">
        <v>46</v>
      </c>
      <c r="E3" s="375" t="s">
        <v>45</v>
      </c>
      <c r="F3" s="375" t="s">
        <v>46</v>
      </c>
      <c r="G3" s="375" t="s">
        <v>45</v>
      </c>
      <c r="H3" s="375" t="s">
        <v>46</v>
      </c>
    </row>
    <row r="4" spans="1:8" s="10" customFormat="1" ht="16.5" customHeight="1">
      <c r="A4" s="6">
        <f>ROW()-3</f>
        <v>1</v>
      </c>
      <c r="B4" s="7" t="s">
        <v>674</v>
      </c>
      <c r="C4" s="8">
        <v>0</v>
      </c>
      <c r="D4" s="8">
        <v>0</v>
      </c>
      <c r="E4" s="8">
        <f t="array" ref="E4">SUM(IF("331"&amp;B4=KHN&amp;KH,TH))</f>
        <v>0</v>
      </c>
      <c r="F4" s="8">
        <f t="array" ref="F4">SUM(IF("331"&amp;B4=KHC&amp;KH,TH))</f>
        <v>0</v>
      </c>
      <c r="G4" s="93">
        <f t="shared" ref="G4:G10" si="0">ROUND(MAX(C4+E4-D4-F4,0),2)</f>
        <v>0</v>
      </c>
      <c r="H4" s="93">
        <f t="shared" ref="H4:H10" si="1">ROUND(MAX(D4+F4-C4-E4,0),2)</f>
        <v>0</v>
      </c>
    </row>
    <row r="5" spans="1:8" s="10" customFormat="1" ht="16.5" customHeight="1">
      <c r="A5" s="6">
        <f t="shared" ref="A5:A33" si="2">ROW()-3</f>
        <v>2</v>
      </c>
      <c r="B5" s="7" t="s">
        <v>675</v>
      </c>
      <c r="C5" s="8">
        <v>0</v>
      </c>
      <c r="D5" s="8">
        <v>0</v>
      </c>
      <c r="E5" s="8">
        <f t="array" ref="E5">SUM(IF("331"&amp;B5=KHN&amp;KH,TH))</f>
        <v>0</v>
      </c>
      <c r="F5" s="8">
        <f t="array" ref="F5">SUM(IF("331"&amp;B5=KHC&amp;KH,TH))</f>
        <v>0</v>
      </c>
      <c r="G5" s="93">
        <f t="shared" si="0"/>
        <v>0</v>
      </c>
      <c r="H5" s="93">
        <f t="shared" si="1"/>
        <v>0</v>
      </c>
    </row>
    <row r="6" spans="1:8" s="10" customFormat="1" ht="16.5" customHeight="1">
      <c r="A6" s="6">
        <f t="shared" si="2"/>
        <v>3</v>
      </c>
      <c r="B6" s="7" t="s">
        <v>676</v>
      </c>
      <c r="C6" s="8">
        <v>0</v>
      </c>
      <c r="D6" s="8">
        <v>0</v>
      </c>
      <c r="E6" s="8">
        <f t="array" ref="E6">SUM(IF("331"&amp;B6=KHN&amp;KH,TH))</f>
        <v>0</v>
      </c>
      <c r="F6" s="8">
        <f t="array" ref="F6">SUM(IF("331"&amp;B6=KHC&amp;KH,TH))</f>
        <v>0</v>
      </c>
      <c r="G6" s="93">
        <f t="shared" si="0"/>
        <v>0</v>
      </c>
      <c r="H6" s="93">
        <f t="shared" si="1"/>
        <v>0</v>
      </c>
    </row>
    <row r="7" spans="1:8" s="10" customFormat="1" ht="16.5" customHeight="1">
      <c r="A7" s="6">
        <f t="shared" si="2"/>
        <v>4</v>
      </c>
      <c r="B7" s="7" t="s">
        <v>677</v>
      </c>
      <c r="C7" s="8">
        <v>0</v>
      </c>
      <c r="D7" s="8">
        <v>0</v>
      </c>
      <c r="E7" s="8">
        <f t="array" ref="E7">SUM(IF("331"&amp;B7=KHN&amp;KH,TH))</f>
        <v>0</v>
      </c>
      <c r="F7" s="8">
        <f t="array" ref="F7">SUM(IF("331"&amp;B7=KHC&amp;KH,TH))</f>
        <v>0</v>
      </c>
      <c r="G7" s="93">
        <f t="shared" si="0"/>
        <v>0</v>
      </c>
      <c r="H7" s="93">
        <f t="shared" si="1"/>
        <v>0</v>
      </c>
    </row>
    <row r="8" spans="1:8" s="10" customFormat="1" ht="16.5" customHeight="1">
      <c r="A8" s="6">
        <f t="shared" si="2"/>
        <v>5</v>
      </c>
      <c r="B8" s="7" t="s">
        <v>678</v>
      </c>
      <c r="C8" s="8">
        <v>0</v>
      </c>
      <c r="D8" s="8">
        <v>0</v>
      </c>
      <c r="E8" s="8">
        <f t="array" ref="E8">SUM(IF("331"&amp;B8=KHN&amp;KH,TH))</f>
        <v>0</v>
      </c>
      <c r="F8" s="8">
        <f t="array" ref="F8">SUM(IF("331"&amp;B8=KHC&amp;KH,TH))</f>
        <v>38500000</v>
      </c>
      <c r="G8" s="93">
        <f t="shared" si="0"/>
        <v>0</v>
      </c>
      <c r="H8" s="93">
        <f t="shared" si="1"/>
        <v>38500000</v>
      </c>
    </row>
    <row r="9" spans="1:8" s="10" customFormat="1" ht="16.5" customHeight="1">
      <c r="A9" s="6">
        <f t="shared" si="2"/>
        <v>6</v>
      </c>
      <c r="B9" s="7" t="s">
        <v>679</v>
      </c>
      <c r="C9" s="8">
        <v>0</v>
      </c>
      <c r="D9" s="8">
        <v>0</v>
      </c>
      <c r="E9" s="8">
        <f t="array" ref="E9">SUM(IF("331"&amp;B9=KHN&amp;KH,TH))</f>
        <v>0</v>
      </c>
      <c r="F9" s="8">
        <f t="array" ref="F9">SUM(IF("331"&amp;B9=KHC&amp;KH,TH))</f>
        <v>0</v>
      </c>
      <c r="G9" s="93">
        <f t="shared" si="0"/>
        <v>0</v>
      </c>
      <c r="H9" s="93">
        <f t="shared" si="1"/>
        <v>0</v>
      </c>
    </row>
    <row r="10" spans="1:8" s="10" customFormat="1" ht="16.5" customHeight="1">
      <c r="A10" s="6">
        <f t="shared" si="2"/>
        <v>7</v>
      </c>
      <c r="B10" s="78" t="s">
        <v>680</v>
      </c>
      <c r="C10" s="8">
        <v>0</v>
      </c>
      <c r="D10" s="8">
        <v>60990540</v>
      </c>
      <c r="E10" s="8">
        <f t="array" ref="E10">SUM(IF("331"&amp;B10=KHN&amp;KH,TH))</f>
        <v>0</v>
      </c>
      <c r="F10" s="8">
        <f t="array" ref="F10">SUM(IF("331"&amp;B10=KHC&amp;KH,TH))</f>
        <v>175292100</v>
      </c>
      <c r="G10" s="93">
        <f t="shared" si="0"/>
        <v>0</v>
      </c>
      <c r="H10" s="93">
        <f t="shared" si="1"/>
        <v>236282640</v>
      </c>
    </row>
    <row r="11" spans="1:8" s="10" customFormat="1" ht="16.5" customHeight="1">
      <c r="A11" s="6">
        <f t="shared" si="2"/>
        <v>8</v>
      </c>
      <c r="B11" s="7" t="s">
        <v>681</v>
      </c>
      <c r="C11" s="8">
        <v>0</v>
      </c>
      <c r="D11" s="8">
        <v>62480865</v>
      </c>
      <c r="E11" s="8">
        <f t="array" ref="E11">SUM(IF("331"&amp;B11=KHN&amp;KH,TH))</f>
        <v>0</v>
      </c>
      <c r="F11" s="8">
        <f t="array" ref="F11">SUM(IF("331"&amp;B11=KHC&amp;KH,TH))</f>
        <v>0</v>
      </c>
      <c r="G11" s="93">
        <f t="shared" ref="G11:G22" si="3">ROUND(MAX(C11+E11-D11-F11,0),2)</f>
        <v>0</v>
      </c>
      <c r="H11" s="93">
        <f t="shared" ref="H11:H22" si="4">ROUND(MAX(D11+F11-C11-E11,0),2)</f>
        <v>62480865</v>
      </c>
    </row>
    <row r="12" spans="1:8" s="10" customFormat="1" ht="16.5" customHeight="1">
      <c r="A12" s="6">
        <f t="shared" si="2"/>
        <v>9</v>
      </c>
      <c r="B12" s="7" t="s">
        <v>743</v>
      </c>
      <c r="C12" s="8">
        <v>0</v>
      </c>
      <c r="D12" s="8">
        <v>0</v>
      </c>
      <c r="E12" s="8">
        <f t="array" ref="E12">SUM(IF("331"&amp;B12=KHN&amp;KH,TH))</f>
        <v>29500000</v>
      </c>
      <c r="F12" s="8">
        <f t="array" ref="F12">SUM(IF("331"&amp;B12=KHC&amp;KH,TH))</f>
        <v>29500000</v>
      </c>
      <c r="G12" s="93">
        <f>ROUND(MAX(C12+E12-D12-F12,0),2)</f>
        <v>0</v>
      </c>
      <c r="H12" s="93">
        <f>ROUND(MAX(D12+F12-C12-E12,0),2)</f>
        <v>0</v>
      </c>
    </row>
    <row r="13" spans="1:8" s="10" customFormat="1" ht="16.5" customHeight="1">
      <c r="A13" s="6">
        <f t="shared" si="2"/>
        <v>10</v>
      </c>
      <c r="B13" s="7" t="s">
        <v>744</v>
      </c>
      <c r="C13" s="8">
        <v>0</v>
      </c>
      <c r="D13" s="8">
        <v>0</v>
      </c>
      <c r="E13" s="8">
        <f t="array" ref="E13">SUM(IF("331"&amp;B13=KHN&amp;KH,TH))</f>
        <v>0</v>
      </c>
      <c r="F13" s="8">
        <f t="array" ref="F13">SUM(IF("331"&amp;B13=KHC&amp;KH,TH))</f>
        <v>36300000</v>
      </c>
      <c r="G13" s="93">
        <f>ROUND(MAX(C13+E13-D13-F13,0),2)</f>
        <v>0</v>
      </c>
      <c r="H13" s="93">
        <f>ROUND(MAX(D13+F13-C13-E13,0),2)</f>
        <v>36300000</v>
      </c>
    </row>
    <row r="14" spans="1:8" s="10" customFormat="1" ht="16.5" customHeight="1">
      <c r="A14" s="6">
        <f t="shared" si="2"/>
        <v>11</v>
      </c>
      <c r="B14" s="7" t="s">
        <v>682</v>
      </c>
      <c r="C14" s="8">
        <v>0</v>
      </c>
      <c r="D14" s="8">
        <v>0</v>
      </c>
      <c r="E14" s="8">
        <f t="array" ref="E14">SUM(IF("331"&amp;B14=KHN&amp;KH,TH))</f>
        <v>0</v>
      </c>
      <c r="F14" s="8">
        <f t="array" ref="F14">SUM(IF("331"&amp;B14=KHC&amp;KH,TH))</f>
        <v>0</v>
      </c>
      <c r="G14" s="93">
        <f>ROUND(MAX(C14+E14-D14-F14,0),2)</f>
        <v>0</v>
      </c>
      <c r="H14" s="93">
        <f>ROUND(MAX(D14+F14-C14-E14,0),2)</f>
        <v>0</v>
      </c>
    </row>
    <row r="15" spans="1:8" s="10" customFormat="1" ht="16.5" customHeight="1">
      <c r="A15" s="6">
        <f t="shared" si="2"/>
        <v>12</v>
      </c>
      <c r="B15" s="78" t="s">
        <v>683</v>
      </c>
      <c r="C15" s="8">
        <v>0</v>
      </c>
      <c r="D15" s="8">
        <v>38506000</v>
      </c>
      <c r="E15" s="8">
        <f t="array" ref="E15">SUM(IF("331"&amp;B15=KHN&amp;KH,TH))</f>
        <v>38506000</v>
      </c>
      <c r="F15" s="8">
        <f t="array" ref="F15">SUM(IF("331"&amp;B15=KHC&amp;KH,TH))</f>
        <v>85536000</v>
      </c>
      <c r="G15" s="93">
        <f>ROUND(MAX(C15+E15-D15-F15,0),2)</f>
        <v>0</v>
      </c>
      <c r="H15" s="93">
        <f>ROUND(MAX(D15+F15-C15-E15,0),2)</f>
        <v>85536000</v>
      </c>
    </row>
    <row r="16" spans="1:8" s="10" customFormat="1" ht="16.5" customHeight="1">
      <c r="A16" s="6">
        <f t="shared" si="2"/>
        <v>13</v>
      </c>
      <c r="B16" s="7" t="s">
        <v>684</v>
      </c>
      <c r="C16" s="8">
        <v>0</v>
      </c>
      <c r="D16" s="8">
        <v>0</v>
      </c>
      <c r="E16" s="8">
        <f t="array" ref="E16">SUM(IF("331"&amp;B16=KHN&amp;KH,TH))</f>
        <v>0</v>
      </c>
      <c r="F16" s="8">
        <f t="array" ref="F16">SUM(IF("331"&amp;B16=KHC&amp;KH,TH))</f>
        <v>0</v>
      </c>
      <c r="G16" s="93">
        <f>ROUND(MAX(C16+E16-D16-F16,0),2)</f>
        <v>0</v>
      </c>
      <c r="H16" s="93">
        <f>ROUND(MAX(D16+F16-C16-E16,0),2)</f>
        <v>0</v>
      </c>
    </row>
    <row r="17" spans="1:8" s="10" customFormat="1" ht="16.5" customHeight="1">
      <c r="A17" s="6">
        <f t="shared" si="2"/>
        <v>14</v>
      </c>
      <c r="B17" s="7" t="s">
        <v>685</v>
      </c>
      <c r="C17" s="8">
        <v>0</v>
      </c>
      <c r="D17" s="8">
        <v>7500000</v>
      </c>
      <c r="E17" s="8">
        <f t="array" ref="E17">SUM(IF("331"&amp;B17=KHN&amp;KH,TH))</f>
        <v>7500000</v>
      </c>
      <c r="F17" s="8">
        <f t="array" ref="F17">SUM(IF("331"&amp;B17=KHC&amp;KH,TH))</f>
        <v>0</v>
      </c>
      <c r="G17" s="93">
        <f t="shared" si="3"/>
        <v>0</v>
      </c>
      <c r="H17" s="93">
        <f t="shared" si="4"/>
        <v>0</v>
      </c>
    </row>
    <row r="18" spans="1:8" s="10" customFormat="1" ht="16.5" customHeight="1">
      <c r="A18" s="6">
        <f t="shared" si="2"/>
        <v>15</v>
      </c>
      <c r="B18" s="7" t="s">
        <v>686</v>
      </c>
      <c r="C18" s="8">
        <v>0</v>
      </c>
      <c r="D18" s="8">
        <v>0</v>
      </c>
      <c r="E18" s="8">
        <f t="array" ref="E18">SUM(IF("331"&amp;B18=KHN&amp;KH,TH))</f>
        <v>0</v>
      </c>
      <c r="F18" s="8">
        <f t="array" ref="F18">SUM(IF("331"&amp;B18=KHC&amp;KH,TH))</f>
        <v>0</v>
      </c>
      <c r="G18" s="93">
        <f t="shared" si="3"/>
        <v>0</v>
      </c>
      <c r="H18" s="93">
        <f t="shared" si="4"/>
        <v>0</v>
      </c>
    </row>
    <row r="19" spans="1:8" s="10" customFormat="1" ht="16.5" customHeight="1">
      <c r="A19" s="6">
        <f t="shared" si="2"/>
        <v>16</v>
      </c>
      <c r="B19" s="7" t="s">
        <v>687</v>
      </c>
      <c r="C19" s="8">
        <v>0</v>
      </c>
      <c r="D19" s="8">
        <v>24446400</v>
      </c>
      <c r="E19" s="8">
        <f t="array" ref="E19">SUM(IF("331"&amp;B19=KHN&amp;KH,TH))</f>
        <v>0</v>
      </c>
      <c r="F19" s="8">
        <f t="array" ref="F19">SUM(IF("331"&amp;B19=KHC&amp;KH,TH))</f>
        <v>0</v>
      </c>
      <c r="G19" s="93">
        <f t="shared" si="3"/>
        <v>0</v>
      </c>
      <c r="H19" s="93">
        <f t="shared" si="4"/>
        <v>24446400</v>
      </c>
    </row>
    <row r="20" spans="1:8" s="10" customFormat="1" ht="16.5" customHeight="1">
      <c r="A20" s="6">
        <f t="shared" si="2"/>
        <v>17</v>
      </c>
      <c r="B20" s="7" t="s">
        <v>688</v>
      </c>
      <c r="C20" s="8">
        <v>0</v>
      </c>
      <c r="D20" s="8">
        <v>0</v>
      </c>
      <c r="E20" s="8">
        <f t="array" ref="E20">SUM(IF("331"&amp;B20=KHN&amp;KH,TH))</f>
        <v>0</v>
      </c>
      <c r="F20" s="8">
        <f t="array" ref="F20">SUM(IF("331"&amp;B20=KHC&amp;KH,TH))</f>
        <v>0</v>
      </c>
      <c r="G20" s="93">
        <f t="shared" si="3"/>
        <v>0</v>
      </c>
      <c r="H20" s="93">
        <f t="shared" si="4"/>
        <v>0</v>
      </c>
    </row>
    <row r="21" spans="1:8" s="10" customFormat="1" ht="16.5" customHeight="1">
      <c r="A21" s="6">
        <f t="shared" si="2"/>
        <v>18</v>
      </c>
      <c r="B21" s="7" t="s">
        <v>689</v>
      </c>
      <c r="C21" s="8">
        <v>0</v>
      </c>
      <c r="D21" s="8">
        <v>0</v>
      </c>
      <c r="E21" s="8">
        <f t="array" ref="E21">SUM(IF("331"&amp;B21=KHN&amp;KH,TH))</f>
        <v>0</v>
      </c>
      <c r="F21" s="8">
        <f t="array" ref="F21">SUM(IF("331"&amp;B21=KHC&amp;KH,TH))</f>
        <v>0</v>
      </c>
      <c r="G21" s="93">
        <f t="shared" si="3"/>
        <v>0</v>
      </c>
      <c r="H21" s="93">
        <f t="shared" si="4"/>
        <v>0</v>
      </c>
    </row>
    <row r="22" spans="1:8" s="10" customFormat="1" ht="16.5" customHeight="1">
      <c r="A22" s="6">
        <f t="shared" si="2"/>
        <v>19</v>
      </c>
      <c r="B22" s="7" t="s">
        <v>690</v>
      </c>
      <c r="C22" s="8">
        <v>0</v>
      </c>
      <c r="D22" s="8">
        <v>0</v>
      </c>
      <c r="E22" s="8">
        <f t="array" ref="E22">SUM(IF("331"&amp;B22=KHN&amp;KH,TH))</f>
        <v>0</v>
      </c>
      <c r="F22" s="8">
        <f t="array" ref="F22">SUM(IF("331"&amp;B22=KHC&amp;KH,TH))</f>
        <v>0</v>
      </c>
      <c r="G22" s="93">
        <f t="shared" si="3"/>
        <v>0</v>
      </c>
      <c r="H22" s="93">
        <f t="shared" si="4"/>
        <v>0</v>
      </c>
    </row>
    <row r="23" spans="1:8" s="10" customFormat="1" ht="16.5" customHeight="1">
      <c r="A23" s="6">
        <f t="shared" si="2"/>
        <v>20</v>
      </c>
      <c r="B23" s="7" t="s">
        <v>691</v>
      </c>
      <c r="C23" s="8">
        <v>0</v>
      </c>
      <c r="D23" s="8">
        <v>0</v>
      </c>
      <c r="E23" s="8">
        <f t="array" ref="E23">SUM(IF("331"&amp;B23=KHN&amp;KH,TH))</f>
        <v>5945000</v>
      </c>
      <c r="F23" s="8">
        <f t="array" ref="F23">SUM(IF("331"&amp;B23=KHC&amp;KH,TH))</f>
        <v>5945000</v>
      </c>
      <c r="G23" s="93">
        <f t="shared" ref="G23:G33" si="5">ROUND(MAX(C23+E23-D23-F23,0),2)</f>
        <v>0</v>
      </c>
      <c r="H23" s="93">
        <f t="shared" ref="H23:H33" si="6">ROUND(MAX(D23+F23-C23-E23,0),2)</f>
        <v>0</v>
      </c>
    </row>
    <row r="24" spans="1:8" s="10" customFormat="1" ht="16.5" customHeight="1">
      <c r="A24" s="6">
        <f t="shared" si="2"/>
        <v>21</v>
      </c>
      <c r="B24" s="7" t="s">
        <v>692</v>
      </c>
      <c r="C24" s="8">
        <v>0</v>
      </c>
      <c r="D24" s="8">
        <v>124797985</v>
      </c>
      <c r="E24" s="8">
        <f t="array" ref="E24">SUM(IF("331"&amp;B24=KHN&amp;KH,TH))</f>
        <v>0</v>
      </c>
      <c r="F24" s="8">
        <f t="array" ref="F24">SUM(IF("331"&amp;B24=KHC&amp;KH,TH))</f>
        <v>8600000</v>
      </c>
      <c r="G24" s="93">
        <f t="shared" si="5"/>
        <v>0</v>
      </c>
      <c r="H24" s="93">
        <f t="shared" si="6"/>
        <v>133397985</v>
      </c>
    </row>
    <row r="25" spans="1:8" s="10" customFormat="1" ht="16.5" customHeight="1">
      <c r="A25" s="6">
        <f t="shared" si="2"/>
        <v>22</v>
      </c>
      <c r="B25" s="7" t="s">
        <v>693</v>
      </c>
      <c r="C25" s="8">
        <v>0</v>
      </c>
      <c r="D25" s="8">
        <v>0</v>
      </c>
      <c r="E25" s="8">
        <f t="array" ref="E25">SUM(IF("331"&amp;B25=KHN&amp;KH,TH))</f>
        <v>0</v>
      </c>
      <c r="F25" s="8">
        <f t="array" ref="F25">SUM(IF("331"&amp;B25=KHC&amp;KH,TH))</f>
        <v>0</v>
      </c>
      <c r="G25" s="93">
        <f t="shared" si="5"/>
        <v>0</v>
      </c>
      <c r="H25" s="93">
        <f t="shared" si="6"/>
        <v>0</v>
      </c>
    </row>
    <row r="26" spans="1:8" s="10" customFormat="1" ht="16.5" customHeight="1">
      <c r="A26" s="6">
        <f t="shared" si="2"/>
        <v>23</v>
      </c>
      <c r="B26" s="7" t="s">
        <v>694</v>
      </c>
      <c r="C26" s="8">
        <v>0</v>
      </c>
      <c r="D26" s="8">
        <v>122052632</v>
      </c>
      <c r="E26" s="8">
        <f t="array" ref="E26">SUM(IF("331"&amp;B26=KHN&amp;KH,TH))</f>
        <v>0</v>
      </c>
      <c r="F26" s="8">
        <f t="array" ref="F26">SUM(IF("331"&amp;B26=KHC&amp;KH,TH))</f>
        <v>64798868</v>
      </c>
      <c r="G26" s="93">
        <f t="shared" si="5"/>
        <v>0</v>
      </c>
      <c r="H26" s="93">
        <f t="shared" si="6"/>
        <v>186851500</v>
      </c>
    </row>
    <row r="27" spans="1:8" s="10" customFormat="1" ht="16.5" customHeight="1">
      <c r="A27" s="6">
        <f t="shared" si="2"/>
        <v>24</v>
      </c>
      <c r="B27" s="7" t="s">
        <v>695</v>
      </c>
      <c r="C27" s="8">
        <v>0</v>
      </c>
      <c r="D27" s="8">
        <v>0</v>
      </c>
      <c r="E27" s="8">
        <f t="array" ref="E27">SUM(IF("331"&amp;B27=KHN&amp;KH,TH))</f>
        <v>0</v>
      </c>
      <c r="F27" s="8">
        <f t="array" ref="F27">SUM(IF("331"&amp;B27=KHC&amp;KH,TH))</f>
        <v>0</v>
      </c>
      <c r="G27" s="93">
        <f t="shared" si="5"/>
        <v>0</v>
      </c>
      <c r="H27" s="93">
        <f t="shared" si="6"/>
        <v>0</v>
      </c>
    </row>
    <row r="28" spans="1:8" s="10" customFormat="1" ht="16.5" customHeight="1">
      <c r="A28" s="6">
        <f t="shared" si="2"/>
        <v>25</v>
      </c>
      <c r="B28" s="7" t="s">
        <v>696</v>
      </c>
      <c r="C28" s="8">
        <v>0</v>
      </c>
      <c r="D28" s="8">
        <v>0</v>
      </c>
      <c r="E28" s="8">
        <f t="array" ref="E28">SUM(IF("331"&amp;B28=KHN&amp;KH,TH))</f>
        <v>0</v>
      </c>
      <c r="F28" s="8">
        <f t="array" ref="F28">SUM(IF("331"&amp;B28=KHC&amp;KH,TH))</f>
        <v>0</v>
      </c>
      <c r="G28" s="93">
        <f t="shared" si="5"/>
        <v>0</v>
      </c>
      <c r="H28" s="93">
        <f t="shared" si="6"/>
        <v>0</v>
      </c>
    </row>
    <row r="29" spans="1:8" s="10" customFormat="1" ht="16.5" customHeight="1">
      <c r="A29" s="6">
        <f t="shared" si="2"/>
        <v>26</v>
      </c>
      <c r="B29" s="7" t="s">
        <v>697</v>
      </c>
      <c r="C29" s="8">
        <v>0</v>
      </c>
      <c r="D29" s="8">
        <v>39198830</v>
      </c>
      <c r="E29" s="8">
        <f t="array" ref="E29">SUM(IF("331"&amp;B29=KHN&amp;KH,TH))</f>
        <v>66317130</v>
      </c>
      <c r="F29" s="8">
        <f t="array" ref="F29">SUM(IF("331"&amp;B29=KHC&amp;KH,TH))</f>
        <v>91269090</v>
      </c>
      <c r="G29" s="93">
        <f t="shared" si="5"/>
        <v>0</v>
      </c>
      <c r="H29" s="93">
        <f t="shared" si="6"/>
        <v>64150790</v>
      </c>
    </row>
    <row r="30" spans="1:8" s="10" customFormat="1" ht="16.5" customHeight="1">
      <c r="A30" s="6">
        <f t="shared" si="2"/>
        <v>27</v>
      </c>
      <c r="B30" s="7" t="s">
        <v>698</v>
      </c>
      <c r="C30" s="8">
        <v>0</v>
      </c>
      <c r="D30" s="8">
        <v>0</v>
      </c>
      <c r="E30" s="8">
        <f t="array" ref="E30">SUM(IF("331"&amp;B30=KHN&amp;KH,TH))</f>
        <v>0</v>
      </c>
      <c r="F30" s="8">
        <f t="array" ref="F30">SUM(IF("331"&amp;B30=KHC&amp;KH,TH))</f>
        <v>0</v>
      </c>
      <c r="G30" s="93">
        <f t="shared" si="5"/>
        <v>0</v>
      </c>
      <c r="H30" s="93">
        <f t="shared" si="6"/>
        <v>0</v>
      </c>
    </row>
    <row r="31" spans="1:8" s="10" customFormat="1" ht="16.5" customHeight="1">
      <c r="A31" s="6">
        <f t="shared" si="2"/>
        <v>28</v>
      </c>
      <c r="B31" s="7" t="s">
        <v>699</v>
      </c>
      <c r="C31" s="8">
        <v>60000000</v>
      </c>
      <c r="D31" s="8">
        <v>0</v>
      </c>
      <c r="E31" s="8">
        <f t="array" ref="E31">SUM(IF("331"&amp;B31=KHN&amp;KH,TH))</f>
        <v>0</v>
      </c>
      <c r="F31" s="8">
        <f t="array" ref="F31">SUM(IF("331"&amp;B31=KHC&amp;KH,TH))</f>
        <v>0</v>
      </c>
      <c r="G31" s="93">
        <f t="shared" si="5"/>
        <v>60000000</v>
      </c>
      <c r="H31" s="93">
        <f t="shared" si="6"/>
        <v>0</v>
      </c>
    </row>
    <row r="32" spans="1:8" s="10" customFormat="1" ht="16.5" customHeight="1">
      <c r="A32" s="6">
        <f t="shared" si="2"/>
        <v>29</v>
      </c>
      <c r="B32" s="7" t="s">
        <v>700</v>
      </c>
      <c r="C32" s="8">
        <v>0</v>
      </c>
      <c r="D32" s="8">
        <v>0</v>
      </c>
      <c r="E32" s="8">
        <f t="array" ref="E32">SUM(IF("331"&amp;B32=KHN&amp;KH,TH))</f>
        <v>0</v>
      </c>
      <c r="F32" s="8">
        <f t="array" ref="F32">SUM(IF("331"&amp;B32=KHC&amp;KH,TH))</f>
        <v>0</v>
      </c>
      <c r="G32" s="93">
        <f t="shared" si="5"/>
        <v>0</v>
      </c>
      <c r="H32" s="93">
        <f t="shared" si="6"/>
        <v>0</v>
      </c>
    </row>
    <row r="33" spans="1:8" s="10" customFormat="1" ht="16.5" customHeight="1">
      <c r="A33" s="6">
        <f t="shared" si="2"/>
        <v>30</v>
      </c>
      <c r="B33" s="7" t="s">
        <v>701</v>
      </c>
      <c r="C33" s="8">
        <v>0</v>
      </c>
      <c r="D33" s="8">
        <v>56980000</v>
      </c>
      <c r="E33" s="8">
        <f t="array" ref="E33">SUM(IF("331"&amp;B33=KHN&amp;KH,TH))</f>
        <v>56980000</v>
      </c>
      <c r="F33" s="8">
        <f t="array" ref="F33">SUM(IF("331"&amp;B33=KHC&amp;KH,TH))</f>
        <v>0</v>
      </c>
      <c r="G33" s="93">
        <f t="shared" si="5"/>
        <v>0</v>
      </c>
      <c r="H33" s="93">
        <f t="shared" si="6"/>
        <v>0</v>
      </c>
    </row>
    <row r="34" spans="1:8" s="10" customFormat="1" ht="16.5" customHeight="1">
      <c r="A34" s="6"/>
      <c r="B34" s="75"/>
      <c r="C34" s="8"/>
      <c r="D34" s="8"/>
      <c r="E34" s="8"/>
      <c r="F34" s="8"/>
      <c r="G34" s="93"/>
      <c r="H34" s="93"/>
    </row>
    <row r="35" spans="1:8" s="14" customFormat="1" ht="14.25" customHeight="1">
      <c r="A35" s="11"/>
      <c r="B35" s="12" t="s">
        <v>41</v>
      </c>
      <c r="C35" s="13">
        <f>SUM(C4:C34)</f>
        <v>60000000</v>
      </c>
      <c r="D35" s="13">
        <f t="shared" ref="D35:H35" si="7">SUM(D4:D34)</f>
        <v>536953252</v>
      </c>
      <c r="E35" s="13">
        <f t="shared" si="7"/>
        <v>204748130</v>
      </c>
      <c r="F35" s="13">
        <f t="shared" si="7"/>
        <v>535741058</v>
      </c>
      <c r="G35" s="13">
        <f t="shared" si="7"/>
        <v>60000000</v>
      </c>
      <c r="H35" s="13">
        <f t="shared" si="7"/>
        <v>867946180</v>
      </c>
    </row>
    <row r="37" spans="1:8">
      <c r="E37" s="15">
        <f>CDPS!E38</f>
        <v>204748130</v>
      </c>
      <c r="F37" s="15">
        <f>CDPS!F38</f>
        <v>535741058</v>
      </c>
    </row>
    <row r="39" spans="1:8">
      <c r="E39" s="275">
        <f>E35-E37</f>
        <v>0</v>
      </c>
      <c r="F39" s="275">
        <f>F35-F37</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66" t="s">
        <v>49</v>
      </c>
      <c r="I1" s="1166"/>
      <c r="J1" s="1166"/>
    </row>
    <row r="2" spans="1:10" s="3" customFormat="1" ht="14.25" customHeight="1">
      <c r="A2" s="1" t="s">
        <v>15</v>
      </c>
      <c r="B2" s="16"/>
      <c r="C2" s="16"/>
      <c r="G2" s="17"/>
      <c r="H2" s="1167" t="s">
        <v>50</v>
      </c>
      <c r="I2" s="1167"/>
      <c r="J2" s="1167"/>
    </row>
    <row r="3" spans="1:10" s="3" customFormat="1" ht="14.25" customHeight="1">
      <c r="A3" s="4"/>
      <c r="B3" s="16"/>
      <c r="C3" s="16"/>
      <c r="G3" s="17"/>
      <c r="H3" s="1167"/>
      <c r="I3" s="1167"/>
      <c r="J3" s="1167"/>
    </row>
    <row r="4" spans="1:10" s="5" customFormat="1" ht="28.5" customHeight="1">
      <c r="A4" s="1173" t="s">
        <v>28</v>
      </c>
      <c r="B4" s="1173"/>
      <c r="C4" s="1173"/>
      <c r="D4" s="1173"/>
      <c r="E4" s="1173"/>
      <c r="F4" s="1173"/>
      <c r="G4" s="1173"/>
      <c r="H4" s="1173"/>
      <c r="I4" s="1173"/>
      <c r="J4" s="1173"/>
    </row>
    <row r="5" spans="1:10" s="18" customFormat="1" ht="14.25" customHeight="1">
      <c r="E5" s="19" t="s">
        <v>29</v>
      </c>
    </row>
    <row r="6" spans="1:10" s="18" customFormat="1" ht="14.25" customHeight="1">
      <c r="E6" s="19" t="s">
        <v>30</v>
      </c>
    </row>
    <row r="7" spans="1:10" s="18" customFormat="1" ht="14.25" customHeight="1">
      <c r="D7" s="20" t="s">
        <v>48</v>
      </c>
      <c r="E7" s="1168" t="s">
        <v>691</v>
      </c>
      <c r="F7" s="1168"/>
      <c r="G7" s="1168"/>
      <c r="H7" s="1168"/>
    </row>
    <row r="8" spans="1:10" s="18" customFormat="1" ht="14.25" customHeight="1">
      <c r="E8" s="19" t="s">
        <v>31</v>
      </c>
    </row>
    <row r="9" spans="1:10" s="18" customFormat="1" ht="6.75" customHeight="1">
      <c r="B9" s="19"/>
      <c r="C9" s="1169"/>
      <c r="D9" s="1169"/>
      <c r="E9" s="1169"/>
      <c r="F9" s="1169"/>
      <c r="G9" s="1169"/>
      <c r="H9" s="1169"/>
      <c r="I9" s="1169"/>
      <c r="J9" s="1169"/>
    </row>
    <row r="10" spans="1:10" s="18" customFormat="1" ht="14.25" customHeight="1">
      <c r="A10" s="1115" t="s">
        <v>22</v>
      </c>
      <c r="B10" s="1170" t="s">
        <v>1</v>
      </c>
      <c r="C10" s="1170"/>
      <c r="D10" s="1115" t="s">
        <v>0</v>
      </c>
      <c r="E10" s="1115" t="s">
        <v>16</v>
      </c>
      <c r="F10" s="1115" t="s">
        <v>32</v>
      </c>
      <c r="G10" s="1171" t="s">
        <v>23</v>
      </c>
      <c r="H10" s="1172"/>
      <c r="I10" s="1171" t="s">
        <v>33</v>
      </c>
      <c r="J10" s="1172"/>
    </row>
    <row r="11" spans="1:10" s="18" customFormat="1" ht="24.75" customHeight="1">
      <c r="A11" s="1115"/>
      <c r="B11" s="30" t="s">
        <v>17</v>
      </c>
      <c r="C11" s="30" t="s">
        <v>34</v>
      </c>
      <c r="D11" s="1115"/>
      <c r="E11" s="1115"/>
      <c r="F11" s="1115"/>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VLOOKUP($E$7,'331'!$B$4:$H$34,2,0)</f>
        <v>0</v>
      </c>
      <c r="J13" s="81">
        <f>VLOOKUP($E$7,'331'!$B$4:$H$34,3,0)</f>
        <v>0</v>
      </c>
    </row>
    <row r="14" spans="1:10" s="18" customFormat="1" ht="18" customHeight="1">
      <c r="A14" s="9">
        <f ca="1">IF(C14&lt;&gt;"",C14,"")</f>
        <v>42369</v>
      </c>
      <c r="B14" s="9" t="str">
        <f ca="1">IF(ROWS($1:1)&gt;COUNT(Dong),"",OFFSET(TH!D$1,SMALL(Dong,ROWS($1:1)),))</f>
        <v>CTGS</v>
      </c>
      <c r="C14" s="9">
        <f ca="1">IF(ROWS($1:1)&gt;COUNT(Dong),"",OFFSET(TH!E$1,SMALL(Dong,ROWS($1:1)),))</f>
        <v>42369</v>
      </c>
      <c r="D14" s="443" t="str">
        <f ca="1">IF(ROWS($1:1)&gt;COUNT(Dong),"",OFFSET(TH!F$1,SMALL(Dong,ROWS($1:1)),))</f>
        <v>Phí phân tích chỉ tiêu</v>
      </c>
      <c r="E14" s="80" t="str">
        <f ca="1">IF(ROWS($1:1)&gt;COUNT(Dong),"",IF(OFFSET(TH!N$1,SMALL(Dong,ROWS($1:1)),)="331",OFFSET(TH!O$1,SMALL(Dong,ROWS($1:1)),),OFFSET(TH!N$1,SMALL(Dong,ROWS($1:1)),)))</f>
        <v>641</v>
      </c>
      <c r="F14" s="80"/>
      <c r="G14" s="102">
        <f ca="1">IF(ROWS($1:1)&gt;COUNT(Dong),"",IF(OFFSET(TH!N$1,SMALL(Dong,ROWS($1:1)),)="331",OFFSET(TH!M$1,SMALL(Dong,ROWS($1:1)),),0))</f>
        <v>0</v>
      </c>
      <c r="H14" s="102">
        <f ca="1">IF(ROWS($1:1)&gt;COUNT(Dong),"",IF(OFFSET(TH!O$1,SMALL(Dong,ROWS($1:1)),)="331",OFFSET(TH!M$1,SMALL(Dong,ROWS($1:1)),),0))</f>
        <v>4645000</v>
      </c>
      <c r="I14" s="25">
        <f ca="1">IF(D14&lt;&gt;"",MAX(I13+G14-H14-J13,0),0)</f>
        <v>0</v>
      </c>
      <c r="J14" s="25">
        <f ca="1">IF(D14&lt;&gt;"",MAX(J13+H14-I13-G14,0),0)</f>
        <v>4645000</v>
      </c>
    </row>
    <row r="15" spans="1:10" s="18" customFormat="1" ht="18" customHeight="1">
      <c r="A15" s="9">
        <f t="shared" ref="A15:A30" ca="1" si="0">IF(C15&lt;&gt;"",C15,"")</f>
        <v>42369</v>
      </c>
      <c r="B15" s="9" t="str">
        <f ca="1">IF(ROWS($1:2)&gt;COUNT(Dong),"",OFFSET(TH!D$1,SMALL(Dong,ROWS($1:2)),))</f>
        <v>CTGS</v>
      </c>
      <c r="C15" s="9">
        <f ca="1">IF(ROWS($1:2)&gt;COUNT(Dong),"",OFFSET(TH!E$1,SMALL(Dong,ROWS($1:2)),))</f>
        <v>42369</v>
      </c>
      <c r="D15" s="443" t="str">
        <f ca="1">IF(ROWS($1:2)&gt;COUNT(Dong),"",OFFSET(TH!F$1,SMALL(Dong,ROWS($1:2)),))</f>
        <v>Phí phân tích chỉ tiêu</v>
      </c>
      <c r="E15" s="80" t="str">
        <f ca="1">IF(ROWS($1:2)&gt;COUNT(Dong),"",IF(OFFSET(TH!N$1,SMALL(Dong,ROWS($1:2)),)="331",OFFSET(TH!O$1,SMALL(Dong,ROWS($1:2)),),OFFSET(TH!N$1,SMALL(Dong,ROWS($1:2)),)))</f>
        <v>641</v>
      </c>
      <c r="F15" s="80"/>
      <c r="G15" s="102">
        <f ca="1">IF(ROWS($1:2)&gt;COUNT(Dong),"",IF(OFFSET(TH!N$1,SMALL(Dong,ROWS($1:2)),)="331",OFFSET(TH!M$1,SMALL(Dong,ROWS($1:2)),),0))</f>
        <v>0</v>
      </c>
      <c r="H15" s="102">
        <f ca="1">IF(ROWS($1:2)&gt;COUNT(Dong),"",IF(OFFSET(TH!O$1,SMALL(Dong,ROWS($1:2)),)="331",OFFSET(TH!M$1,SMALL(Dong,ROWS($1:2)),),0))</f>
        <v>1300000</v>
      </c>
      <c r="I15" s="25">
        <f t="shared" ref="I15:I30" ca="1" si="1">IF(D15&lt;&gt;"",MAX(I14+G15-H15-J14,0),0)</f>
        <v>0</v>
      </c>
      <c r="J15" s="25">
        <f t="shared" ref="J15:J30" ca="1" si="2">IF(D15&lt;&gt;"",MAX(J14+H15-I14-G15,0),0)</f>
        <v>5945000</v>
      </c>
    </row>
    <row r="16" spans="1:10" s="18" customFormat="1" ht="18" customHeight="1">
      <c r="A16" s="9">
        <f t="shared" ca="1" si="0"/>
        <v>42399</v>
      </c>
      <c r="B16" s="9" t="str">
        <f ca="1">IF(ROWS($1:3)&gt;COUNT(Dong),"",OFFSET(TH!D$1,SMALL(Dong,ROWS($1:3)),))</f>
        <v>GBN</v>
      </c>
      <c r="C16" s="9">
        <f ca="1">IF(ROWS($1:3)&gt;COUNT(Dong),"",OFFSET(TH!E$1,SMALL(Dong,ROWS($1:3)),))</f>
        <v>42399</v>
      </c>
      <c r="D16" s="443" t="str">
        <f ca="1">IF(ROWS($1:3)&gt;COUNT(Dong),"",OFFSET(TH!F$1,SMALL(Dong,ROWS($1:3)),))</f>
        <v>Q11 - Thanh toán phí kiểm nghiệm T12/2015 - Vùng 4</v>
      </c>
      <c r="E16" s="80" t="str">
        <f ca="1">IF(ROWS($1:3)&gt;COUNT(Dong),"",IF(OFFSET(TH!N$1,SMALL(Dong,ROWS($1:3)),)="331",OFFSET(TH!O$1,SMALL(Dong,ROWS($1:3)),),OFFSET(TH!N$1,SMALL(Dong,ROWS($1:3)),)))</f>
        <v>1121</v>
      </c>
      <c r="F16" s="80"/>
      <c r="G16" s="102">
        <f ca="1">IF(ROWS($1:3)&gt;COUNT(Dong),"",IF(OFFSET(TH!N$1,SMALL(Dong,ROWS($1:3)),)="331",OFFSET(TH!M$1,SMALL(Dong,ROWS($1:3)),),0))</f>
        <v>1300000</v>
      </c>
      <c r="H16" s="102">
        <f ca="1">IF(ROWS($1:3)&gt;COUNT(Dong),"",IF(OFFSET(TH!O$1,SMALL(Dong,ROWS($1:3)),)="331",OFFSET(TH!M$1,SMALL(Dong,ROWS($1:3)),),0))</f>
        <v>0</v>
      </c>
      <c r="I16" s="25">
        <f t="shared" ca="1" si="1"/>
        <v>0</v>
      </c>
      <c r="J16" s="25">
        <f t="shared" ca="1" si="2"/>
        <v>4645000</v>
      </c>
    </row>
    <row r="17" spans="1:10" s="18" customFormat="1" ht="18" customHeight="1">
      <c r="A17" s="9">
        <f t="shared" ca="1" si="0"/>
        <v>42399</v>
      </c>
      <c r="B17" s="9" t="str">
        <f ca="1">IF(ROWS($1:4)&gt;COUNT(Dong),"",OFFSET(TH!D$1,SMALL(Dong,ROWS($1:4)),))</f>
        <v>GBN</v>
      </c>
      <c r="C17" s="9">
        <f ca="1">IF(ROWS($1:4)&gt;COUNT(Dong),"",OFFSET(TH!E$1,SMALL(Dong,ROWS($1:4)),))</f>
        <v>42399</v>
      </c>
      <c r="D17" s="443" t="str">
        <f ca="1">IF(ROWS($1:4)&gt;COUNT(Dong),"",OFFSET(TH!F$1,SMALL(Dong,ROWS($1:4)),))</f>
        <v>Q11 - Thanh toán phí kiểm nghiệm T12/2015 - Vùng 4</v>
      </c>
      <c r="E17" s="80" t="str">
        <f ca="1">IF(ROWS($1:4)&gt;COUNT(Dong),"",IF(OFFSET(TH!N$1,SMALL(Dong,ROWS($1:4)),)="331",OFFSET(TH!O$1,SMALL(Dong,ROWS($1:4)),),OFFSET(TH!N$1,SMALL(Dong,ROWS($1:4)),)))</f>
        <v>1121</v>
      </c>
      <c r="F17" s="80"/>
      <c r="G17" s="102">
        <f ca="1">IF(ROWS($1:4)&gt;COUNT(Dong),"",IF(OFFSET(TH!N$1,SMALL(Dong,ROWS($1:4)),)="331",OFFSET(TH!M$1,SMALL(Dong,ROWS($1:4)),),0))</f>
        <v>4645000</v>
      </c>
      <c r="H17" s="102">
        <f ca="1">IF(ROWS($1:4)&gt;COUNT(Dong),"",IF(OFFSET(TH!O$1,SMALL(Dong,ROWS($1:4)),)="331",OFFSET(TH!M$1,SMALL(Dong,ROWS($1:4)),),0))</f>
        <v>0</v>
      </c>
      <c r="I17" s="25">
        <f t="shared" ca="1" si="1"/>
        <v>0</v>
      </c>
      <c r="J17" s="25">
        <f t="shared" ca="1" si="2"/>
        <v>0</v>
      </c>
    </row>
    <row r="18" spans="1:10" s="18" customFormat="1" ht="18" customHeight="1">
      <c r="A18" s="9" t="str">
        <f t="shared" ca="1" si="0"/>
        <v/>
      </c>
      <c r="B18" s="9" t="str">
        <f ca="1">IF(ROWS($1:5)&gt;COUNT(Dong),"",OFFSET(TH!D$1,SMALL(Dong,ROWS($1:5)),))</f>
        <v/>
      </c>
      <c r="C18" s="9" t="str">
        <f ca="1">IF(ROWS($1:5)&gt;COUNT(Dong),"",OFFSET(TH!E$1,SMALL(Dong,ROWS($1:5)),))</f>
        <v/>
      </c>
      <c r="D18" s="443" t="str">
        <f ca="1">IF(ROWS($1:5)&gt;COUNT(Dong),"",OFFSET(TH!F$1,SMALL(Dong,ROWS($1:5)),))</f>
        <v/>
      </c>
      <c r="E18" s="80" t="str">
        <f ca="1">IF(ROWS($1:5)&gt;COUNT(Dong),"",IF(OFFSET(TH!N$1,SMALL(Dong,ROWS($1:5)),)="331",OFFSET(TH!O$1,SMALL(Dong,ROWS($1:5)),),OFFSET(TH!N$1,SMALL(Dong,ROWS($1:5)),)))</f>
        <v/>
      </c>
      <c r="F18" s="80"/>
      <c r="G18" s="102" t="str">
        <f ca="1">IF(ROWS($1:5)&gt;COUNT(Dong),"",IF(OFFSET(TH!N$1,SMALL(Dong,ROWS($1:5)),)="331",OFFSET(TH!M$1,SMALL(Dong,ROWS($1:5)),),0))</f>
        <v/>
      </c>
      <c r="H18" s="102"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43" t="str">
        <f ca="1">IF(ROWS($1:6)&gt;COUNT(Dong),"",OFFSET(TH!F$1,SMALL(Dong,ROWS($1:6)),))</f>
        <v/>
      </c>
      <c r="E19" s="80" t="str">
        <f ca="1">IF(ROWS($1:6)&gt;COUNT(Dong),"",IF(OFFSET(TH!N$1,SMALL(Dong,ROWS($1:6)),)="331",OFFSET(TH!O$1,SMALL(Dong,ROWS($1:6)),),OFFSET(TH!N$1,SMALL(Dong,ROWS($1:6)),)))</f>
        <v/>
      </c>
      <c r="F19" s="80"/>
      <c r="G19" s="102" t="str">
        <f ca="1">IF(ROWS($1:6)&gt;COUNT(Dong),"",IF(OFFSET(TH!N$1,SMALL(Dong,ROWS($1:6)),)="331",OFFSET(TH!M$1,SMALL(Dong,ROWS($1:6)),),0))</f>
        <v/>
      </c>
      <c r="H19" s="102"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43" t="str">
        <f ca="1">IF(ROWS($1:7)&gt;COUNT(Dong),"",OFFSET(TH!F$1,SMALL(Dong,ROWS($1:7)),))</f>
        <v/>
      </c>
      <c r="E20" s="80" t="str">
        <f ca="1">IF(ROWS($1:7)&gt;COUNT(Dong),"",IF(OFFSET(TH!N$1,SMALL(Dong,ROWS($1:7)),)="331",OFFSET(TH!O$1,SMALL(Dong,ROWS($1:7)),),OFFSET(TH!N$1,SMALL(Dong,ROWS($1:7)),)))</f>
        <v/>
      </c>
      <c r="F20" s="80"/>
      <c r="G20" s="102" t="str">
        <f ca="1">IF(ROWS($1:7)&gt;COUNT(Dong),"",IF(OFFSET(TH!N$1,SMALL(Dong,ROWS($1:7)),)="331",OFFSET(TH!M$1,SMALL(Dong,ROWS($1:7)),),0))</f>
        <v/>
      </c>
      <c r="H20" s="102"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43" t="str">
        <f ca="1">IF(ROWS($1:8)&gt;COUNT(Dong),"",OFFSET(TH!F$1,SMALL(Dong,ROWS($1:8)),))</f>
        <v/>
      </c>
      <c r="E21" s="80" t="str">
        <f ca="1">IF(ROWS($1:8)&gt;COUNT(Dong),"",IF(OFFSET(TH!N$1,SMALL(Dong,ROWS($1:8)),)="331",OFFSET(TH!O$1,SMALL(Dong,ROWS($1:8)),),OFFSET(TH!N$1,SMALL(Dong,ROWS($1:8)),)))</f>
        <v/>
      </c>
      <c r="F21" s="80"/>
      <c r="G21" s="102" t="str">
        <f ca="1">IF(ROWS($1:8)&gt;COUNT(Dong),"",IF(OFFSET(TH!N$1,SMALL(Dong,ROWS($1:8)),)="331",OFFSET(TH!M$1,SMALL(Dong,ROWS($1:8)),),0))</f>
        <v/>
      </c>
      <c r="H21" s="102"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3"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3"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3"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3"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37"/>
      <c r="B39" s="437"/>
      <c r="C39" s="437"/>
      <c r="D39" s="438"/>
      <c r="E39" s="439"/>
      <c r="F39" s="439"/>
      <c r="G39" s="440"/>
      <c r="H39" s="440"/>
      <c r="I39" s="441"/>
      <c r="J39" s="441"/>
    </row>
    <row r="40" spans="1:11" s="18" customFormat="1" ht="18" customHeight="1">
      <c r="A40" s="24"/>
      <c r="B40" s="21"/>
      <c r="C40" s="26"/>
      <c r="D40" s="23" t="s">
        <v>35</v>
      </c>
      <c r="E40" s="21" t="s">
        <v>21</v>
      </c>
      <c r="F40" s="21" t="s">
        <v>21</v>
      </c>
      <c r="G40" s="27">
        <f ca="1">SUM(G14:G30)</f>
        <v>5945000</v>
      </c>
      <c r="H40" s="27">
        <f ca="1">SUM(H14:H30)</f>
        <v>5945000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0</v>
      </c>
    </row>
    <row r="42" spans="1:11" s="18" customFormat="1" ht="6" customHeight="1">
      <c r="B42" s="19"/>
      <c r="C42" s="19"/>
      <c r="E42" s="19"/>
    </row>
    <row r="43" spans="1:11" s="18" customFormat="1" ht="14.25" customHeight="1">
      <c r="A43" s="28" t="s">
        <v>248</v>
      </c>
      <c r="B43" s="19"/>
      <c r="C43" s="19"/>
      <c r="E43" s="19"/>
      <c r="K43" s="28" t="s">
        <v>248</v>
      </c>
    </row>
    <row r="44" spans="1:11" s="18" customFormat="1" ht="14.25" customHeight="1">
      <c r="A44" s="28" t="s">
        <v>202</v>
      </c>
      <c r="B44" s="19"/>
      <c r="C44" s="19"/>
      <c r="E44" s="19"/>
      <c r="K44" s="28" t="s">
        <v>36</v>
      </c>
    </row>
    <row r="45" spans="1:11" s="18" customFormat="1" ht="14.25" customHeight="1">
      <c r="B45" s="19"/>
      <c r="C45" s="19"/>
      <c r="E45" s="1104" t="s">
        <v>189</v>
      </c>
      <c r="F45" s="1104"/>
      <c r="G45" s="1104"/>
      <c r="H45" s="1104"/>
      <c r="I45" s="1104"/>
      <c r="J45" s="1104"/>
    </row>
    <row r="46" spans="1:11" s="18" customFormat="1" ht="14.25" customHeight="1">
      <c r="C46" s="426" t="s">
        <v>11</v>
      </c>
      <c r="E46" s="1104" t="s">
        <v>12</v>
      </c>
      <c r="F46" s="1104"/>
      <c r="G46" s="1104"/>
      <c r="H46" s="1104"/>
      <c r="I46" s="1104"/>
      <c r="J46" s="1104"/>
    </row>
    <row r="47" spans="1:11" s="18" customFormat="1" ht="14.25" customHeight="1">
      <c r="C47" s="426" t="s">
        <v>13</v>
      </c>
      <c r="E47" s="1104" t="s">
        <v>13</v>
      </c>
      <c r="F47" s="1104"/>
      <c r="G47" s="1104"/>
      <c r="H47" s="1104"/>
      <c r="I47" s="1104"/>
      <c r="J47" s="1104"/>
    </row>
    <row r="48" spans="1:11" s="29" customFormat="1"/>
    <row r="54" spans="3:3" ht="15">
      <c r="C54" s="442" t="s">
        <v>244</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2"/>
  <sheetViews>
    <sheetView showZeros="0" workbookViewId="0">
      <pane ySplit="4" topLeftCell="A17" activePane="bottomLeft" state="frozen"/>
      <selection activeCell="G34" sqref="G34"/>
      <selection pane="bottomLeft" activeCell="D25" sqref="D25"/>
    </sheetView>
  </sheetViews>
  <sheetFormatPr defaultColWidth="8" defaultRowHeight="13.5"/>
  <cols>
    <col min="1" max="1" width="4.28515625" style="268" customWidth="1"/>
    <col min="2" max="2" width="21.85546875" style="268" customWidth="1"/>
    <col min="3" max="4" width="8.7109375" style="268" customWidth="1"/>
    <col min="5" max="5" width="8.140625" style="268" customWidth="1"/>
    <col min="6" max="6" width="11" style="268" customWidth="1"/>
    <col min="7" max="7" width="8.140625" style="268" customWidth="1"/>
    <col min="8" max="8" width="13.7109375" style="268" customWidth="1"/>
    <col min="9" max="9" width="7.85546875" style="268" customWidth="1"/>
    <col min="10" max="10" width="12.42578125" style="268" customWidth="1"/>
    <col min="11" max="11" width="8.140625" style="268" customWidth="1"/>
    <col min="12" max="12" width="13.7109375" style="268" customWidth="1"/>
    <col min="13" max="13" width="8.140625" style="268" customWidth="1"/>
    <col min="14" max="14" width="10.140625" style="268" customWidth="1"/>
    <col min="15" max="15" width="10.85546875" style="268" customWidth="1"/>
    <col min="16" max="16" width="14" style="268" customWidth="1"/>
    <col min="17" max="16384" width="8" style="268"/>
  </cols>
  <sheetData>
    <row r="1" spans="1:16" ht="21.75" customHeight="1">
      <c r="A1" s="1141" t="s">
        <v>190</v>
      </c>
      <c r="B1" s="1141"/>
      <c r="C1" s="1141"/>
      <c r="D1" s="1141"/>
      <c r="E1" s="1141"/>
      <c r="F1" s="1141"/>
      <c r="G1" s="1141"/>
      <c r="H1" s="1141"/>
      <c r="I1" s="1141"/>
      <c r="J1" s="1141"/>
      <c r="K1" s="1141"/>
      <c r="L1" s="1141"/>
      <c r="M1" s="1141"/>
      <c r="N1" s="1141"/>
      <c r="O1" s="1141"/>
      <c r="P1" s="1141"/>
    </row>
    <row r="2" spans="1:16" s="10" customFormat="1" ht="15.75" customHeight="1">
      <c r="A2" s="1162" t="s">
        <v>37</v>
      </c>
      <c r="B2" s="1164" t="s">
        <v>191</v>
      </c>
      <c r="C2" s="1164" t="s">
        <v>192</v>
      </c>
      <c r="D2" s="1164" t="s">
        <v>194</v>
      </c>
      <c r="E2" s="1140" t="s">
        <v>39</v>
      </c>
      <c r="F2" s="1140"/>
      <c r="G2" s="1140"/>
      <c r="H2" s="1140"/>
      <c r="I2" s="1140" t="s">
        <v>40</v>
      </c>
      <c r="J2" s="1140"/>
      <c r="K2" s="1140"/>
      <c r="L2" s="1140"/>
      <c r="M2" s="1160" t="s">
        <v>44</v>
      </c>
      <c r="N2" s="1174"/>
      <c r="O2" s="1174"/>
      <c r="P2" s="1161"/>
    </row>
    <row r="3" spans="1:16" s="10" customFormat="1" ht="15.75" customHeight="1">
      <c r="A3" s="1163"/>
      <c r="B3" s="1165"/>
      <c r="C3" s="1165"/>
      <c r="D3" s="1165"/>
      <c r="E3" s="1140" t="s">
        <v>45</v>
      </c>
      <c r="F3" s="1140"/>
      <c r="G3" s="1140" t="s">
        <v>46</v>
      </c>
      <c r="H3" s="1140"/>
      <c r="I3" s="1140" t="s">
        <v>45</v>
      </c>
      <c r="J3" s="1140"/>
      <c r="K3" s="1140" t="s">
        <v>46</v>
      </c>
      <c r="L3" s="1140"/>
      <c r="M3" s="1140" t="s">
        <v>45</v>
      </c>
      <c r="N3" s="1140"/>
      <c r="O3" s="1140" t="s">
        <v>46</v>
      </c>
      <c r="P3" s="1140"/>
    </row>
    <row r="4" spans="1:16" s="10" customFormat="1" ht="15.75" customHeight="1">
      <c r="A4" s="1163"/>
      <c r="B4" s="1165"/>
      <c r="C4" s="1165"/>
      <c r="D4" s="1165"/>
      <c r="E4" s="393" t="s">
        <v>242</v>
      </c>
      <c r="F4" s="393" t="s">
        <v>243</v>
      </c>
      <c r="G4" s="393" t="s">
        <v>242</v>
      </c>
      <c r="H4" s="393" t="s">
        <v>243</v>
      </c>
      <c r="I4" s="393" t="s">
        <v>242</v>
      </c>
      <c r="J4" s="393" t="s">
        <v>243</v>
      </c>
      <c r="K4" s="393" t="s">
        <v>242</v>
      </c>
      <c r="L4" s="393" t="s">
        <v>243</v>
      </c>
      <c r="M4" s="393" t="s">
        <v>242</v>
      </c>
      <c r="N4" s="393" t="s">
        <v>243</v>
      </c>
      <c r="O4" s="393" t="s">
        <v>242</v>
      </c>
      <c r="P4" s="393" t="s">
        <v>243</v>
      </c>
    </row>
    <row r="5" spans="1:16" s="10" customFormat="1" ht="18" customHeight="1">
      <c r="A5" s="6">
        <v>1</v>
      </c>
      <c r="B5" s="7" t="s">
        <v>793</v>
      </c>
      <c r="C5" s="269">
        <v>40200</v>
      </c>
      <c r="D5" s="269">
        <v>0</v>
      </c>
      <c r="E5" s="394">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72">
        <f>ROUND(MAX(E5+I5-G5-K5,0),2)</f>
        <v>0</v>
      </c>
      <c r="N5" s="272">
        <f t="shared" ref="N5:N18" si="0">ROUND(MAX(F5+J5-H5-L5,0),2)</f>
        <v>0</v>
      </c>
      <c r="O5" s="272">
        <f t="shared" ref="O5:P19" si="1">ROUND(MAX(G5+K5-E5-I5,0),2)</f>
        <v>13915</v>
      </c>
      <c r="P5" s="272">
        <f t="shared" si="1"/>
        <v>312878775</v>
      </c>
    </row>
    <row r="6" spans="1:16" s="10" customFormat="1" ht="18" customHeight="1">
      <c r="A6" s="6">
        <v>2</v>
      </c>
      <c r="B6" s="7" t="s">
        <v>785</v>
      </c>
      <c r="C6" s="269">
        <v>40964</v>
      </c>
      <c r="D6" s="269">
        <v>0</v>
      </c>
      <c r="E6" s="269">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72">
        <f t="shared" ref="M6:M19" si="2">ROUND(MAX(E6+I6-G6-K6,0),2)</f>
        <v>0</v>
      </c>
      <c r="N6" s="272">
        <f t="shared" si="0"/>
        <v>0</v>
      </c>
      <c r="O6" s="272">
        <f t="shared" si="1"/>
        <v>33319.39</v>
      </c>
      <c r="P6" s="272">
        <f t="shared" si="1"/>
        <v>749186484</v>
      </c>
    </row>
    <row r="7" spans="1:16" s="10" customFormat="1" ht="18" customHeight="1">
      <c r="A7" s="6">
        <v>3</v>
      </c>
      <c r="B7" s="7" t="s">
        <v>786</v>
      </c>
      <c r="C7" s="269">
        <v>40964</v>
      </c>
      <c r="D7" s="269">
        <v>0</v>
      </c>
      <c r="E7" s="269">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72">
        <f t="shared" si="2"/>
        <v>0</v>
      </c>
      <c r="N7" s="272">
        <f t="shared" si="0"/>
        <v>0</v>
      </c>
      <c r="O7" s="272">
        <f t="shared" si="1"/>
        <v>20515.96</v>
      </c>
      <c r="P7" s="272">
        <f t="shared" si="1"/>
        <v>461301361</v>
      </c>
    </row>
    <row r="8" spans="1:16" s="10" customFormat="1" ht="18" customHeight="1">
      <c r="A8" s="6">
        <v>4</v>
      </c>
      <c r="B8" s="7" t="s">
        <v>794</v>
      </c>
      <c r="C8" s="269">
        <v>40964</v>
      </c>
      <c r="D8" s="269">
        <v>0</v>
      </c>
      <c r="E8" s="269">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72">
        <f t="shared" si="2"/>
        <v>0</v>
      </c>
      <c r="N8" s="272">
        <f t="shared" si="0"/>
        <v>0</v>
      </c>
      <c r="O8" s="272">
        <f t="shared" si="1"/>
        <v>28719.38</v>
      </c>
      <c r="P8" s="272">
        <f t="shared" si="1"/>
        <v>645755259</v>
      </c>
    </row>
    <row r="9" spans="1:16" s="10" customFormat="1" ht="18" customHeight="1">
      <c r="A9" s="6">
        <v>5</v>
      </c>
      <c r="B9" s="7" t="s">
        <v>789</v>
      </c>
      <c r="C9" s="269">
        <v>42205</v>
      </c>
      <c r="D9" s="269">
        <v>0</v>
      </c>
      <c r="E9" s="269">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72">
        <f t="shared" si="2"/>
        <v>0</v>
      </c>
      <c r="N9" s="272">
        <f t="shared" si="0"/>
        <v>0</v>
      </c>
      <c r="O9" s="272">
        <f t="shared" si="1"/>
        <v>0</v>
      </c>
      <c r="P9" s="272">
        <f t="shared" si="1"/>
        <v>0</v>
      </c>
    </row>
    <row r="10" spans="1:16" s="10" customFormat="1" ht="18" customHeight="1">
      <c r="A10" s="6">
        <v>6</v>
      </c>
      <c r="B10" s="7" t="s">
        <v>795</v>
      </c>
      <c r="C10" s="269">
        <v>42247</v>
      </c>
      <c r="D10" s="269">
        <v>0</v>
      </c>
      <c r="E10" s="269">
        <v>0</v>
      </c>
      <c r="F10" s="8">
        <v>0</v>
      </c>
      <c r="G10" s="8">
        <v>82000</v>
      </c>
      <c r="H10" s="8">
        <v>1842950000</v>
      </c>
      <c r="I10" s="25">
        <f t="array" ref="I10">SUM(IF("341"&amp;B10=LEFT(KHN,3)&amp;KH,_TH))</f>
        <v>0</v>
      </c>
      <c r="J10" s="8">
        <f t="array" ref="J10">SUM(IF("341"&amp;B10=LEFT(KHN,3)&amp;KH,TH))</f>
        <v>0</v>
      </c>
      <c r="K10" s="8">
        <f t="array" ref="K10">SUM(IF("341"&amp;B10=LEFT(KHC,3)&amp;KH,_TH))</f>
        <v>0</v>
      </c>
      <c r="L10" s="8">
        <f t="array" ref="L10">SUM(IF("341"&amp;B10=LEFT(KHC,3)&amp;KH,TH))</f>
        <v>0</v>
      </c>
      <c r="M10" s="272">
        <f t="shared" si="2"/>
        <v>0</v>
      </c>
      <c r="N10" s="272">
        <f t="shared" si="0"/>
        <v>0</v>
      </c>
      <c r="O10" s="272">
        <f t="shared" si="1"/>
        <v>82000</v>
      </c>
      <c r="P10" s="272">
        <f t="shared" si="1"/>
        <v>1842950000</v>
      </c>
    </row>
    <row r="11" spans="1:16" s="10" customFormat="1" ht="18" customHeight="1">
      <c r="A11" s="6">
        <v>7</v>
      </c>
      <c r="B11" s="7" t="s">
        <v>796</v>
      </c>
      <c r="C11" s="269">
        <v>42248</v>
      </c>
      <c r="D11" s="269">
        <v>0</v>
      </c>
      <c r="E11" s="269">
        <v>0</v>
      </c>
      <c r="F11" s="8">
        <v>0</v>
      </c>
      <c r="G11" s="8">
        <v>40000</v>
      </c>
      <c r="H11" s="8">
        <v>899520000</v>
      </c>
      <c r="I11" s="25">
        <f t="array" ref="I11">SUM(IF("341"&amp;B11=LEFT(KHN,3)&amp;KH,_TH))</f>
        <v>0</v>
      </c>
      <c r="J11" s="8">
        <f t="array" ref="J11">SUM(IF("341"&amp;B11=LEFT(KHN,3)&amp;KH,TH))</f>
        <v>0</v>
      </c>
      <c r="K11" s="8">
        <f t="array" ref="K11">SUM(IF("341"&amp;B11=LEFT(KHC,3)&amp;KH,_TH))</f>
        <v>0</v>
      </c>
      <c r="L11" s="8">
        <f t="array" ref="L11">SUM(IF("341"&amp;B11=LEFT(KHC,3)&amp;KH,TH))</f>
        <v>0</v>
      </c>
      <c r="M11" s="272">
        <f t="shared" si="2"/>
        <v>0</v>
      </c>
      <c r="N11" s="272">
        <f t="shared" si="0"/>
        <v>0</v>
      </c>
      <c r="O11" s="272">
        <f t="shared" si="1"/>
        <v>40000</v>
      </c>
      <c r="P11" s="272">
        <f t="shared" si="1"/>
        <v>899520000</v>
      </c>
    </row>
    <row r="12" spans="1:16" s="10" customFormat="1" ht="18" customHeight="1">
      <c r="A12" s="6">
        <v>8</v>
      </c>
      <c r="B12" s="7" t="s">
        <v>797</v>
      </c>
      <c r="C12" s="269">
        <v>42251</v>
      </c>
      <c r="D12" s="269">
        <v>0</v>
      </c>
      <c r="E12" s="269">
        <v>0</v>
      </c>
      <c r="F12" s="8">
        <v>0</v>
      </c>
      <c r="G12" s="8">
        <v>50000</v>
      </c>
      <c r="H12" s="8">
        <v>1124250000</v>
      </c>
      <c r="I12" s="25">
        <f t="array" ref="I12">SUM(IF("341"&amp;B12=LEFT(KHN,3)&amp;KH,_TH))</f>
        <v>0</v>
      </c>
      <c r="J12" s="8">
        <f t="array" ref="J12">SUM(IF("341"&amp;B12=LEFT(KHN,3)&amp;KH,TH))</f>
        <v>0</v>
      </c>
      <c r="K12" s="8">
        <f t="array" ref="K12">SUM(IF("341"&amp;B12=LEFT(KHC,3)&amp;KH,_TH))</f>
        <v>0</v>
      </c>
      <c r="L12" s="8">
        <f t="array" ref="L12">SUM(IF("341"&amp;B12=LEFT(KHC,3)&amp;KH,TH))</f>
        <v>0</v>
      </c>
      <c r="M12" s="272">
        <f t="shared" si="2"/>
        <v>0</v>
      </c>
      <c r="N12" s="272">
        <f t="shared" si="0"/>
        <v>0</v>
      </c>
      <c r="O12" s="272">
        <f t="shared" si="1"/>
        <v>50000</v>
      </c>
      <c r="P12" s="272">
        <f t="shared" si="1"/>
        <v>1124250000</v>
      </c>
    </row>
    <row r="13" spans="1:16" s="10" customFormat="1" ht="18" customHeight="1">
      <c r="A13" s="6">
        <v>9</v>
      </c>
      <c r="B13" s="7" t="s">
        <v>798</v>
      </c>
      <c r="C13" s="269">
        <v>42278</v>
      </c>
      <c r="D13" s="269">
        <v>0</v>
      </c>
      <c r="E13" s="269">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72">
        <f t="shared" si="2"/>
        <v>0</v>
      </c>
      <c r="N13" s="272">
        <f t="shared" si="0"/>
        <v>0</v>
      </c>
      <c r="O13" s="272">
        <f t="shared" si="1"/>
        <v>89500</v>
      </c>
      <c r="P13" s="272">
        <f t="shared" si="1"/>
        <v>2011244000</v>
      </c>
    </row>
    <row r="14" spans="1:16" s="10" customFormat="1" ht="18" customHeight="1">
      <c r="A14" s="6">
        <v>10</v>
      </c>
      <c r="B14" s="7" t="s">
        <v>799</v>
      </c>
      <c r="C14" s="269">
        <v>42279</v>
      </c>
      <c r="D14" s="269">
        <v>0</v>
      </c>
      <c r="E14" s="269">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72">
        <f t="shared" si="2"/>
        <v>0</v>
      </c>
      <c r="N14" s="272">
        <f t="shared" si="0"/>
        <v>0</v>
      </c>
      <c r="O14" s="272">
        <f t="shared" si="1"/>
        <v>89000</v>
      </c>
      <c r="P14" s="272">
        <f t="shared" si="1"/>
        <v>2001165000</v>
      </c>
    </row>
    <row r="15" spans="1:16" s="10" customFormat="1" ht="18" customHeight="1">
      <c r="A15" s="6">
        <v>11</v>
      </c>
      <c r="B15" s="7" t="s">
        <v>800</v>
      </c>
      <c r="C15" s="269">
        <v>42339</v>
      </c>
      <c r="D15" s="269">
        <v>0</v>
      </c>
      <c r="E15" s="269">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72">
        <f t="shared" si="2"/>
        <v>0</v>
      </c>
      <c r="N15" s="272">
        <f t="shared" si="0"/>
        <v>0</v>
      </c>
      <c r="O15" s="272">
        <f t="shared" si="1"/>
        <v>89000</v>
      </c>
      <c r="P15" s="272">
        <f t="shared" si="1"/>
        <v>2001343000</v>
      </c>
    </row>
    <row r="16" spans="1:16" s="10" customFormat="1" ht="18" customHeight="1">
      <c r="A16" s="6">
        <v>12</v>
      </c>
      <c r="B16" s="7" t="s">
        <v>801</v>
      </c>
      <c r="C16" s="269">
        <v>42360</v>
      </c>
      <c r="D16" s="269">
        <v>0</v>
      </c>
      <c r="E16" s="269">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72">
        <f t="shared" si="2"/>
        <v>0</v>
      </c>
      <c r="N16" s="272">
        <f t="shared" si="0"/>
        <v>0</v>
      </c>
      <c r="O16" s="272">
        <f t="shared" si="1"/>
        <v>88000</v>
      </c>
      <c r="P16" s="272">
        <f t="shared" si="1"/>
        <v>1983520000</v>
      </c>
    </row>
    <row r="17" spans="1:16" s="10" customFormat="1" ht="18" customHeight="1">
      <c r="A17" s="6">
        <v>13</v>
      </c>
      <c r="B17" s="7" t="s">
        <v>791</v>
      </c>
      <c r="C17" s="269">
        <v>42234</v>
      </c>
      <c r="D17" s="269">
        <v>0</v>
      </c>
      <c r="E17" s="269">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72">
        <f t="shared" si="2"/>
        <v>0</v>
      </c>
      <c r="N17" s="272">
        <f t="shared" si="0"/>
        <v>0</v>
      </c>
      <c r="O17" s="272">
        <f t="shared" si="1"/>
        <v>0</v>
      </c>
      <c r="P17" s="272">
        <f>ROUND(MAX(H17+L17-F17-J17,0),2)</f>
        <v>0</v>
      </c>
    </row>
    <row r="18" spans="1:16" s="10" customFormat="1" ht="18" customHeight="1">
      <c r="A18" s="6">
        <v>14</v>
      </c>
      <c r="B18" s="7" t="s">
        <v>802</v>
      </c>
      <c r="C18" s="269">
        <v>42340</v>
      </c>
      <c r="D18" s="269">
        <v>0</v>
      </c>
      <c r="E18" s="269">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72">
        <f t="shared" si="2"/>
        <v>0</v>
      </c>
      <c r="N18" s="272">
        <f t="shared" si="0"/>
        <v>0</v>
      </c>
      <c r="O18" s="272">
        <f t="shared" si="1"/>
        <v>70900</v>
      </c>
      <c r="P18" s="272">
        <f t="shared" si="1"/>
        <v>1595604500</v>
      </c>
    </row>
    <row r="19" spans="1:16" s="10" customFormat="1" ht="18" customHeight="1">
      <c r="A19" s="6">
        <v>15</v>
      </c>
      <c r="B19" s="7" t="s">
        <v>803</v>
      </c>
      <c r="C19" s="269">
        <v>42346</v>
      </c>
      <c r="D19" s="269">
        <v>0</v>
      </c>
      <c r="E19" s="269">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72">
        <f t="shared" si="2"/>
        <v>0</v>
      </c>
      <c r="N19" s="272">
        <f>ROUND(MAX(F19+J19-H19-L19,0),2)</f>
        <v>0</v>
      </c>
      <c r="O19" s="272">
        <f t="shared" si="1"/>
        <v>62000</v>
      </c>
      <c r="P19" s="272">
        <f>ROUND(MAX(H19+L19-F19-J19,0),2)</f>
        <v>1392210000</v>
      </c>
    </row>
    <row r="20" spans="1:16" s="10" customFormat="1" ht="18" customHeight="1">
      <c r="A20" s="6">
        <v>16</v>
      </c>
      <c r="B20" s="7" t="s">
        <v>804</v>
      </c>
      <c r="C20" s="269">
        <v>42348</v>
      </c>
      <c r="D20" s="269">
        <v>0</v>
      </c>
      <c r="E20" s="269">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72">
        <f>ROUND(MAX(E20+I20-G20-K20,0),2)</f>
        <v>0</v>
      </c>
      <c r="N20" s="272">
        <f>ROUND(MAX(F20+J20-H20-L20,0),2)</f>
        <v>0</v>
      </c>
      <c r="O20" s="272">
        <f>ROUND(MAX(G20+K20-E20-I20,0),2)</f>
        <v>33000</v>
      </c>
      <c r="P20" s="272">
        <f>ROUND(MAX(H20+L20-F20-J20,0),2)</f>
        <v>741675000</v>
      </c>
    </row>
    <row r="21" spans="1:16" s="10" customFormat="1" ht="18" customHeight="1">
      <c r="A21" s="6">
        <v>17</v>
      </c>
      <c r="B21" s="7" t="s">
        <v>805</v>
      </c>
      <c r="C21" s="269">
        <v>42363</v>
      </c>
      <c r="D21" s="269">
        <v>0</v>
      </c>
      <c r="E21" s="269">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72">
        <f>ROUND(MAX(E21+I21-G21-K21,0),2)</f>
        <v>0</v>
      </c>
      <c r="N21" s="272">
        <f>ROUND(MAX(F21+J21-H21-L21,0),2)</f>
        <v>0</v>
      </c>
      <c r="O21" s="272">
        <f>ROUND(MAX(G21+K21-E21-I21,0),2)</f>
        <v>43000</v>
      </c>
      <c r="P21" s="272">
        <f>ROUND(MAX(H21+L21-F21-J21,0),2)</f>
        <v>968790000</v>
      </c>
    </row>
    <row r="22" spans="1:16" s="10" customFormat="1" ht="18" customHeight="1">
      <c r="A22" s="6">
        <v>18</v>
      </c>
      <c r="B22" s="7" t="s">
        <v>806</v>
      </c>
      <c r="C22" s="269">
        <v>42328</v>
      </c>
      <c r="D22" s="269">
        <v>0</v>
      </c>
      <c r="E22" s="269">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72">
        <f>ROUND(MAX(E22+I22-G22-K22,0),2)</f>
        <v>0</v>
      </c>
      <c r="N22" s="272">
        <f>ROUND(MAX(F22+J22-H22-L22,0),2)</f>
        <v>0</v>
      </c>
      <c r="O22" s="272">
        <f>ROUND(MAX(G22+K22-E22-I22,0),2)</f>
        <v>61000</v>
      </c>
      <c r="P22" s="272">
        <f>ROUND(MAX(H22+L22-F22-J22,0),2)</f>
        <v>1368840000</v>
      </c>
    </row>
    <row r="23" spans="1:16" s="10" customFormat="1" ht="18" customHeight="1">
      <c r="A23" s="6">
        <v>19</v>
      </c>
      <c r="B23" s="7" t="s">
        <v>809</v>
      </c>
      <c r="C23" s="269">
        <v>42394</v>
      </c>
      <c r="D23" s="269"/>
      <c r="E23" s="269"/>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72">
        <f t="shared" ref="M23:M26" si="3">ROUND(MAX(E23+I23-G23-K23,0),2)</f>
        <v>0</v>
      </c>
      <c r="N23" s="272">
        <f t="shared" ref="N23:N26" si="4">ROUND(MAX(F23+J23-H23-L23,0),2)</f>
        <v>0</v>
      </c>
      <c r="O23" s="272">
        <f t="shared" ref="O23:O26" si="5">ROUND(MAX(G23+K23-E23-I23,0),2)</f>
        <v>97000</v>
      </c>
      <c r="P23" s="272">
        <f t="shared" ref="P23:P26" si="6">ROUND(MAX(H23+L23-F23-J23,0),2)</f>
        <v>2168920000</v>
      </c>
    </row>
    <row r="24" spans="1:16" s="10" customFormat="1" ht="18" customHeight="1">
      <c r="A24" s="6">
        <v>20</v>
      </c>
      <c r="B24" s="7" t="s">
        <v>815</v>
      </c>
      <c r="C24" s="269">
        <v>42398</v>
      </c>
      <c r="D24" s="269"/>
      <c r="E24" s="269"/>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72">
        <f t="shared" si="3"/>
        <v>0</v>
      </c>
      <c r="N24" s="272">
        <f t="shared" si="4"/>
        <v>0</v>
      </c>
      <c r="O24" s="272">
        <f t="shared" si="5"/>
        <v>52300</v>
      </c>
      <c r="P24" s="272">
        <f t="shared" si="6"/>
        <v>1162106000</v>
      </c>
    </row>
    <row r="25" spans="1:16" s="10" customFormat="1" ht="18" customHeight="1">
      <c r="A25" s="6">
        <v>21</v>
      </c>
      <c r="B25" s="7"/>
      <c r="C25" s="269"/>
      <c r="D25" s="269"/>
      <c r="E25" s="269"/>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72">
        <f t="shared" si="3"/>
        <v>0</v>
      </c>
      <c r="N25" s="272">
        <f t="shared" si="4"/>
        <v>0</v>
      </c>
      <c r="O25" s="272">
        <f t="shared" si="5"/>
        <v>0</v>
      </c>
      <c r="P25" s="272">
        <f t="shared" si="6"/>
        <v>0</v>
      </c>
    </row>
    <row r="26" spans="1:16" s="10" customFormat="1" ht="18" customHeight="1">
      <c r="A26" s="6">
        <v>22</v>
      </c>
      <c r="B26" s="7"/>
      <c r="C26" s="269"/>
      <c r="D26" s="269"/>
      <c r="E26" s="269"/>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72">
        <f t="shared" si="3"/>
        <v>0</v>
      </c>
      <c r="N26" s="272">
        <f t="shared" si="4"/>
        <v>0</v>
      </c>
      <c r="O26" s="272">
        <f t="shared" si="5"/>
        <v>0</v>
      </c>
      <c r="P26" s="272">
        <f t="shared" si="6"/>
        <v>0</v>
      </c>
    </row>
    <row r="27" spans="1:16" s="10" customFormat="1" ht="18" customHeight="1">
      <c r="A27" s="6"/>
      <c r="B27" s="273"/>
      <c r="C27" s="274"/>
      <c r="D27" s="274"/>
      <c r="E27" s="274"/>
      <c r="F27" s="270"/>
      <c r="G27" s="270"/>
      <c r="H27" s="270"/>
      <c r="I27" s="270"/>
      <c r="J27" s="270"/>
      <c r="K27" s="270"/>
      <c r="L27" s="270"/>
      <c r="M27" s="395"/>
      <c r="N27" s="271"/>
      <c r="O27" s="271"/>
      <c r="P27" s="271"/>
    </row>
    <row r="28" spans="1:16" s="14" customFormat="1" ht="18" customHeight="1">
      <c r="A28" s="11"/>
      <c r="B28" s="12" t="s">
        <v>41</v>
      </c>
      <c r="C28" s="12"/>
      <c r="D28" s="12"/>
      <c r="E28" s="12"/>
      <c r="F28" s="13">
        <f t="shared" ref="F28:P28" si="7">SUM(F5:F27)</f>
        <v>0</v>
      </c>
      <c r="G28" s="13"/>
      <c r="H28" s="13">
        <f>SUM(H5:H27)</f>
        <v>23372042379</v>
      </c>
      <c r="I28" s="13"/>
      <c r="J28" s="13">
        <f t="shared" si="7"/>
        <v>3345147000</v>
      </c>
      <c r="K28" s="13"/>
      <c r="L28" s="13">
        <f t="shared" si="7"/>
        <v>3404364000</v>
      </c>
      <c r="M28" s="13">
        <f t="shared" si="7"/>
        <v>0</v>
      </c>
      <c r="N28" s="13">
        <f t="shared" si="7"/>
        <v>0</v>
      </c>
      <c r="O28" s="13">
        <f t="shared" si="7"/>
        <v>1043169.73</v>
      </c>
      <c r="P28" s="13">
        <f t="shared" si="7"/>
        <v>23431259379</v>
      </c>
    </row>
    <row r="29" spans="1:16">
      <c r="P29" s="15">
        <f>CDPS!$H$53</f>
        <v>23431259379</v>
      </c>
    </row>
    <row r="30" spans="1:16">
      <c r="P30" s="275">
        <f>P28-P29</f>
        <v>0</v>
      </c>
    </row>
    <row r="32" spans="1:16">
      <c r="B32" s="268">
        <v>1</v>
      </c>
      <c r="C32" s="268">
        <v>2</v>
      </c>
      <c r="D32" s="268">
        <v>3</v>
      </c>
      <c r="E32" s="268">
        <v>4</v>
      </c>
      <c r="F32" s="268">
        <v>5</v>
      </c>
      <c r="G32" s="268">
        <v>6</v>
      </c>
      <c r="H32" s="268">
        <v>7</v>
      </c>
      <c r="I32" s="268">
        <v>8</v>
      </c>
      <c r="J32" s="268">
        <v>9</v>
      </c>
      <c r="K32" s="268">
        <v>10</v>
      </c>
      <c r="L32" s="268">
        <v>11</v>
      </c>
      <c r="M32" s="268">
        <v>12</v>
      </c>
      <c r="N32" s="268">
        <v>13</v>
      </c>
      <c r="O32" s="268">
        <v>14</v>
      </c>
      <c r="P32" s="268">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2" customWidth="1"/>
    <col min="2" max="2" width="7" style="282" customWidth="1"/>
    <col min="3" max="3" width="8.140625" style="282" customWidth="1"/>
    <col min="4" max="4" width="35.42578125" style="282" customWidth="1"/>
    <col min="5" max="5" width="6.5703125" style="282" customWidth="1"/>
    <col min="6" max="6" width="9.140625" style="282"/>
    <col min="7" max="7" width="9.7109375" style="282" customWidth="1"/>
    <col min="8" max="8" width="12" style="282" customWidth="1"/>
    <col min="9" max="9" width="9.7109375" style="282" customWidth="1"/>
    <col min="10" max="10" width="12.42578125" style="282" customWidth="1"/>
    <col min="11" max="11" width="9.28515625" style="282" customWidth="1"/>
    <col min="12" max="12" width="11" style="282" customWidth="1"/>
    <col min="13" max="13" width="10.85546875" style="282" customWidth="1"/>
    <col min="14" max="14" width="14" style="282" customWidth="1"/>
    <col min="15" max="16384" width="9.140625" style="282"/>
  </cols>
  <sheetData>
    <row r="1" spans="1:14" s="277" customFormat="1" ht="16.5" customHeight="1">
      <c r="A1" s="283" t="s">
        <v>14</v>
      </c>
      <c r="B1" s="276"/>
      <c r="C1" s="276"/>
      <c r="H1" s="276"/>
      <c r="I1" s="276"/>
      <c r="J1" s="1166" t="s">
        <v>253</v>
      </c>
      <c r="K1" s="1166"/>
      <c r="L1" s="1166"/>
      <c r="M1" s="1166"/>
      <c r="N1" s="1166"/>
    </row>
    <row r="2" spans="1:14" s="277" customFormat="1" ht="16.5" customHeight="1">
      <c r="A2" s="284" t="s">
        <v>193</v>
      </c>
      <c r="B2" s="427"/>
      <c r="C2" s="427"/>
      <c r="H2" s="278"/>
      <c r="I2" s="278"/>
      <c r="J2" s="1167" t="s">
        <v>254</v>
      </c>
      <c r="K2" s="1167"/>
      <c r="L2" s="1167"/>
      <c r="M2" s="1167"/>
      <c r="N2" s="1167"/>
    </row>
    <row r="3" spans="1:14" s="277" customFormat="1" ht="16.5" customHeight="1">
      <c r="A3" s="427"/>
      <c r="B3" s="427"/>
      <c r="C3" s="427"/>
      <c r="H3" s="278"/>
      <c r="I3" s="278"/>
      <c r="J3" s="1167"/>
      <c r="K3" s="1167"/>
      <c r="L3" s="1167"/>
      <c r="M3" s="1167"/>
      <c r="N3" s="1167"/>
    </row>
    <row r="4" spans="1:14" s="277" customFormat="1" ht="16.5" customHeight="1">
      <c r="A4" s="427"/>
      <c r="B4" s="427"/>
      <c r="C4" s="427"/>
      <c r="H4" s="278"/>
      <c r="I4" s="278"/>
      <c r="J4" s="428"/>
      <c r="K4" s="428"/>
      <c r="L4" s="428"/>
      <c r="M4" s="428"/>
      <c r="N4" s="428"/>
    </row>
    <row r="5" spans="1:14" s="18" customFormat="1" ht="23.25" customHeight="1">
      <c r="A5" s="1136" t="s">
        <v>255</v>
      </c>
      <c r="B5" s="1136"/>
      <c r="C5" s="1136"/>
      <c r="D5" s="1136"/>
      <c r="E5" s="1136"/>
      <c r="F5" s="1136"/>
      <c r="G5" s="1136"/>
      <c r="H5" s="1136"/>
      <c r="I5" s="1136"/>
      <c r="J5" s="1136"/>
      <c r="K5" s="1136"/>
      <c r="L5" s="1136"/>
      <c r="M5" s="1136"/>
      <c r="N5" s="1136"/>
    </row>
    <row r="6" spans="1:14" s="18" customFormat="1">
      <c r="A6" s="1104" t="s">
        <v>256</v>
      </c>
      <c r="B6" s="1104"/>
      <c r="C6" s="1104"/>
      <c r="D6" s="1104"/>
      <c r="E6" s="1104"/>
      <c r="F6" s="1104"/>
      <c r="G6" s="1104"/>
      <c r="H6" s="1104"/>
      <c r="I6" s="1104"/>
      <c r="J6" s="1104"/>
      <c r="K6" s="1104"/>
      <c r="L6" s="1104"/>
      <c r="M6" s="1104"/>
      <c r="N6" s="1104"/>
    </row>
    <row r="7" spans="1:14" s="18" customFormat="1">
      <c r="A7" s="1104" t="s">
        <v>257</v>
      </c>
      <c r="B7" s="1104"/>
      <c r="C7" s="1104"/>
      <c r="D7" s="1104"/>
      <c r="E7" s="1104"/>
      <c r="F7" s="1104"/>
      <c r="G7" s="1104"/>
      <c r="H7" s="1104"/>
      <c r="I7" s="1104"/>
      <c r="J7" s="1104"/>
      <c r="K7" s="1104"/>
      <c r="L7" s="1104"/>
      <c r="M7" s="1104"/>
      <c r="N7" s="1104"/>
    </row>
    <row r="8" spans="1:14" s="18" customFormat="1" ht="15" customHeight="1">
      <c r="A8" s="1104" t="str">
        <f>IF(MID($H$9,4,4)="1015","Đối tượng cho vay: NH Eximbank CN Q11","Đối tượng cho vay: NH Eximbank CN Q4")</f>
        <v>Đối tượng cho vay: NH Eximbank CN Q11</v>
      </c>
      <c r="B8" s="1104"/>
      <c r="C8" s="1104"/>
      <c r="D8" s="1104"/>
      <c r="E8" s="1104"/>
      <c r="F8" s="1104"/>
      <c r="G8" s="1104"/>
      <c r="H8" s="1104"/>
      <c r="I8" s="1104"/>
      <c r="J8" s="1104"/>
      <c r="K8" s="1104"/>
      <c r="L8" s="1104"/>
      <c r="M8" s="1104"/>
      <c r="N8" s="1104"/>
    </row>
    <row r="9" spans="1:14" s="18" customFormat="1">
      <c r="A9" s="426"/>
      <c r="B9" s="426"/>
      <c r="C9" s="426"/>
      <c r="D9" s="426"/>
      <c r="E9" s="426"/>
      <c r="F9" s="426"/>
      <c r="G9" s="20" t="s">
        <v>258</v>
      </c>
      <c r="H9" s="1177" t="s">
        <v>789</v>
      </c>
      <c r="I9" s="1177"/>
      <c r="J9" s="429" t="str">
        <f>"ngày "&amp; TEXT(VLOOKUP($H$9,'341'!$B$5:$P$27,2,0),"dd/MM/yy")</f>
        <v>ngày 20/07/15</v>
      </c>
      <c r="K9" s="426"/>
      <c r="L9" s="426"/>
      <c r="M9" s="426"/>
      <c r="N9" s="426"/>
    </row>
    <row r="10" spans="1:14" s="18" customFormat="1">
      <c r="A10" s="1104" t="s">
        <v>259</v>
      </c>
      <c r="B10" s="1104"/>
      <c r="C10" s="1104"/>
      <c r="D10" s="1104"/>
      <c r="E10" s="1104"/>
      <c r="F10" s="1104"/>
      <c r="G10" s="1104"/>
      <c r="H10" s="1104"/>
      <c r="I10" s="1104"/>
      <c r="J10" s="1104"/>
      <c r="K10" s="1104"/>
      <c r="L10" s="1104"/>
      <c r="M10" s="1104"/>
      <c r="N10" s="1104"/>
    </row>
    <row r="11" spans="1:14" s="18" customFormat="1">
      <c r="C11" s="1169"/>
      <c r="D11" s="1169"/>
      <c r="E11" s="1169"/>
      <c r="F11" s="1169"/>
      <c r="G11" s="1169"/>
      <c r="H11" s="1169"/>
      <c r="I11" s="1169"/>
      <c r="J11" s="1169"/>
      <c r="K11" s="1169"/>
      <c r="L11" s="1169"/>
      <c r="M11" s="1169"/>
      <c r="N11" s="1169"/>
    </row>
    <row r="12" spans="1:14" s="18" customFormat="1" ht="15.75" customHeight="1">
      <c r="A12" s="1178" t="s">
        <v>22</v>
      </c>
      <c r="B12" s="1171" t="s">
        <v>1</v>
      </c>
      <c r="C12" s="1172"/>
      <c r="D12" s="1178" t="s">
        <v>0</v>
      </c>
      <c r="E12" s="1178" t="s">
        <v>16</v>
      </c>
      <c r="F12" s="1178" t="s">
        <v>260</v>
      </c>
      <c r="G12" s="1171" t="s">
        <v>23</v>
      </c>
      <c r="H12" s="1183"/>
      <c r="I12" s="1183"/>
      <c r="J12" s="1176"/>
      <c r="K12" s="1171" t="s">
        <v>33</v>
      </c>
      <c r="L12" s="1183"/>
      <c r="M12" s="1183"/>
      <c r="N12" s="1176"/>
    </row>
    <row r="13" spans="1:14" s="18" customFormat="1" ht="15.75" customHeight="1">
      <c r="A13" s="1179"/>
      <c r="B13" s="1184" t="s">
        <v>17</v>
      </c>
      <c r="C13" s="1184" t="s">
        <v>34</v>
      </c>
      <c r="D13" s="1179"/>
      <c r="E13" s="1179"/>
      <c r="F13" s="1181"/>
      <c r="G13" s="1175" t="s">
        <v>24</v>
      </c>
      <c r="H13" s="1176"/>
      <c r="I13" s="1175" t="s">
        <v>25</v>
      </c>
      <c r="J13" s="1176"/>
      <c r="K13" s="1175" t="s">
        <v>24</v>
      </c>
      <c r="L13" s="1176"/>
      <c r="M13" s="1175" t="s">
        <v>25</v>
      </c>
      <c r="N13" s="1176"/>
    </row>
    <row r="14" spans="1:14" s="18" customFormat="1" ht="32.25" customHeight="1">
      <c r="A14" s="1180"/>
      <c r="B14" s="1185"/>
      <c r="C14" s="1185"/>
      <c r="D14" s="1180"/>
      <c r="E14" s="1180"/>
      <c r="F14" s="1182"/>
      <c r="G14" s="30" t="s">
        <v>261</v>
      </c>
      <c r="H14" s="30" t="s">
        <v>262</v>
      </c>
      <c r="I14" s="30" t="s">
        <v>261</v>
      </c>
      <c r="J14" s="30" t="s">
        <v>262</v>
      </c>
      <c r="K14" s="30" t="s">
        <v>261</v>
      </c>
      <c r="L14" s="30" t="s">
        <v>262</v>
      </c>
      <c r="M14" s="30" t="s">
        <v>261</v>
      </c>
      <c r="N14" s="30" t="s">
        <v>262</v>
      </c>
    </row>
    <row r="15" spans="1:14" s="426" customFormat="1">
      <c r="A15" s="430" t="s">
        <v>2</v>
      </c>
      <c r="B15" s="431" t="s">
        <v>3</v>
      </c>
      <c r="C15" s="430" t="s">
        <v>4</v>
      </c>
      <c r="D15" s="430" t="s">
        <v>5</v>
      </c>
      <c r="E15" s="430" t="s">
        <v>6</v>
      </c>
      <c r="F15" s="430">
        <v>1</v>
      </c>
      <c r="G15" s="430">
        <v>2</v>
      </c>
      <c r="H15" s="430">
        <v>3</v>
      </c>
      <c r="I15" s="430">
        <v>4</v>
      </c>
      <c r="J15" s="430">
        <v>5</v>
      </c>
      <c r="K15" s="430">
        <v>6</v>
      </c>
      <c r="L15" s="430">
        <v>7</v>
      </c>
      <c r="M15" s="430">
        <v>8</v>
      </c>
      <c r="N15" s="430">
        <v>9</v>
      </c>
    </row>
    <row r="16" spans="1:14" s="18" customFormat="1" ht="19.5" customHeight="1">
      <c r="A16" s="456"/>
      <c r="B16" s="456"/>
      <c r="C16" s="456"/>
      <c r="D16" s="457" t="s">
        <v>7</v>
      </c>
      <c r="E16" s="458"/>
      <c r="F16" s="458"/>
      <c r="G16" s="456"/>
      <c r="H16" s="456"/>
      <c r="I16" s="456"/>
      <c r="J16" s="456"/>
      <c r="K16" s="459">
        <f>VLOOKUP($H$9,'341'!$B$5:$P$27,4,0)</f>
        <v>0</v>
      </c>
      <c r="L16" s="460">
        <f>VLOOKUP($H$9,'341'!$B$5:$P$27,5,0)</f>
        <v>0</v>
      </c>
      <c r="M16" s="459">
        <f>VLOOKUP($H$9,'341'!$B$5:$P$27,6,0)</f>
        <v>97000</v>
      </c>
      <c r="N16" s="460">
        <f>VLOOKUP($H$9,'341'!$B$5:$P$27,7,0)</f>
        <v>2117025000</v>
      </c>
    </row>
    <row r="17" spans="1:14" s="18" customFormat="1" ht="19.5" customHeight="1">
      <c r="A17" s="389">
        <f ca="1">IF(ROWS($1:1)&gt;COUNT(Dong4),"",OFFSET(TH!C$1,SMALL(Dong4,ROWS($1:1)),))</f>
        <v>42394</v>
      </c>
      <c r="B17" s="279" t="str">
        <f ca="1">IF(ROWS($1:1)&gt;COUNT(Dong4),"",OFFSET(TH!D$1,SMALL(Dong4,ROWS($1:1)),))</f>
        <v>GBN</v>
      </c>
      <c r="C17" s="279">
        <f ca="1">IF(ROWS($1:1)&gt;COUNT(Dong4),"",OFFSET(TH!E$1,SMALL(Dong4,ROWS($1:1)),))</f>
        <v>42394</v>
      </c>
      <c r="D17" s="461" t="str">
        <f ca="1">IF(ROWS($1:1)&gt;COUNT(Dong4),"",OFFSET(TH!F$1,SMALL(Dong4,ROWS($1:1)),))</f>
        <v xml:space="preserve">Q11 - Trả gốc </v>
      </c>
      <c r="E17" s="279" t="str">
        <f ca="1">IF(ROWS($1:1)&gt;COUNT(Dong4),"",IF(LEFT(OFFSET(TH!O$1,SMALL(Dong4,ROWS($1:1)),),3)="341",OFFSET(TH!N$1,SMALL(Dong4,ROWS($1:1)),),OFFSET(TH!O$1,SMALL(Dong4,ROWS($1:1)),)))</f>
        <v>1122</v>
      </c>
      <c r="F17" s="462"/>
      <c r="G17" s="463">
        <f ca="1">IF(ROWS($1:1)&gt;COUNT(Dong4),"",IF(LEFT(OFFSET(TH!N$1,SMALL(Dong4,ROWS($1:1)),),3)="341",OFFSET(TH!K$1,SMALL(Dong4,ROWS($1:1)),),0))</f>
        <v>97000</v>
      </c>
      <c r="H17" s="462">
        <f ca="1">IF(ROWS($1:1)&gt;COUNT(Dong4),"",IF(LEFT(OFFSET(TH!N$1,SMALL(Dong4,ROWS($1:1)),),3)="341",OFFSET(TH!M$1,SMALL(Dong4,ROWS($1:1)),),0))</f>
        <v>2168920000</v>
      </c>
      <c r="I17" s="463">
        <f ca="1">IF(ROWS($1:1)&gt;COUNT(Dong4),"",IF(LEFT(OFFSET(TH!O$1,SMALL(Dong4,ROWS($1:1)),),3)="341",OFFSET(TH!K$1,SMALL(Dong4,ROWS($1:1)),),0))</f>
        <v>0</v>
      </c>
      <c r="J17" s="462">
        <f ca="1">IF(ROWS($1:1)&gt;COUNT(Dong4),"",IF(LEFT(OFFSET(TH!O$1,SMALL(Dong4,ROWS($1:1)),),3)="341",OFFSET(TH!M$1,SMALL(Dong4,ROWS($1:1)),),0))</f>
        <v>0</v>
      </c>
      <c r="K17" s="270">
        <f ca="1">IF(C17&lt;&gt;"",ROUND(MAX(K16+G17-I17-M16,0),2),0)</f>
        <v>0</v>
      </c>
      <c r="L17" s="8">
        <f ca="1">IF(C17&lt;&gt;"",MAX(L16-N16+H17-J17,0),0)</f>
        <v>51895000</v>
      </c>
      <c r="M17" s="270">
        <f ca="1">IF(C17&lt;&gt;"",ROUND(MAX(M16+I17-G17-K16,0),2),0)</f>
        <v>0</v>
      </c>
      <c r="N17" s="8">
        <f ca="1">IF(C17&lt;&gt;"",MAX(N16-L16+J17-H17,0),0)</f>
        <v>0</v>
      </c>
    </row>
    <row r="18" spans="1:14" s="464" customFormat="1" ht="19.5" customHeight="1">
      <c r="A18" s="389">
        <f ca="1">IF(ROWS($1:2)&gt;COUNT(Dong4),"",OFFSET(TH!C$1,SMALL(Dong4,ROWS($1:2)),))</f>
        <v>42394</v>
      </c>
      <c r="B18" s="279" t="str">
        <f ca="1">IF(ROWS($1:2)&gt;COUNT(Dong4),"",OFFSET(TH!D$1,SMALL(Dong4,ROWS($1:2)),))</f>
        <v>CTGS</v>
      </c>
      <c r="C18" s="279">
        <f ca="1">IF(ROWS($1:2)&gt;COUNT(Dong4),"",OFFSET(TH!E$1,SMALL(Dong4,ROWS($1:2)),))</f>
        <v>42394</v>
      </c>
      <c r="D18" s="461" t="str">
        <f ca="1">IF(ROWS($1:2)&gt;COUNT(Dong4),"",OFFSET(TH!F$1,SMALL(Dong4,ROWS($1:2)),))</f>
        <v>Q11 - Chênh lệch tỷ giá vay</v>
      </c>
      <c r="E18" s="279" t="str">
        <f ca="1">IF(ROWS($1:2)&gt;COUNT(Dong4),"",IF(LEFT(OFFSET(TH!O$1,SMALL(Dong4,ROWS($1:2)),),3)="341",OFFSET(TH!N$1,SMALL(Dong4,ROWS($1:2)),),OFFSET(TH!O$1,SMALL(Dong4,ROWS($1:2)),)))</f>
        <v>635</v>
      </c>
      <c r="F18" s="462"/>
      <c r="G18" s="463">
        <f ca="1">IF(ROWS($1:2)&gt;COUNT(Dong4),"",IF(LEFT(OFFSET(TH!N$1,SMALL(Dong4,ROWS($1:2)),),3)="341",OFFSET(TH!K$1,SMALL(Dong4,ROWS($1:2)),),0))</f>
        <v>0</v>
      </c>
      <c r="H18" s="462">
        <f ca="1">IF(ROWS($1:2)&gt;COUNT(Dong4),"",IF(LEFT(OFFSET(TH!N$1,SMALL(Dong4,ROWS($1:2)),),3)="341",OFFSET(TH!M$1,SMALL(Dong4,ROWS($1:2)),),0))</f>
        <v>0</v>
      </c>
      <c r="I18" s="463">
        <f ca="1">IF(ROWS($1:2)&gt;COUNT(Dong4),"",IF(LEFT(OFFSET(TH!O$1,SMALL(Dong4,ROWS($1:2)),),3)="341",OFFSET(TH!K$1,SMALL(Dong4,ROWS($1:2)),),0))</f>
        <v>0</v>
      </c>
      <c r="J18" s="462">
        <f ca="1">IF(ROWS($1:2)&gt;COUNT(Dong4),"",IF(LEFT(OFFSET(TH!O$1,SMALL(Dong4,ROWS($1:2)),),3)="341",OFFSET(TH!M$1,SMALL(Dong4,ROWS($1:2)),),0))</f>
        <v>51895000</v>
      </c>
      <c r="K18" s="270">
        <f ca="1">IF(C18&lt;&gt;"",ROUND(MAX(K17+G18-I18-M17,0),2),0)</f>
        <v>0</v>
      </c>
      <c r="L18" s="8">
        <f ca="1">IF(C18&lt;&gt;"",MAX(L17-N17+H18-J18,0),0)</f>
        <v>0</v>
      </c>
      <c r="M18" s="270">
        <f ca="1">IF(C18&lt;&gt;"",ROUND(MAX(M17+I18-G18-K17,0),2),0)</f>
        <v>0</v>
      </c>
      <c r="N18" s="8">
        <f ca="1">IF(C18&lt;&gt;"",MAX(N17-L17+J18-H18,0),0)</f>
        <v>0</v>
      </c>
    </row>
    <row r="19" spans="1:14" s="464" customFormat="1" ht="19.5" customHeight="1">
      <c r="A19" s="389" t="str">
        <f ca="1">IF(ROWS($1:3)&gt;COUNT(Dong4),"",OFFSET(TH!C$1,SMALL(Dong4,ROWS($1:3)),))</f>
        <v/>
      </c>
      <c r="B19" s="279" t="str">
        <f ca="1">IF(ROWS($1:3)&gt;COUNT(Dong4),"",OFFSET(TH!D$1,SMALL(Dong4,ROWS($1:3)),))</f>
        <v/>
      </c>
      <c r="C19" s="279" t="str">
        <f ca="1">IF(ROWS($1:3)&gt;COUNT(Dong4),"",OFFSET(TH!E$1,SMALL(Dong4,ROWS($1:3)),))</f>
        <v/>
      </c>
      <c r="D19" s="461" t="str">
        <f ca="1">IF(ROWS($1:3)&gt;COUNT(Dong4),"",OFFSET(TH!F$1,SMALL(Dong4,ROWS($1:3)),))</f>
        <v/>
      </c>
      <c r="E19" s="279" t="str">
        <f ca="1">IF(ROWS($1:3)&gt;COUNT(Dong4),"",IF(LEFT(OFFSET(TH!O$1,SMALL(Dong4,ROWS($1:3)),),3)="341",OFFSET(TH!N$1,SMALL(Dong4,ROWS($1:3)),),OFFSET(TH!O$1,SMALL(Dong4,ROWS($1:3)),)))</f>
        <v/>
      </c>
      <c r="F19" s="462"/>
      <c r="G19" s="463" t="str">
        <f ca="1">IF(ROWS($1:3)&gt;COUNT(Dong4),"",IF(LEFT(OFFSET(TH!N$1,SMALL(Dong4,ROWS($1:3)),),3)="341",OFFSET(TH!K$1,SMALL(Dong4,ROWS($1:3)),),0))</f>
        <v/>
      </c>
      <c r="H19" s="462" t="str">
        <f ca="1">IF(ROWS($1:3)&gt;COUNT(Dong4),"",IF(LEFT(OFFSET(TH!N$1,SMALL(Dong4,ROWS($1:3)),),3)="341",OFFSET(TH!M$1,SMALL(Dong4,ROWS($1:3)),),0))</f>
        <v/>
      </c>
      <c r="I19" s="463" t="str">
        <f ca="1">IF(ROWS($1:3)&gt;COUNT(Dong4),"",IF(LEFT(OFFSET(TH!O$1,SMALL(Dong4,ROWS($1:3)),),3)="341",OFFSET(TH!K$1,SMALL(Dong4,ROWS($1:3)),),0))</f>
        <v/>
      </c>
      <c r="J19" s="462" t="str">
        <f ca="1">IF(ROWS($1:3)&gt;COUNT(Dong4),"",IF(LEFT(OFFSET(TH!O$1,SMALL(Dong4,ROWS($1:3)),),3)="341",OFFSET(TH!M$1,SMALL(Dong4,ROWS($1:3)),),0))</f>
        <v/>
      </c>
      <c r="K19" s="270">
        <f ca="1">IF(C19&lt;&gt;"",ROUND(MAX(K18+G19-I19-M18,0),2),0)</f>
        <v>0</v>
      </c>
      <c r="L19" s="8">
        <f ca="1">IF(C19&lt;&gt;"",MAX(L18-N18+H19-J19,0),0)</f>
        <v>0</v>
      </c>
      <c r="M19" s="270">
        <f ca="1">IF(C19&lt;&gt;"",ROUND(MAX(M18+I19-G19-K18,0),2),0)</f>
        <v>0</v>
      </c>
      <c r="N19" s="8">
        <f ca="1">IF(C19&lt;&gt;"",MAX(N18-L18+J19-H19,0),0)</f>
        <v>0</v>
      </c>
    </row>
    <row r="20" spans="1:14" s="464" customFormat="1" ht="19.5" customHeight="1">
      <c r="A20" s="465"/>
      <c r="B20" s="465"/>
      <c r="C20" s="465"/>
      <c r="D20" s="466"/>
      <c r="E20" s="467"/>
      <c r="F20" s="468"/>
      <c r="G20" s="469"/>
      <c r="H20" s="469"/>
      <c r="I20" s="469"/>
      <c r="J20" s="470"/>
      <c r="K20" s="270"/>
      <c r="L20" s="8"/>
      <c r="M20" s="270"/>
      <c r="N20" s="8"/>
    </row>
    <row r="21" spans="1:14" s="18" customFormat="1" ht="19.5" customHeight="1">
      <c r="A21" s="279"/>
      <c r="B21" s="279"/>
      <c r="C21" s="279"/>
      <c r="D21" s="471" t="s">
        <v>35</v>
      </c>
      <c r="E21" s="390" t="s">
        <v>21</v>
      </c>
      <c r="F21" s="390" t="s">
        <v>21</v>
      </c>
      <c r="G21" s="472">
        <f ca="1">SUM(G17:G18)</f>
        <v>97000</v>
      </c>
      <c r="H21" s="473">
        <f ca="1">SUM(H17:H18)</f>
        <v>2168920000</v>
      </c>
      <c r="I21" s="472">
        <f ca="1">SUM(I17:I18)</f>
        <v>0</v>
      </c>
      <c r="J21" s="473">
        <f ca="1">SUM(J17:J18)</f>
        <v>51895000</v>
      </c>
      <c r="K21" s="473" t="s">
        <v>21</v>
      </c>
      <c r="L21" s="473" t="s">
        <v>21</v>
      </c>
      <c r="M21" s="473" t="s">
        <v>21</v>
      </c>
      <c r="N21" s="473" t="s">
        <v>21</v>
      </c>
    </row>
    <row r="22" spans="1:14" s="18" customFormat="1" ht="19.5" customHeight="1">
      <c r="A22" s="474"/>
      <c r="B22" s="474"/>
      <c r="C22" s="474"/>
      <c r="D22" s="475" t="s">
        <v>10</v>
      </c>
      <c r="E22" s="476" t="s">
        <v>21</v>
      </c>
      <c r="F22" s="476" t="s">
        <v>21</v>
      </c>
      <c r="G22" s="476" t="s">
        <v>21</v>
      </c>
      <c r="H22" s="476" t="s">
        <v>21</v>
      </c>
      <c r="I22" s="476" t="s">
        <v>21</v>
      </c>
      <c r="J22" s="476" t="s">
        <v>21</v>
      </c>
      <c r="K22" s="477">
        <f ca="1">MAX(K16+G21-M16-I21,0)</f>
        <v>0</v>
      </c>
      <c r="L22" s="478">
        <f ca="1">MAX(L16+H21-N16-J21,0)</f>
        <v>0</v>
      </c>
      <c r="M22" s="477">
        <f ca="1">MAX(M16+I21-K16-G21,0)</f>
        <v>0</v>
      </c>
      <c r="N22" s="478">
        <f ca="1">MAX(N16+J21-L16-H21,0)</f>
        <v>0</v>
      </c>
    </row>
    <row r="23" spans="1:14" s="18" customFormat="1">
      <c r="E23" s="426"/>
      <c r="F23" s="426"/>
    </row>
    <row r="24" spans="1:14" s="18" customFormat="1">
      <c r="A24" s="280" t="s">
        <v>263</v>
      </c>
      <c r="E24" s="426"/>
      <c r="F24" s="426"/>
    </row>
    <row r="25" spans="1:14" s="18" customFormat="1">
      <c r="A25" s="280" t="str">
        <f>"- Ngày mở sổ: "&amp; TEXT(VLOOKUP($H$9,'341'!$B$5:$P$27,2,0),"dd/MM/yy")</f>
        <v>- Ngày mở sổ: 20/07/15</v>
      </c>
      <c r="E25" s="426"/>
      <c r="F25" s="426"/>
    </row>
    <row r="26" spans="1:14" s="18" customFormat="1">
      <c r="E26" s="426"/>
      <c r="F26" s="426"/>
      <c r="L26" s="426" t="s">
        <v>264</v>
      </c>
    </row>
    <row r="27" spans="1:14" s="18" customFormat="1">
      <c r="C27" s="426" t="s">
        <v>11</v>
      </c>
      <c r="E27" s="426"/>
      <c r="F27" s="426"/>
      <c r="L27" s="426" t="s">
        <v>12</v>
      </c>
    </row>
    <row r="28" spans="1:14" s="18" customFormat="1">
      <c r="C28" s="426" t="s">
        <v>13</v>
      </c>
      <c r="E28" s="426"/>
      <c r="F28" s="426"/>
      <c r="L28" s="426" t="s">
        <v>13</v>
      </c>
    </row>
    <row r="29" spans="1:14" s="18" customFormat="1">
      <c r="E29" s="426"/>
      <c r="F29" s="426"/>
    </row>
    <row r="30" spans="1:14" s="18" customFormat="1">
      <c r="E30" s="426"/>
      <c r="F30" s="426"/>
    </row>
    <row r="31" spans="1:14" s="281" customFormat="1"/>
    <row r="32" spans="1:14" s="281" customFormat="1"/>
    <row r="33" spans="2:4" s="281" customFormat="1"/>
    <row r="34" spans="2:4" s="281" customFormat="1"/>
    <row r="35" spans="2:4" s="281" customFormat="1" ht="15">
      <c r="B35" s="479"/>
      <c r="C35" s="480" t="s">
        <v>265</v>
      </c>
      <c r="D35" s="479"/>
    </row>
    <row r="36" spans="2:4" s="281" customFormat="1"/>
    <row r="37" spans="2:4" s="281" customFormat="1"/>
    <row r="38" spans="2:4" s="281" customFormat="1"/>
    <row r="39" spans="2:4" s="281" customFormat="1"/>
    <row r="40" spans="2:4" s="281" customFormat="1"/>
    <row r="41" spans="2:4" s="281" customFormat="1"/>
    <row r="42" spans="2:4" s="281" customFormat="1"/>
    <row r="43" spans="2:4" s="281"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2" customWidth="1"/>
    <col min="2" max="2" width="7" style="542" customWidth="1"/>
    <col min="3" max="3" width="9.140625" style="542"/>
    <col min="4" max="4" width="25" style="542" customWidth="1"/>
    <col min="5" max="5" width="6.5703125" style="542" customWidth="1"/>
    <col min="6" max="10" width="10" style="542" customWidth="1"/>
    <col min="11" max="11" width="8.7109375" style="542" customWidth="1"/>
    <col min="12" max="12" width="15" style="542" customWidth="1"/>
    <col min="13" max="13" width="10" style="542" customWidth="1"/>
    <col min="14" max="14" width="9.42578125" style="542" customWidth="1"/>
    <col min="15" max="16384" width="9.140625" style="542"/>
  </cols>
  <sheetData>
    <row r="2" spans="1:14">
      <c r="A2" s="541" t="s">
        <v>195</v>
      </c>
      <c r="C2" s="543"/>
      <c r="F2" s="544"/>
      <c r="G2" s="544"/>
      <c r="H2" s="544"/>
      <c r="I2" s="544"/>
      <c r="J2" s="544"/>
      <c r="K2" s="544" t="s">
        <v>320</v>
      </c>
      <c r="L2" s="544"/>
      <c r="M2" s="544"/>
      <c r="N2" s="544"/>
    </row>
    <row r="3" spans="1:14">
      <c r="A3" s="541" t="s">
        <v>197</v>
      </c>
      <c r="C3" s="543"/>
      <c r="F3" s="545"/>
      <c r="G3" s="545"/>
      <c r="H3" s="545"/>
      <c r="I3" s="545"/>
      <c r="J3" s="545"/>
      <c r="K3" s="545" t="s">
        <v>251</v>
      </c>
      <c r="L3" s="545"/>
      <c r="M3" s="545"/>
      <c r="N3" s="545"/>
    </row>
    <row r="4" spans="1:14">
      <c r="F4" s="545"/>
      <c r="G4" s="545"/>
      <c r="H4" s="545"/>
      <c r="I4" s="545"/>
      <c r="J4" s="545"/>
      <c r="K4" s="545" t="s">
        <v>252</v>
      </c>
      <c r="L4" s="545"/>
      <c r="M4" s="545"/>
      <c r="N4" s="545"/>
    </row>
    <row r="5" spans="1:14" s="546" customFormat="1" ht="23.25" customHeight="1">
      <c r="A5" s="1187" t="s">
        <v>321</v>
      </c>
      <c r="B5" s="1187"/>
      <c r="C5" s="1187"/>
      <c r="D5" s="1187"/>
      <c r="E5" s="1187"/>
      <c r="F5" s="1187"/>
      <c r="G5" s="1187"/>
      <c r="H5" s="1187"/>
      <c r="I5" s="1187"/>
      <c r="J5" s="1187"/>
      <c r="K5" s="1187"/>
      <c r="L5" s="1187"/>
      <c r="M5" s="1187"/>
      <c r="N5" s="1187"/>
    </row>
    <row r="6" spans="1:14">
      <c r="A6" s="1188" t="s">
        <v>272</v>
      </c>
      <c r="B6" s="1188" t="s">
        <v>322</v>
      </c>
      <c r="C6" s="1188"/>
      <c r="D6" s="1188"/>
      <c r="E6" s="1188"/>
      <c r="F6" s="1188"/>
      <c r="G6" s="1188"/>
      <c r="H6" s="1188"/>
      <c r="I6" s="1188"/>
      <c r="J6" s="1188"/>
      <c r="K6" s="1188"/>
      <c r="L6" s="1188"/>
      <c r="M6" s="1188"/>
      <c r="N6" s="1188"/>
    </row>
    <row r="7" spans="1:14">
      <c r="C7" s="1189"/>
      <c r="D7" s="1189"/>
      <c r="E7" s="1189"/>
      <c r="F7" s="1189"/>
      <c r="G7" s="1189"/>
      <c r="H7" s="1189"/>
      <c r="I7" s="1189"/>
      <c r="J7" s="1189"/>
      <c r="K7" s="1189"/>
      <c r="L7" s="1189"/>
      <c r="M7" s="1189"/>
      <c r="N7" s="1189"/>
    </row>
    <row r="8" spans="1:14" ht="15.75" customHeight="1">
      <c r="A8" s="1190" t="s">
        <v>22</v>
      </c>
      <c r="B8" s="1191" t="s">
        <v>1</v>
      </c>
      <c r="C8" s="1192"/>
      <c r="D8" s="1190" t="s">
        <v>0</v>
      </c>
      <c r="E8" s="1190" t="s">
        <v>16</v>
      </c>
      <c r="F8" s="1195" t="s">
        <v>23</v>
      </c>
      <c r="G8" s="1195"/>
      <c r="H8" s="1195"/>
      <c r="I8" s="1195"/>
      <c r="J8" s="1195"/>
      <c r="K8" s="1195"/>
      <c r="L8" s="1195" t="s">
        <v>33</v>
      </c>
      <c r="M8" s="1195"/>
      <c r="N8" s="1195"/>
    </row>
    <row r="9" spans="1:14" ht="15.75" customHeight="1">
      <c r="A9" s="1190"/>
      <c r="B9" s="1193"/>
      <c r="C9" s="1194"/>
      <c r="D9" s="1190"/>
      <c r="E9" s="1190"/>
      <c r="F9" s="1195" t="s">
        <v>323</v>
      </c>
      <c r="G9" s="1195"/>
      <c r="H9" s="1195"/>
      <c r="I9" s="1195" t="s">
        <v>324</v>
      </c>
      <c r="J9" s="1195"/>
      <c r="K9" s="1195"/>
      <c r="L9" s="1190" t="s">
        <v>325</v>
      </c>
      <c r="M9" s="1190" t="s">
        <v>326</v>
      </c>
      <c r="N9" s="1190" t="s">
        <v>327</v>
      </c>
    </row>
    <row r="10" spans="1:14" ht="15.75" customHeight="1">
      <c r="A10" s="1190"/>
      <c r="B10" s="1197" t="s">
        <v>17</v>
      </c>
      <c r="C10" s="1197" t="s">
        <v>34</v>
      </c>
      <c r="D10" s="1190"/>
      <c r="E10" s="1190"/>
      <c r="F10" s="1199" t="s">
        <v>325</v>
      </c>
      <c r="G10" s="1199" t="s">
        <v>326</v>
      </c>
      <c r="H10" s="1199" t="s">
        <v>327</v>
      </c>
      <c r="I10" s="1199" t="s">
        <v>325</v>
      </c>
      <c r="J10" s="1199" t="s">
        <v>326</v>
      </c>
      <c r="K10" s="1199" t="s">
        <v>327</v>
      </c>
      <c r="L10" s="1196"/>
      <c r="M10" s="1196"/>
      <c r="N10" s="1196"/>
    </row>
    <row r="11" spans="1:14">
      <c r="A11" s="1190"/>
      <c r="B11" s="1198"/>
      <c r="C11" s="1198"/>
      <c r="D11" s="1190"/>
      <c r="E11" s="1190"/>
      <c r="F11" s="1200"/>
      <c r="G11" s="1200"/>
      <c r="H11" s="1200"/>
      <c r="I11" s="1200"/>
      <c r="J11" s="1200"/>
      <c r="K11" s="1200"/>
      <c r="L11" s="1196"/>
      <c r="M11" s="1196"/>
      <c r="N11" s="1196"/>
    </row>
    <row r="12" spans="1:14" s="545" customFormat="1">
      <c r="A12" s="547" t="s">
        <v>2</v>
      </c>
      <c r="B12" s="548" t="s">
        <v>3</v>
      </c>
      <c r="C12" s="547" t="s">
        <v>4</v>
      </c>
      <c r="D12" s="547" t="s">
        <v>5</v>
      </c>
      <c r="E12" s="547" t="s">
        <v>6</v>
      </c>
      <c r="F12" s="547">
        <v>1</v>
      </c>
      <c r="G12" s="547"/>
      <c r="H12" s="547"/>
      <c r="I12" s="547"/>
      <c r="J12" s="547"/>
      <c r="K12" s="547"/>
      <c r="L12" s="547"/>
      <c r="M12" s="547"/>
      <c r="N12" s="547"/>
    </row>
    <row r="13" spans="1:14">
      <c r="A13" s="549"/>
      <c r="B13" s="549"/>
      <c r="C13" s="549"/>
      <c r="D13" s="550" t="s">
        <v>7</v>
      </c>
      <c r="E13" s="549"/>
      <c r="F13" s="549"/>
      <c r="G13" s="549"/>
      <c r="H13" s="549"/>
      <c r="I13" s="549"/>
      <c r="J13" s="549"/>
      <c r="K13" s="549"/>
      <c r="L13" s="551">
        <f>CDPS!$D$55</f>
        <v>10000000000</v>
      </c>
      <c r="M13" s="549"/>
      <c r="N13" s="549"/>
    </row>
    <row r="14" spans="1:14">
      <c r="A14" s="552"/>
      <c r="B14" s="552"/>
      <c r="C14" s="552"/>
      <c r="D14" s="553" t="s">
        <v>328</v>
      </c>
      <c r="E14" s="552"/>
      <c r="F14" s="552"/>
      <c r="G14" s="552"/>
      <c r="H14" s="552"/>
      <c r="I14" s="552"/>
      <c r="J14" s="552"/>
      <c r="K14" s="552"/>
      <c r="L14" s="552"/>
      <c r="M14" s="552"/>
      <c r="N14" s="552"/>
    </row>
    <row r="15" spans="1:14">
      <c r="A15" s="552"/>
      <c r="B15" s="552"/>
      <c r="C15" s="552"/>
      <c r="D15" s="552"/>
      <c r="E15" s="552"/>
      <c r="F15" s="552"/>
      <c r="G15" s="552"/>
      <c r="H15" s="552"/>
      <c r="I15" s="552"/>
      <c r="J15" s="552"/>
      <c r="K15" s="552"/>
      <c r="L15" s="552"/>
      <c r="M15" s="552"/>
      <c r="N15" s="552"/>
    </row>
    <row r="16" spans="1:14">
      <c r="A16" s="552"/>
      <c r="B16" s="552"/>
      <c r="C16" s="552"/>
      <c r="D16" s="552"/>
      <c r="E16" s="552"/>
      <c r="F16" s="552"/>
      <c r="G16" s="552"/>
      <c r="H16" s="552"/>
      <c r="I16" s="552"/>
      <c r="J16" s="552"/>
      <c r="K16" s="552"/>
      <c r="L16" s="552"/>
      <c r="M16" s="552"/>
      <c r="N16" s="552"/>
    </row>
    <row r="17" spans="1:14">
      <c r="A17" s="552"/>
      <c r="B17" s="552"/>
      <c r="C17" s="552"/>
      <c r="D17" s="552"/>
      <c r="E17" s="552"/>
      <c r="F17" s="552"/>
      <c r="G17" s="552"/>
      <c r="H17" s="552"/>
      <c r="I17" s="552"/>
      <c r="J17" s="552"/>
      <c r="K17" s="552"/>
      <c r="L17" s="552"/>
      <c r="M17" s="552"/>
      <c r="N17" s="552"/>
    </row>
    <row r="18" spans="1:14">
      <c r="A18" s="552"/>
      <c r="B18" s="552"/>
      <c r="C18" s="552"/>
      <c r="D18" s="552"/>
      <c r="E18" s="552"/>
      <c r="F18" s="552"/>
      <c r="G18" s="552"/>
      <c r="H18" s="552"/>
      <c r="I18" s="552"/>
      <c r="J18" s="552"/>
      <c r="K18" s="552"/>
      <c r="L18" s="552"/>
      <c r="M18" s="552"/>
      <c r="N18" s="552"/>
    </row>
    <row r="19" spans="1:14">
      <c r="A19" s="552"/>
      <c r="B19" s="552"/>
      <c r="C19" s="552"/>
      <c r="D19" s="552"/>
      <c r="E19" s="552"/>
      <c r="F19" s="552"/>
      <c r="G19" s="552"/>
      <c r="H19" s="552"/>
      <c r="I19" s="552"/>
      <c r="J19" s="552"/>
      <c r="K19" s="552"/>
      <c r="L19" s="552"/>
      <c r="M19" s="552"/>
      <c r="N19" s="552"/>
    </row>
    <row r="20" spans="1:14">
      <c r="A20" s="552"/>
      <c r="B20" s="552"/>
      <c r="C20" s="552"/>
      <c r="D20" s="552"/>
      <c r="E20" s="552"/>
      <c r="F20" s="552"/>
      <c r="G20" s="552"/>
      <c r="H20" s="552"/>
      <c r="I20" s="552"/>
      <c r="J20" s="552"/>
      <c r="K20" s="552"/>
      <c r="L20" s="552"/>
      <c r="M20" s="552"/>
      <c r="N20" s="552"/>
    </row>
    <row r="21" spans="1:14">
      <c r="A21" s="552"/>
      <c r="B21" s="552"/>
      <c r="C21" s="552"/>
      <c r="D21" s="554"/>
      <c r="E21" s="554"/>
      <c r="F21" s="554"/>
      <c r="G21" s="554"/>
      <c r="H21" s="554"/>
      <c r="I21" s="554"/>
      <c r="J21" s="554"/>
      <c r="K21" s="554"/>
      <c r="L21" s="554"/>
      <c r="M21" s="554"/>
      <c r="N21" s="554"/>
    </row>
    <row r="22" spans="1:14">
      <c r="A22" s="552"/>
      <c r="B22" s="552"/>
      <c r="C22" s="552"/>
      <c r="D22" s="555" t="s">
        <v>160</v>
      </c>
      <c r="E22" s="556" t="s">
        <v>21</v>
      </c>
      <c r="F22" s="556"/>
      <c r="G22" s="556"/>
      <c r="H22" s="556"/>
      <c r="I22" s="556"/>
      <c r="J22" s="556"/>
      <c r="K22" s="556"/>
      <c r="L22" s="556"/>
      <c r="M22" s="556"/>
      <c r="N22" s="556"/>
    </row>
    <row r="23" spans="1:14">
      <c r="A23" s="557"/>
      <c r="B23" s="557"/>
      <c r="C23" s="557"/>
      <c r="D23" s="558" t="s">
        <v>10</v>
      </c>
      <c r="E23" s="557" t="s">
        <v>21</v>
      </c>
      <c r="F23" s="557"/>
      <c r="G23" s="557"/>
      <c r="H23" s="557"/>
      <c r="I23" s="557"/>
      <c r="J23" s="557"/>
      <c r="K23" s="557"/>
      <c r="L23" s="559">
        <f>L13+L22</f>
        <v>10000000000</v>
      </c>
      <c r="M23" s="557"/>
      <c r="N23" s="557"/>
    </row>
    <row r="25" spans="1:14">
      <c r="C25" s="560" t="s">
        <v>329</v>
      </c>
    </row>
    <row r="26" spans="1:14">
      <c r="C26" s="560" t="s">
        <v>330</v>
      </c>
    </row>
    <row r="27" spans="1:14">
      <c r="B27" s="561"/>
      <c r="C27" s="561"/>
      <c r="D27" s="561"/>
      <c r="E27" s="1186" t="s">
        <v>331</v>
      </c>
      <c r="F27" s="1186"/>
      <c r="G27" s="1186"/>
      <c r="H27" s="1186"/>
      <c r="I27" s="1186"/>
      <c r="J27" s="1186"/>
      <c r="K27" s="1186"/>
      <c r="L27" s="1186"/>
      <c r="M27" s="1186"/>
      <c r="N27" s="1186"/>
    </row>
    <row r="28" spans="1:14">
      <c r="A28" s="1186" t="s">
        <v>11</v>
      </c>
      <c r="B28" s="1186"/>
      <c r="C28" s="1186"/>
      <c r="D28" s="1186"/>
      <c r="E28" s="1186" t="s">
        <v>12</v>
      </c>
      <c r="F28" s="1186"/>
      <c r="G28" s="1186"/>
      <c r="H28" s="1186"/>
      <c r="I28" s="1186"/>
      <c r="J28" s="1186"/>
      <c r="K28" s="1186"/>
      <c r="L28" s="1186"/>
      <c r="M28" s="1186"/>
      <c r="N28" s="1186"/>
    </row>
    <row r="29" spans="1:14">
      <c r="A29" s="1186" t="s">
        <v>13</v>
      </c>
      <c r="B29" s="1186"/>
      <c r="C29" s="1186"/>
      <c r="D29" s="1186"/>
      <c r="E29" s="1186" t="s">
        <v>13</v>
      </c>
      <c r="F29" s="1186"/>
      <c r="G29" s="1186"/>
      <c r="H29" s="1186"/>
      <c r="I29" s="1186"/>
      <c r="J29" s="1186"/>
      <c r="K29" s="1186"/>
      <c r="L29" s="1186"/>
      <c r="M29" s="1186"/>
      <c r="N29" s="1186"/>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36" activePane="bottomRight" state="frozen"/>
      <selection activeCell="C33" sqref="C33"/>
      <selection pane="topRight" activeCell="C33" sqref="C33"/>
      <selection pane="bottomLeft" activeCell="C33" sqref="C33"/>
      <selection pane="bottomRight" activeCell="A8" sqref="A1:A1048576"/>
    </sheetView>
  </sheetViews>
  <sheetFormatPr defaultRowHeight="12.75"/>
  <cols>
    <col min="1" max="1" width="3.7109375" style="575" hidden="1" customWidth="1"/>
    <col min="2" max="2" width="3.42578125" style="575" customWidth="1"/>
    <col min="3" max="3" width="28.28515625" style="575" customWidth="1"/>
    <col min="4" max="4" width="7.7109375" style="580" customWidth="1"/>
    <col min="5" max="5" width="9.42578125" style="625" customWidth="1"/>
    <col min="6" max="6" width="12.5703125" style="625" customWidth="1"/>
    <col min="7" max="7" width="9.85546875" style="584" customWidth="1"/>
    <col min="8" max="8" width="15.42578125" style="584" customWidth="1"/>
    <col min="9" max="9" width="11.7109375" style="584" customWidth="1"/>
    <col min="10" max="10" width="13.85546875" style="584" customWidth="1"/>
    <col min="11" max="11" width="12" style="584" customWidth="1"/>
    <col min="12" max="12" width="12.85546875" style="584" customWidth="1"/>
    <col min="13" max="13" width="3.28515625" style="576" customWidth="1"/>
    <col min="14" max="14" width="24.140625" style="575" customWidth="1"/>
    <col min="15" max="15" width="10.5703125" style="575" customWidth="1"/>
    <col min="16" max="16" width="10.42578125" style="575" customWidth="1"/>
    <col min="17" max="17" width="22.28515625" style="575" customWidth="1"/>
    <col min="18" max="18" width="12" style="575" customWidth="1"/>
    <col min="19" max="19" width="4.85546875" style="575" customWidth="1"/>
    <col min="20" max="16384" width="9.140625" style="575"/>
  </cols>
  <sheetData>
    <row r="1" spans="1:19" s="530" customFormat="1" ht="14.25" customHeight="1">
      <c r="B1" s="562" t="s">
        <v>332</v>
      </c>
      <c r="C1" s="563"/>
      <c r="D1" s="563"/>
      <c r="E1" s="563"/>
      <c r="F1" s="564"/>
      <c r="G1" s="564"/>
      <c r="H1" s="1166" t="s">
        <v>333</v>
      </c>
      <c r="I1" s="1166"/>
      <c r="J1" s="1166"/>
      <c r="K1" s="1166"/>
      <c r="L1" s="1166"/>
      <c r="M1" s="565"/>
      <c r="N1" s="277"/>
      <c r="O1" s="528"/>
    </row>
    <row r="2" spans="1:19" s="530" customFormat="1" ht="14.25" customHeight="1">
      <c r="B2" s="566" t="s">
        <v>334</v>
      </c>
      <c r="C2" s="567"/>
      <c r="D2" s="567"/>
      <c r="E2" s="567"/>
      <c r="F2" s="567"/>
      <c r="G2" s="567"/>
      <c r="H2" s="1167" t="s">
        <v>335</v>
      </c>
      <c r="I2" s="1167"/>
      <c r="J2" s="1167"/>
      <c r="K2" s="1167"/>
      <c r="L2" s="1167"/>
      <c r="M2" s="568"/>
      <c r="N2" s="278"/>
      <c r="O2" s="529"/>
    </row>
    <row r="3" spans="1:19" s="530" customFormat="1" ht="14.25" customHeight="1">
      <c r="B3" s="567"/>
      <c r="C3" s="567"/>
      <c r="D3" s="567"/>
      <c r="E3" s="567"/>
      <c r="F3" s="567"/>
      <c r="G3" s="567"/>
      <c r="H3" s="1213" t="s">
        <v>336</v>
      </c>
      <c r="I3" s="1213"/>
      <c r="J3" s="1213"/>
      <c r="K3" s="1213"/>
      <c r="L3" s="1213"/>
      <c r="M3" s="569"/>
      <c r="N3" s="570"/>
      <c r="O3" s="529"/>
    </row>
    <row r="4" spans="1:19" s="571" customFormat="1" ht="27.75" customHeight="1">
      <c r="B4" s="1214" t="s">
        <v>337</v>
      </c>
      <c r="C4" s="1214"/>
      <c r="D4" s="1214"/>
      <c r="E4" s="1214"/>
      <c r="F4" s="1214"/>
      <c r="G4" s="1214"/>
      <c r="H4" s="1214"/>
      <c r="I4" s="1214"/>
      <c r="J4" s="1214"/>
      <c r="K4" s="1214"/>
      <c r="L4" s="1214"/>
      <c r="M4" s="572"/>
    </row>
    <row r="5" spans="1:19" s="571" customFormat="1" ht="15" customHeight="1">
      <c r="B5" s="1212" t="s">
        <v>338</v>
      </c>
      <c r="C5" s="1212"/>
      <c r="D5" s="1212"/>
      <c r="E5" s="1212"/>
      <c r="F5" s="1212"/>
      <c r="G5" s="1212"/>
      <c r="H5" s="1212"/>
      <c r="I5" s="1212"/>
      <c r="J5" s="1212"/>
      <c r="K5" s="1212"/>
      <c r="L5" s="1212"/>
      <c r="M5" s="572"/>
    </row>
    <row r="6" spans="1:19" s="571" customFormat="1" ht="12.75" hidden="1" customHeight="1">
      <c r="B6" s="1212" t="s">
        <v>339</v>
      </c>
      <c r="C6" s="1212"/>
      <c r="D6" s="1212"/>
      <c r="E6" s="1212"/>
      <c r="F6" s="1212"/>
      <c r="G6" s="1212"/>
      <c r="H6" s="1212"/>
      <c r="I6" s="1212"/>
      <c r="J6" s="1212"/>
      <c r="K6" s="1212"/>
      <c r="L6" s="1212"/>
      <c r="M6" s="572"/>
    </row>
    <row r="7" spans="1:19" s="573" customFormat="1" ht="24" hidden="1" customHeight="1">
      <c r="C7" s="1205" t="s">
        <v>340</v>
      </c>
      <c r="D7" s="1205"/>
      <c r="E7" s="1205"/>
      <c r="F7" s="1205"/>
      <c r="G7" s="1205"/>
      <c r="H7" s="1205"/>
      <c r="I7" s="1205"/>
      <c r="J7" s="1205"/>
      <c r="K7" s="1205"/>
      <c r="L7" s="1205"/>
      <c r="M7" s="574"/>
    </row>
    <row r="8" spans="1:19" ht="20.25" customHeight="1">
      <c r="B8" s="1206" t="s">
        <v>37</v>
      </c>
      <c r="C8" s="1207" t="s">
        <v>341</v>
      </c>
      <c r="D8" s="1208" t="s">
        <v>342</v>
      </c>
      <c r="E8" s="1210" t="s">
        <v>171</v>
      </c>
      <c r="F8" s="1210"/>
      <c r="G8" s="1210"/>
      <c r="H8" s="1210"/>
      <c r="I8" s="1210"/>
      <c r="J8" s="1210"/>
      <c r="K8" s="1210"/>
      <c r="L8" s="1210"/>
      <c r="N8" s="1202" t="s">
        <v>343</v>
      </c>
      <c r="O8" s="1202" t="s">
        <v>344</v>
      </c>
      <c r="P8" s="1202" t="s">
        <v>345</v>
      </c>
      <c r="Q8" s="1202" t="s">
        <v>346</v>
      </c>
      <c r="R8" s="1202" t="s">
        <v>347</v>
      </c>
      <c r="S8" s="1202" t="s">
        <v>348</v>
      </c>
    </row>
    <row r="9" spans="1:19" ht="20.25" customHeight="1">
      <c r="B9" s="1206"/>
      <c r="C9" s="1207"/>
      <c r="D9" s="1209"/>
      <c r="E9" s="1210" t="s">
        <v>349</v>
      </c>
      <c r="F9" s="1210"/>
      <c r="G9" s="1211" t="s">
        <v>350</v>
      </c>
      <c r="H9" s="1211"/>
      <c r="I9" s="1211" t="s">
        <v>351</v>
      </c>
      <c r="J9" s="1211"/>
      <c r="K9" s="1211" t="s">
        <v>352</v>
      </c>
      <c r="L9" s="1211"/>
      <c r="N9" s="1203"/>
      <c r="O9" s="1203"/>
      <c r="P9" s="1203"/>
      <c r="Q9" s="1203"/>
      <c r="R9" s="1203"/>
      <c r="S9" s="1203"/>
    </row>
    <row r="10" spans="1:19" ht="20.25" hidden="1" customHeight="1">
      <c r="B10" s="1206"/>
      <c r="C10" s="1207"/>
      <c r="D10" s="577"/>
      <c r="E10" s="578" t="s">
        <v>353</v>
      </c>
      <c r="F10" s="578" t="s">
        <v>354</v>
      </c>
      <c r="G10" s="578" t="s">
        <v>353</v>
      </c>
      <c r="H10" s="578" t="s">
        <v>354</v>
      </c>
      <c r="I10" s="578" t="s">
        <v>353</v>
      </c>
      <c r="J10" s="578" t="s">
        <v>354</v>
      </c>
      <c r="K10" s="578" t="s">
        <v>353</v>
      </c>
      <c r="L10" s="578" t="s">
        <v>354</v>
      </c>
      <c r="N10" s="1204"/>
      <c r="O10" s="1204"/>
      <c r="P10" s="1204"/>
      <c r="Q10" s="1204"/>
      <c r="R10" s="579"/>
      <c r="S10" s="1204"/>
    </row>
    <row r="11" spans="1:19" s="580" customFormat="1">
      <c r="B11" s="581" t="s">
        <v>2</v>
      </c>
      <c r="C11" s="577" t="s">
        <v>3</v>
      </c>
      <c r="D11" s="577"/>
      <c r="E11" s="578">
        <v>1</v>
      </c>
      <c r="F11" s="578">
        <v>1</v>
      </c>
      <c r="G11" s="578">
        <v>2</v>
      </c>
      <c r="H11" s="578">
        <v>2</v>
      </c>
      <c r="I11" s="578">
        <v>3</v>
      </c>
      <c r="J11" s="578">
        <v>3</v>
      </c>
      <c r="K11" s="578">
        <v>4</v>
      </c>
      <c r="L11" s="578">
        <v>4</v>
      </c>
      <c r="M11" s="582"/>
      <c r="N11" s="583"/>
      <c r="O11" s="583"/>
      <c r="P11" s="583"/>
      <c r="Q11" s="583"/>
      <c r="R11" s="583"/>
      <c r="S11" s="583"/>
    </row>
    <row r="12" spans="1:19" ht="18" customHeight="1">
      <c r="A12" s="584" t="str">
        <f>IF(B12&lt;&gt;"","VL","")</f>
        <v>VL</v>
      </c>
      <c r="B12" s="585">
        <f>IF(C12&lt;&gt;"",ROW()-(ROW()-1),"")</f>
        <v>1</v>
      </c>
      <c r="C12" s="586" t="s">
        <v>355</v>
      </c>
      <c r="D12" s="587" t="s">
        <v>356</v>
      </c>
      <c r="E12" s="25">
        <v>450</v>
      </c>
      <c r="F12" s="25">
        <v>15950000</v>
      </c>
      <c r="G12" s="25">
        <f t="array" ref="G12">SUM(IF("1522"&amp;C12=KHN&amp;MH,SL))</f>
        <v>0</v>
      </c>
      <c r="H12" s="25">
        <f t="array" ref="H12">SUM(IF("1522"&amp;C12=KHN&amp;MH,TH))</f>
        <v>0</v>
      </c>
      <c r="I12" s="25">
        <f t="array" ref="I12">SUM(IF("1522"&amp;C12=KHC&amp;MH,SL))</f>
        <v>100</v>
      </c>
      <c r="J12" s="25">
        <f t="array" ref="J12">SUM(IF("1522"&amp;C12=KHC&amp;MH,TH))</f>
        <v>3544444</v>
      </c>
      <c r="K12" s="25">
        <f t="shared" ref="K12:L27" si="0">E12+G12-I12</f>
        <v>350</v>
      </c>
      <c r="L12" s="25">
        <f t="shared" si="0"/>
        <v>12405556</v>
      </c>
      <c r="M12" s="588"/>
      <c r="N12" s="589" t="s">
        <v>357</v>
      </c>
      <c r="O12" s="586" t="s">
        <v>358</v>
      </c>
      <c r="P12" s="590">
        <v>330593933</v>
      </c>
      <c r="Q12" s="590" t="s">
        <v>359</v>
      </c>
      <c r="R12" s="590"/>
      <c r="S12" s="590" t="s">
        <v>360</v>
      </c>
    </row>
    <row r="13" spans="1:19" ht="18" customHeight="1">
      <c r="A13" s="584" t="str">
        <f t="shared" ref="A13:A34" si="1">IF(B13&lt;&gt;"","VL","")</f>
        <v>VL</v>
      </c>
      <c r="B13" s="585">
        <f>IF(C13&lt;&gt;"",B12+1,"")</f>
        <v>2</v>
      </c>
      <c r="C13" s="591" t="s">
        <v>361</v>
      </c>
      <c r="D13" s="592" t="s">
        <v>356</v>
      </c>
      <c r="E13" s="8">
        <v>525</v>
      </c>
      <c r="F13" s="8">
        <v>24539130</v>
      </c>
      <c r="G13" s="25">
        <f t="array" ref="G13">SUM(IF("1522"&amp;C13=KHN&amp;MH,SL))</f>
        <v>0</v>
      </c>
      <c r="H13" s="25">
        <f t="array" ref="H13">SUM(IF("1522"&amp;C13=KHN&amp;MH,TH))</f>
        <v>0</v>
      </c>
      <c r="I13" s="25">
        <f t="array" ref="I13">SUM(IF("1522"&amp;C13=KHC&amp;MH,SL))</f>
        <v>20</v>
      </c>
      <c r="J13" s="25">
        <f t="array" ref="J13">SUM(IF("1522"&amp;C13=KHC&amp;MH,TH))</f>
        <v>934824</v>
      </c>
      <c r="K13" s="8">
        <f t="shared" si="0"/>
        <v>505</v>
      </c>
      <c r="L13" s="8">
        <f t="shared" si="0"/>
        <v>23604306</v>
      </c>
      <c r="M13" s="588"/>
      <c r="N13" s="591" t="s">
        <v>362</v>
      </c>
      <c r="O13" s="590" t="s">
        <v>358</v>
      </c>
      <c r="P13" s="590">
        <v>320775664</v>
      </c>
      <c r="Q13" s="590" t="s">
        <v>363</v>
      </c>
      <c r="R13" s="590"/>
      <c r="S13" s="590" t="s">
        <v>360</v>
      </c>
    </row>
    <row r="14" spans="1:19" ht="18" customHeight="1">
      <c r="A14" s="584" t="str">
        <f t="shared" si="1"/>
        <v>VL</v>
      </c>
      <c r="B14" s="585">
        <f t="shared" ref="B14:B33" si="2">IF(C14&lt;&gt;"",B13+1,"")</f>
        <v>3</v>
      </c>
      <c r="C14" s="591" t="s">
        <v>364</v>
      </c>
      <c r="D14" s="592" t="s">
        <v>356</v>
      </c>
      <c r="E14" s="8">
        <v>300</v>
      </c>
      <c r="F14" s="8">
        <v>3500002</v>
      </c>
      <c r="G14" s="25">
        <f t="array" ref="G14">SUM(IF("1522"&amp;C14=KHN&amp;MH,SL))</f>
        <v>2000</v>
      </c>
      <c r="H14" s="25">
        <f t="array" ref="H14">SUM(IF("1522"&amp;C14=KHN&amp;MH,TH))</f>
        <v>28095239</v>
      </c>
      <c r="I14" s="25">
        <f t="array" ref="I14">SUM(IF("1522"&amp;C14=KHC&amp;MH,SL))</f>
        <v>150</v>
      </c>
      <c r="J14" s="25">
        <f t="array" ref="J14">SUM(IF("1522"&amp;C14=KHC&amp;MH,TH))</f>
        <v>1750001</v>
      </c>
      <c r="K14" s="8">
        <f t="shared" si="0"/>
        <v>2150</v>
      </c>
      <c r="L14" s="8">
        <f t="shared" si="0"/>
        <v>29845240</v>
      </c>
      <c r="M14" s="588"/>
      <c r="N14" s="591" t="s">
        <v>365</v>
      </c>
      <c r="O14" s="593" t="s">
        <v>358</v>
      </c>
      <c r="P14" s="590">
        <v>320892558</v>
      </c>
      <c r="Q14" s="590" t="s">
        <v>366</v>
      </c>
      <c r="R14" s="590"/>
      <c r="S14" s="590" t="s">
        <v>360</v>
      </c>
    </row>
    <row r="15" spans="1:19" ht="18" customHeight="1">
      <c r="A15" s="584" t="str">
        <f t="shared" si="1"/>
        <v>VL</v>
      </c>
      <c r="B15" s="585">
        <f t="shared" si="2"/>
        <v>4</v>
      </c>
      <c r="C15" s="591" t="s">
        <v>238</v>
      </c>
      <c r="D15" s="592" t="s">
        <v>356</v>
      </c>
      <c r="E15" s="8">
        <v>495</v>
      </c>
      <c r="F15" s="8">
        <v>10879997</v>
      </c>
      <c r="G15" s="25">
        <f t="array" ref="G15">SUM(IF("1522"&amp;C15=KHN&amp;MH,SL))</f>
        <v>0</v>
      </c>
      <c r="H15" s="25">
        <f t="array" ref="H15">SUM(IF("1522"&amp;C15=KHN&amp;MH,TH))</f>
        <v>0</v>
      </c>
      <c r="I15" s="25">
        <f t="array" ref="I15">SUM(IF("1522"&amp;C15=KHC&amp;MH,SL))</f>
        <v>100</v>
      </c>
      <c r="J15" s="25">
        <f t="array" ref="J15">SUM(IF("1522"&amp;C15=KHC&amp;MH,TH))</f>
        <v>2197979</v>
      </c>
      <c r="K15" s="8">
        <f t="shared" si="0"/>
        <v>395</v>
      </c>
      <c r="L15" s="8">
        <f t="shared" si="0"/>
        <v>8682018</v>
      </c>
      <c r="M15" s="588"/>
      <c r="N15" s="591" t="s">
        <v>367</v>
      </c>
      <c r="O15" s="593" t="s">
        <v>358</v>
      </c>
      <c r="P15" s="590">
        <v>320892578</v>
      </c>
      <c r="Q15" s="590" t="s">
        <v>368</v>
      </c>
      <c r="R15" s="590"/>
      <c r="S15" s="590" t="s">
        <v>360</v>
      </c>
    </row>
    <row r="16" spans="1:19" ht="18" customHeight="1">
      <c r="A16" s="584" t="str">
        <f t="shared" si="1"/>
        <v>VL</v>
      </c>
      <c r="B16" s="585">
        <f t="shared" si="2"/>
        <v>5</v>
      </c>
      <c r="C16" s="591" t="s">
        <v>369</v>
      </c>
      <c r="D16" s="592" t="s">
        <v>356</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88"/>
      <c r="N16" s="591" t="s">
        <v>370</v>
      </c>
      <c r="O16" s="593" t="s">
        <v>358</v>
      </c>
      <c r="P16" s="590">
        <v>321179471</v>
      </c>
      <c r="Q16" s="590" t="s">
        <v>371</v>
      </c>
      <c r="R16" s="590"/>
      <c r="S16" s="590" t="s">
        <v>360</v>
      </c>
    </row>
    <row r="17" spans="1:20" ht="18" customHeight="1">
      <c r="A17" s="584" t="str">
        <f t="shared" si="1"/>
        <v>VL</v>
      </c>
      <c r="B17" s="585">
        <f t="shared" si="2"/>
        <v>6</v>
      </c>
      <c r="C17" s="594" t="s">
        <v>372</v>
      </c>
      <c r="D17" s="595" t="s">
        <v>356</v>
      </c>
      <c r="E17" s="520">
        <v>5400</v>
      </c>
      <c r="F17" s="520">
        <v>80459999</v>
      </c>
      <c r="G17" s="25">
        <f t="array" ref="G17">SUM(IF("1522"&amp;C17=KHN&amp;MH,SL))</f>
        <v>0</v>
      </c>
      <c r="H17" s="25">
        <f t="array" ref="H17">SUM(IF("1522"&amp;C17=KHN&amp;MH,TH))</f>
        <v>0</v>
      </c>
      <c r="I17" s="25">
        <f t="array" ref="I17">SUM(IF("1522"&amp;C17=KHC&amp;MH,SL))</f>
        <v>810</v>
      </c>
      <c r="J17" s="25">
        <f t="array" ref="J17">SUM(IF("1522"&amp;C17=KHC&amp;MH,TH))</f>
        <v>12068999</v>
      </c>
      <c r="K17" s="8">
        <f t="shared" si="0"/>
        <v>4590</v>
      </c>
      <c r="L17" s="8">
        <f t="shared" si="0"/>
        <v>68391000</v>
      </c>
      <c r="M17" s="588"/>
      <c r="N17" s="591" t="s">
        <v>373</v>
      </c>
      <c r="O17" s="593" t="s">
        <v>358</v>
      </c>
      <c r="P17" s="590">
        <v>324478047</v>
      </c>
      <c r="Q17" s="590" t="s">
        <v>374</v>
      </c>
      <c r="R17" s="590"/>
      <c r="S17" s="590" t="s">
        <v>360</v>
      </c>
    </row>
    <row r="18" spans="1:20" ht="18" customHeight="1">
      <c r="A18" s="584" t="str">
        <f t="shared" si="1"/>
        <v>VL</v>
      </c>
      <c r="B18" s="585">
        <f t="shared" si="2"/>
        <v>7</v>
      </c>
      <c r="C18" s="594" t="s">
        <v>375</v>
      </c>
      <c r="D18" s="596" t="s">
        <v>376</v>
      </c>
      <c r="E18" s="520">
        <v>950</v>
      </c>
      <c r="F18" s="520">
        <v>8075000</v>
      </c>
      <c r="G18" s="25">
        <f t="array" ref="G18">SUM(IF("1522"&amp;C18=KHN&amp;MH,SL))</f>
        <v>0</v>
      </c>
      <c r="H18" s="25">
        <f t="array" ref="H18">SUM(IF("1522"&amp;C18=KHN&amp;MH,TH))</f>
        <v>0</v>
      </c>
      <c r="I18" s="25">
        <f t="array" ref="I18">SUM(IF("1522"&amp;C18=KHC&amp;MH,SL))</f>
        <v>200</v>
      </c>
      <c r="J18" s="25">
        <f t="array" ref="J18">SUM(IF("1522"&amp;C18=KHC&amp;MH,TH))</f>
        <v>1700000</v>
      </c>
      <c r="K18" s="8">
        <f t="shared" si="0"/>
        <v>750</v>
      </c>
      <c r="L18" s="8">
        <f t="shared" si="0"/>
        <v>6375000</v>
      </c>
      <c r="M18" s="588"/>
      <c r="N18" s="591" t="s">
        <v>377</v>
      </c>
      <c r="O18" s="593" t="s">
        <v>358</v>
      </c>
      <c r="P18" s="590">
        <v>321413712</v>
      </c>
      <c r="Q18" s="590" t="s">
        <v>378</v>
      </c>
      <c r="R18" s="590"/>
      <c r="S18" s="590" t="s">
        <v>360</v>
      </c>
    </row>
    <row r="19" spans="1:20" ht="18" customHeight="1">
      <c r="A19" s="584" t="str">
        <f t="shared" si="1"/>
        <v>VL</v>
      </c>
      <c r="B19" s="585">
        <f t="shared" si="2"/>
        <v>8</v>
      </c>
      <c r="C19" s="594" t="s">
        <v>379</v>
      </c>
      <c r="D19" s="596" t="s">
        <v>356</v>
      </c>
      <c r="E19" s="520">
        <v>1646.6999999999971</v>
      </c>
      <c r="F19" s="520">
        <v>531969</v>
      </c>
      <c r="G19" s="25">
        <f t="array" ref="G19">SUM(IF("1522"&amp;C19=KHN&amp;MH,SL))</f>
        <v>1000</v>
      </c>
      <c r="H19" s="25">
        <f t="array" ref="H19">SUM(IF("1522"&amp;C19=KHN&amp;MH,TH))</f>
        <v>33000000</v>
      </c>
      <c r="I19" s="25">
        <f t="array" ref="I19">SUM(IF("1522"&amp;C19=KHC&amp;MH,SL))</f>
        <v>1000</v>
      </c>
      <c r="J19" s="25">
        <f t="array" ref="J19">SUM(IF("1522"&amp;C19=KHC&amp;MH,TH))</f>
        <v>323052</v>
      </c>
      <c r="K19" s="520">
        <f t="shared" si="0"/>
        <v>1646.6999999999971</v>
      </c>
      <c r="L19" s="520">
        <f t="shared" si="0"/>
        <v>33208917</v>
      </c>
      <c r="M19" s="588"/>
      <c r="N19" s="591" t="s">
        <v>380</v>
      </c>
      <c r="O19" s="586" t="s">
        <v>358</v>
      </c>
      <c r="P19" s="590">
        <v>320744085</v>
      </c>
      <c r="Q19" s="590" t="s">
        <v>363</v>
      </c>
      <c r="R19" s="590"/>
      <c r="S19" s="590" t="s">
        <v>360</v>
      </c>
    </row>
    <row r="20" spans="1:20" ht="18" customHeight="1">
      <c r="A20" s="584" t="str">
        <f t="shared" si="1"/>
        <v>VL</v>
      </c>
      <c r="B20" s="585">
        <f t="shared" si="2"/>
        <v>9</v>
      </c>
      <c r="C20" s="597" t="s">
        <v>381</v>
      </c>
      <c r="D20" s="598" t="s">
        <v>382</v>
      </c>
      <c r="E20" s="599">
        <v>93800</v>
      </c>
      <c r="F20" s="599">
        <v>28140000</v>
      </c>
      <c r="G20" s="25">
        <f t="array" ref="G20">SUM(IF("1522"&amp;C20=KHN&amp;MH,SL))</f>
        <v>0</v>
      </c>
      <c r="H20" s="25">
        <f t="array" ref="H20">SUM(IF("1522"&amp;C20=KHN&amp;MH,TH))</f>
        <v>0</v>
      </c>
      <c r="I20" s="25">
        <f t="array" ref="I20">SUM(IF("1522"&amp;C20=KHC&amp;MH,SL))</f>
        <v>0</v>
      </c>
      <c r="J20" s="25">
        <f t="array" ref="J20">SUM(IF("1522"&amp;C20=KHC&amp;MH,TH))</f>
        <v>0</v>
      </c>
      <c r="K20" s="600">
        <f t="shared" si="0"/>
        <v>93800</v>
      </c>
      <c r="L20" s="600">
        <f t="shared" si="0"/>
        <v>28140000</v>
      </c>
      <c r="M20" s="588"/>
      <c r="N20" s="591" t="s">
        <v>383</v>
      </c>
      <c r="O20" s="586" t="s">
        <v>358</v>
      </c>
      <c r="P20" s="590">
        <v>320807672</v>
      </c>
      <c r="Q20" s="590" t="s">
        <v>384</v>
      </c>
      <c r="R20" s="590"/>
      <c r="S20" s="590" t="s">
        <v>360</v>
      </c>
    </row>
    <row r="21" spans="1:20" ht="18" customHeight="1">
      <c r="A21" s="584" t="str">
        <f t="shared" si="1"/>
        <v>VL</v>
      </c>
      <c r="B21" s="585">
        <f t="shared" si="2"/>
        <v>10</v>
      </c>
      <c r="C21" s="601" t="s">
        <v>385</v>
      </c>
      <c r="D21" s="598" t="s">
        <v>382</v>
      </c>
      <c r="E21" s="599">
        <v>48700</v>
      </c>
      <c r="F21" s="599">
        <v>19480000</v>
      </c>
      <c r="G21" s="25">
        <f t="array" ref="G21">SUM(IF("1522"&amp;C21=KHN&amp;MH,SL))</f>
        <v>0</v>
      </c>
      <c r="H21" s="25">
        <f t="array" ref="H21">SUM(IF("1522"&amp;C21=KHN&amp;MH,TH))</f>
        <v>0</v>
      </c>
      <c r="I21" s="25">
        <f t="array" ref="I21">SUM(IF("1522"&amp;C21=KHC&amp;MH,SL))</f>
        <v>0</v>
      </c>
      <c r="J21" s="25">
        <f t="array" ref="J21">SUM(IF("1522"&amp;C21=KHC&amp;MH,TH))</f>
        <v>0</v>
      </c>
      <c r="K21" s="600">
        <f t="shared" si="0"/>
        <v>48700</v>
      </c>
      <c r="L21" s="600">
        <f t="shared" si="0"/>
        <v>19480000</v>
      </c>
      <c r="M21" s="588"/>
      <c r="N21" s="591" t="s">
        <v>386</v>
      </c>
      <c r="O21" s="586" t="s">
        <v>358</v>
      </c>
      <c r="P21" s="590">
        <v>320044169</v>
      </c>
      <c r="Q21" s="590" t="s">
        <v>387</v>
      </c>
      <c r="R21" s="590"/>
      <c r="S21" s="590" t="s">
        <v>360</v>
      </c>
    </row>
    <row r="22" spans="1:20" ht="18" customHeight="1">
      <c r="A22" s="584" t="str">
        <f t="shared" si="1"/>
        <v>VL</v>
      </c>
      <c r="B22" s="585">
        <f t="shared" si="2"/>
        <v>11</v>
      </c>
      <c r="C22" s="601" t="s">
        <v>388</v>
      </c>
      <c r="D22" s="598" t="s">
        <v>382</v>
      </c>
      <c r="E22" s="599">
        <v>12300</v>
      </c>
      <c r="F22" s="599">
        <v>2890500</v>
      </c>
      <c r="G22" s="25">
        <f t="array" ref="G22">SUM(IF("1522"&amp;C22=KHN&amp;MH,SL))</f>
        <v>0</v>
      </c>
      <c r="H22" s="25">
        <f t="array" ref="H22">SUM(IF("1522"&amp;C22=KHN&amp;MH,TH))</f>
        <v>0</v>
      </c>
      <c r="I22" s="25">
        <f t="array" ref="I22">SUM(IF("1522"&amp;C22=KHC&amp;MH,SL))</f>
        <v>0</v>
      </c>
      <c r="J22" s="25">
        <f t="array" ref="J22">SUM(IF("1522"&amp;C22=KHC&amp;MH,TH))</f>
        <v>0</v>
      </c>
      <c r="K22" s="600">
        <f t="shared" si="0"/>
        <v>12300</v>
      </c>
      <c r="L22" s="600">
        <f t="shared" si="0"/>
        <v>2890500</v>
      </c>
      <c r="M22" s="588"/>
      <c r="N22" s="602" t="s">
        <v>389</v>
      </c>
      <c r="O22" s="586" t="s">
        <v>358</v>
      </c>
      <c r="P22" s="590">
        <v>320881573</v>
      </c>
      <c r="Q22" s="590" t="s">
        <v>384</v>
      </c>
      <c r="R22" s="590"/>
      <c r="S22" s="590" t="s">
        <v>360</v>
      </c>
    </row>
    <row r="23" spans="1:20" ht="18" customHeight="1">
      <c r="A23" s="584" t="str">
        <f t="shared" si="1"/>
        <v>VL</v>
      </c>
      <c r="B23" s="585">
        <f t="shared" si="2"/>
        <v>12</v>
      </c>
      <c r="C23" s="601" t="s">
        <v>390</v>
      </c>
      <c r="D23" s="598" t="s">
        <v>382</v>
      </c>
      <c r="E23" s="599">
        <v>295214</v>
      </c>
      <c r="F23" s="599">
        <v>102435290</v>
      </c>
      <c r="G23" s="25">
        <f t="array" ref="G23">SUM(IF("1522"&amp;C23=KHN&amp;MH,SL))</f>
        <v>0</v>
      </c>
      <c r="H23" s="25">
        <f t="array" ref="H23">SUM(IF("1522"&amp;C23=KHN&amp;MH,TH))</f>
        <v>0</v>
      </c>
      <c r="I23" s="25">
        <f t="array" ref="I23">SUM(IF("1522"&amp;C23=KHC&amp;MH,SL))</f>
        <v>0</v>
      </c>
      <c r="J23" s="25">
        <f t="array" ref="J23">SUM(IF("1522"&amp;C23=KHC&amp;MH,TH))</f>
        <v>0</v>
      </c>
      <c r="K23" s="600">
        <f t="shared" si="0"/>
        <v>295214</v>
      </c>
      <c r="L23" s="600">
        <f t="shared" si="0"/>
        <v>102435290</v>
      </c>
      <c r="M23" s="588"/>
      <c r="N23" s="591" t="s">
        <v>391</v>
      </c>
      <c r="O23" s="586" t="s">
        <v>358</v>
      </c>
      <c r="P23" s="590">
        <v>320876558</v>
      </c>
      <c r="Q23" s="590" t="s">
        <v>392</v>
      </c>
      <c r="R23" s="590"/>
      <c r="S23" s="590" t="s">
        <v>360</v>
      </c>
    </row>
    <row r="24" spans="1:20" ht="18" customHeight="1">
      <c r="A24" s="584" t="str">
        <f t="shared" si="1"/>
        <v>VL</v>
      </c>
      <c r="B24" s="585">
        <f t="shared" si="2"/>
        <v>13</v>
      </c>
      <c r="C24" s="601" t="s">
        <v>393</v>
      </c>
      <c r="D24" s="598" t="s">
        <v>382</v>
      </c>
      <c r="E24" s="599">
        <v>6600</v>
      </c>
      <c r="F24" s="599">
        <v>3597000</v>
      </c>
      <c r="G24" s="25">
        <f t="array" ref="G24">SUM(IF("1522"&amp;C24=KHN&amp;MH,SL))</f>
        <v>0</v>
      </c>
      <c r="H24" s="25">
        <f t="array" ref="H24">SUM(IF("1522"&amp;C24=KHN&amp;MH,TH))</f>
        <v>0</v>
      </c>
      <c r="I24" s="25">
        <f t="array" ref="I24">SUM(IF("1522"&amp;C24=KHC&amp;MH,SL))</f>
        <v>0</v>
      </c>
      <c r="J24" s="25">
        <f t="array" ref="J24">SUM(IF("1522"&amp;C24=KHC&amp;MH,TH))</f>
        <v>0</v>
      </c>
      <c r="K24" s="599">
        <f t="shared" si="0"/>
        <v>6600</v>
      </c>
      <c r="L24" s="599">
        <f t="shared" si="0"/>
        <v>3597000</v>
      </c>
      <c r="M24" s="588"/>
      <c r="N24" s="591" t="s">
        <v>394</v>
      </c>
      <c r="O24" s="593" t="s">
        <v>395</v>
      </c>
      <c r="P24" s="590">
        <v>250746332</v>
      </c>
      <c r="Q24" s="590" t="s">
        <v>396</v>
      </c>
      <c r="R24" s="590"/>
      <c r="S24" s="590" t="s">
        <v>360</v>
      </c>
    </row>
    <row r="25" spans="1:20" ht="18" customHeight="1">
      <c r="A25" s="584" t="str">
        <f t="shared" si="1"/>
        <v>VL</v>
      </c>
      <c r="B25" s="585">
        <f t="shared" si="2"/>
        <v>14</v>
      </c>
      <c r="C25" s="603" t="s">
        <v>397</v>
      </c>
      <c r="D25" s="604" t="s">
        <v>398</v>
      </c>
      <c r="E25" s="605">
        <v>9928</v>
      </c>
      <c r="F25" s="605">
        <v>57392400</v>
      </c>
      <c r="G25" s="25">
        <f t="array" ref="G25">SUM(IF("1522"&amp;C25=KHN&amp;MH,SL))</f>
        <v>0</v>
      </c>
      <c r="H25" s="25">
        <f t="array" ref="H25">SUM(IF("1522"&amp;C25=KHN&amp;MH,TH))</f>
        <v>0</v>
      </c>
      <c r="I25" s="25">
        <f t="array" ref="I25">SUM(IF("1522"&amp;C25=KHC&amp;MH,SL))</f>
        <v>0</v>
      </c>
      <c r="J25" s="25">
        <f t="array" ref="J25">SUM(IF("1522"&amp;C25=KHC&amp;MH,TH))</f>
        <v>0</v>
      </c>
      <c r="K25" s="606">
        <f t="shared" si="0"/>
        <v>9928</v>
      </c>
      <c r="L25" s="606">
        <f t="shared" si="0"/>
        <v>57392400</v>
      </c>
      <c r="M25" s="588"/>
      <c r="N25" s="591" t="s">
        <v>399</v>
      </c>
      <c r="O25" s="593" t="s">
        <v>395</v>
      </c>
      <c r="P25" s="590">
        <v>260682094</v>
      </c>
      <c r="Q25" s="590" t="s">
        <v>396</v>
      </c>
      <c r="R25" s="590"/>
      <c r="S25" s="590" t="s">
        <v>360</v>
      </c>
    </row>
    <row r="26" spans="1:20" ht="18" customHeight="1">
      <c r="A26" s="584" t="str">
        <f t="shared" si="1"/>
        <v>VL</v>
      </c>
      <c r="B26" s="585">
        <f t="shared" si="2"/>
        <v>15</v>
      </c>
      <c r="C26" s="603" t="s">
        <v>400</v>
      </c>
      <c r="D26" s="604" t="s">
        <v>398</v>
      </c>
      <c r="E26" s="605">
        <v>13938</v>
      </c>
      <c r="F26" s="605">
        <v>62251600</v>
      </c>
      <c r="G26" s="25">
        <f t="array" ref="G26">SUM(IF("1522"&amp;C26=KHN&amp;MH,SL))</f>
        <v>0</v>
      </c>
      <c r="H26" s="25">
        <f t="array" ref="H26">SUM(IF("1522"&amp;C26=KHN&amp;MH,TH))</f>
        <v>0</v>
      </c>
      <c r="I26" s="25">
        <f t="array" ref="I26">SUM(IF("1522"&amp;C26=KHC&amp;MH,SL))</f>
        <v>0</v>
      </c>
      <c r="J26" s="25">
        <f t="array" ref="J26">SUM(IF("1522"&amp;C26=KHC&amp;MH,TH))</f>
        <v>0</v>
      </c>
      <c r="K26" s="606">
        <f t="shared" si="0"/>
        <v>13938</v>
      </c>
      <c r="L26" s="606">
        <f t="shared" si="0"/>
        <v>62251600</v>
      </c>
      <c r="M26" s="588"/>
      <c r="N26" s="591" t="s">
        <v>401</v>
      </c>
      <c r="O26" s="593" t="s">
        <v>395</v>
      </c>
      <c r="P26" s="590">
        <v>260690910</v>
      </c>
      <c r="Q26" s="590" t="s">
        <v>402</v>
      </c>
      <c r="R26" s="590"/>
      <c r="S26" s="590" t="s">
        <v>360</v>
      </c>
    </row>
    <row r="27" spans="1:20" ht="18" customHeight="1">
      <c r="A27" s="584" t="str">
        <f t="shared" si="1"/>
        <v>VL</v>
      </c>
      <c r="B27" s="585">
        <f t="shared" si="2"/>
        <v>16</v>
      </c>
      <c r="C27" s="603" t="s">
        <v>403</v>
      </c>
      <c r="D27" s="604" t="s">
        <v>398</v>
      </c>
      <c r="E27" s="605">
        <v>7380</v>
      </c>
      <c r="F27" s="605">
        <v>106222000</v>
      </c>
      <c r="G27" s="25">
        <f t="array" ref="G27">SUM(IF("1522"&amp;C27=KHN&amp;MH,SL))</f>
        <v>0</v>
      </c>
      <c r="H27" s="25">
        <f t="array" ref="H27">SUM(IF("1522"&amp;C27=KHN&amp;MH,TH))</f>
        <v>0</v>
      </c>
      <c r="I27" s="25">
        <f t="array" ref="I27">SUM(IF("1522"&amp;C27=KHC&amp;MH,SL))</f>
        <v>0</v>
      </c>
      <c r="J27" s="25">
        <f t="array" ref="J27">SUM(IF("1522"&amp;C27=KHC&amp;MH,TH))</f>
        <v>0</v>
      </c>
      <c r="K27" s="606">
        <f t="shared" si="0"/>
        <v>7380</v>
      </c>
      <c r="L27" s="606">
        <f t="shared" si="0"/>
        <v>106222000</v>
      </c>
      <c r="M27" s="588"/>
      <c r="N27" s="591" t="s">
        <v>404</v>
      </c>
      <c r="O27" s="593" t="s">
        <v>395</v>
      </c>
      <c r="P27" s="590">
        <v>260178873</v>
      </c>
      <c r="Q27" s="590" t="s">
        <v>405</v>
      </c>
      <c r="R27" s="590"/>
      <c r="S27" s="590" t="s">
        <v>360</v>
      </c>
    </row>
    <row r="28" spans="1:20" ht="18" customHeight="1">
      <c r="A28" s="584" t="str">
        <f t="shared" si="1"/>
        <v>VL</v>
      </c>
      <c r="B28" s="585">
        <f t="shared" si="2"/>
        <v>17</v>
      </c>
      <c r="C28" s="603" t="s">
        <v>406</v>
      </c>
      <c r="D28" s="604" t="s">
        <v>398</v>
      </c>
      <c r="E28" s="605"/>
      <c r="F28" s="605"/>
      <c r="G28" s="25">
        <f t="array" ref="G28">SUM(IF("1522"&amp;C28=KHN&amp;MH,SL))</f>
        <v>1150</v>
      </c>
      <c r="H28" s="25">
        <f t="array" ref="H28">SUM(IF("1522"&amp;C28=KHN&amp;MH,TH))</f>
        <v>34371000</v>
      </c>
      <c r="I28" s="25">
        <f t="array" ref="I28">SUM(IF("1522"&amp;C28=KHC&amp;MH,SL))</f>
        <v>1150</v>
      </c>
      <c r="J28" s="25">
        <f t="array" ref="J28">SUM(IF("1522"&amp;C28=KHC&amp;MH,TH))</f>
        <v>13800000</v>
      </c>
      <c r="K28" s="606">
        <f t="shared" ref="K28:L33" si="3">E28+G28-I28</f>
        <v>0</v>
      </c>
      <c r="L28" s="606">
        <f t="shared" si="3"/>
        <v>20571000</v>
      </c>
      <c r="M28" s="588"/>
      <c r="N28" s="591" t="s">
        <v>407</v>
      </c>
      <c r="O28" s="593" t="s">
        <v>395</v>
      </c>
      <c r="P28" s="590">
        <v>260850613</v>
      </c>
      <c r="Q28" s="590" t="s">
        <v>405</v>
      </c>
      <c r="R28" s="590"/>
      <c r="S28" s="590" t="s">
        <v>360</v>
      </c>
      <c r="T28" s="607"/>
    </row>
    <row r="29" spans="1:20" s="607" customFormat="1" ht="18" customHeight="1">
      <c r="A29" s="584" t="str">
        <f t="shared" si="1"/>
        <v>VL</v>
      </c>
      <c r="B29" s="585">
        <f t="shared" si="2"/>
        <v>18</v>
      </c>
      <c r="C29" s="603" t="s">
        <v>408</v>
      </c>
      <c r="D29" s="604" t="s">
        <v>398</v>
      </c>
      <c r="E29" s="605"/>
      <c r="F29" s="605"/>
      <c r="G29" s="25">
        <f t="array" ref="G29">SUM(IF("1522"&amp;C29=KHN&amp;MH,SL))</f>
        <v>150</v>
      </c>
      <c r="H29" s="25">
        <f t="array" ref="H29">SUM(IF("1522"&amp;C29=KHN&amp;MH,TH))</f>
        <v>34371000</v>
      </c>
      <c r="I29" s="25">
        <f t="array" ref="I29">SUM(IF("1522"&amp;C29=KHC&amp;MH,SL))</f>
        <v>150</v>
      </c>
      <c r="J29" s="25">
        <f t="array" ref="J29">SUM(IF("1522"&amp;C29=KHC&amp;MH,TH))</f>
        <v>1425000</v>
      </c>
      <c r="K29" s="605">
        <f t="shared" si="3"/>
        <v>0</v>
      </c>
      <c r="L29" s="605">
        <f t="shared" si="3"/>
        <v>32946000</v>
      </c>
      <c r="M29" s="588"/>
      <c r="N29" s="591" t="s">
        <v>409</v>
      </c>
      <c r="O29" s="593" t="s">
        <v>395</v>
      </c>
      <c r="P29" s="590">
        <v>280853616</v>
      </c>
      <c r="Q29" s="590" t="s">
        <v>405</v>
      </c>
      <c r="R29" s="590"/>
      <c r="S29" s="590" t="s">
        <v>360</v>
      </c>
    </row>
    <row r="30" spans="1:20" s="607" customFormat="1" ht="18" customHeight="1">
      <c r="A30" s="584" t="str">
        <f t="shared" si="1"/>
        <v>VL</v>
      </c>
      <c r="B30" s="585">
        <f t="shared" si="2"/>
        <v>19</v>
      </c>
      <c r="C30" s="603" t="s">
        <v>410</v>
      </c>
      <c r="D30" s="604" t="s">
        <v>398</v>
      </c>
      <c r="E30" s="605"/>
      <c r="F30" s="605"/>
      <c r="G30" s="25">
        <f t="array" ref="G30">SUM(IF("1522"&amp;C30=KHN&amp;MH,SL))</f>
        <v>400</v>
      </c>
      <c r="H30" s="25">
        <f t="array" ref="H30">SUM(IF("1522"&amp;C30=KHN&amp;MH,TH))</f>
        <v>34371000</v>
      </c>
      <c r="I30" s="25">
        <f t="array" ref="I30">SUM(IF("1522"&amp;C30=KHC&amp;MH,SL))</f>
        <v>400</v>
      </c>
      <c r="J30" s="25">
        <f t="array" ref="J30">SUM(IF("1522"&amp;C30=KHC&amp;MH,TH))</f>
        <v>6800000</v>
      </c>
      <c r="K30" s="605">
        <f t="shared" si="3"/>
        <v>0</v>
      </c>
      <c r="L30" s="605">
        <f t="shared" si="3"/>
        <v>27571000</v>
      </c>
      <c r="M30" s="588"/>
      <c r="N30" s="591" t="s">
        <v>411</v>
      </c>
      <c r="O30" s="593" t="s">
        <v>395</v>
      </c>
      <c r="P30" s="590">
        <v>261005222</v>
      </c>
      <c r="Q30" s="590" t="s">
        <v>412</v>
      </c>
      <c r="R30" s="590"/>
      <c r="S30" s="590" t="s">
        <v>360</v>
      </c>
    </row>
    <row r="31" spans="1:20" s="607" customFormat="1" ht="18" customHeight="1">
      <c r="A31" s="584" t="str">
        <f t="shared" si="1"/>
        <v>VL</v>
      </c>
      <c r="B31" s="585">
        <f t="shared" si="2"/>
        <v>20</v>
      </c>
      <c r="C31" s="603" t="s">
        <v>413</v>
      </c>
      <c r="D31" s="604" t="s">
        <v>398</v>
      </c>
      <c r="E31" s="605"/>
      <c r="F31" s="605"/>
      <c r="G31" s="25">
        <f t="array" ref="G31">SUM(IF("1522"&amp;C31=KHN&amp;MH,SL))</f>
        <v>400</v>
      </c>
      <c r="H31" s="25">
        <f t="array" ref="H31">SUM(IF("1522"&amp;C31=KHN&amp;MH,TH))</f>
        <v>34371000</v>
      </c>
      <c r="I31" s="25">
        <f t="array" ref="I31">SUM(IF("1522"&amp;C31=KHC&amp;MH,SL))</f>
        <v>400</v>
      </c>
      <c r="J31" s="25">
        <f t="array" ref="J31">SUM(IF("1522"&amp;C31=KHC&amp;MH,TH))</f>
        <v>1000000</v>
      </c>
      <c r="K31" s="605">
        <f t="shared" si="3"/>
        <v>0</v>
      </c>
      <c r="L31" s="605">
        <f t="shared" si="3"/>
        <v>33371000</v>
      </c>
      <c r="M31" s="588"/>
      <c r="N31" s="591" t="s">
        <v>414</v>
      </c>
      <c r="O31" s="593" t="s">
        <v>415</v>
      </c>
      <c r="P31" s="590">
        <v>370047763</v>
      </c>
      <c r="Q31" s="590" t="s">
        <v>416</v>
      </c>
      <c r="R31" s="590"/>
      <c r="S31" s="590" t="s">
        <v>360</v>
      </c>
      <c r="T31" s="575"/>
    </row>
    <row r="32" spans="1:20" ht="18.75" customHeight="1">
      <c r="A32" s="584" t="str">
        <f t="shared" si="1"/>
        <v>VL</v>
      </c>
      <c r="B32" s="585">
        <f t="shared" si="2"/>
        <v>21</v>
      </c>
      <c r="C32" s="603" t="s">
        <v>417</v>
      </c>
      <c r="D32" s="604" t="s">
        <v>398</v>
      </c>
      <c r="E32" s="605"/>
      <c r="F32" s="605"/>
      <c r="G32" s="25">
        <f t="array" ref="G32">SUM(IF("1522"&amp;C32=KHN&amp;MH,SL))</f>
        <v>620</v>
      </c>
      <c r="H32" s="25">
        <f t="array" ref="H32">SUM(IF("1522"&amp;C32=KHN&amp;MH,TH))</f>
        <v>34371000</v>
      </c>
      <c r="I32" s="25">
        <f t="array" ref="I32">SUM(IF("1522"&amp;C32=KHC&amp;MH,SL))</f>
        <v>620</v>
      </c>
      <c r="J32" s="25">
        <f t="array" ref="J32">SUM(IF("1522"&amp;C32=KHC&amp;MH,TH))</f>
        <v>11346000</v>
      </c>
      <c r="K32" s="605">
        <f t="shared" si="3"/>
        <v>0</v>
      </c>
      <c r="L32" s="605">
        <f t="shared" si="3"/>
        <v>23025000</v>
      </c>
      <c r="M32" s="588"/>
      <c r="N32" s="591" t="s">
        <v>418</v>
      </c>
      <c r="O32" s="593" t="s">
        <v>415</v>
      </c>
      <c r="P32" s="590">
        <v>370054438</v>
      </c>
      <c r="Q32" s="590" t="s">
        <v>416</v>
      </c>
      <c r="R32" s="590"/>
      <c r="S32" s="590" t="s">
        <v>360</v>
      </c>
    </row>
    <row r="33" spans="1:19" ht="18.75" customHeight="1">
      <c r="A33" s="584" t="str">
        <f t="shared" si="1"/>
        <v/>
      </c>
      <c r="B33" s="585" t="str">
        <f t="shared" si="2"/>
        <v/>
      </c>
      <c r="C33" s="603"/>
      <c r="D33" s="604"/>
      <c r="E33" s="605"/>
      <c r="F33" s="605"/>
      <c r="G33" s="25">
        <f t="array" ref="G33">SUM(IF("1522"&amp;C33=KHN&amp;MH,SL))</f>
        <v>0</v>
      </c>
      <c r="H33" s="25">
        <f t="array" ref="H33">SUM(IF("1522"&amp;C33=KHN&amp;MH,TH))</f>
        <v>0</v>
      </c>
      <c r="I33" s="25">
        <f t="array" ref="I33">SUM(IF("1522"&amp;C33=KHC&amp;MH,SL))</f>
        <v>0</v>
      </c>
      <c r="J33" s="25">
        <f t="array" ref="J33">SUM(IF("1522"&amp;C33=KHC&amp;MH,TH))</f>
        <v>0</v>
      </c>
      <c r="K33" s="605">
        <f t="shared" si="3"/>
        <v>0</v>
      </c>
      <c r="L33" s="605">
        <f t="shared" si="3"/>
        <v>0</v>
      </c>
      <c r="M33" s="588"/>
      <c r="N33" s="591" t="s">
        <v>419</v>
      </c>
      <c r="O33" s="593" t="s">
        <v>415</v>
      </c>
      <c r="P33" s="590">
        <v>370615318</v>
      </c>
      <c r="Q33" s="590" t="s">
        <v>420</v>
      </c>
      <c r="R33" s="590"/>
      <c r="S33" s="590" t="s">
        <v>360</v>
      </c>
    </row>
    <row r="34" spans="1:19" ht="18.75" customHeight="1">
      <c r="A34" s="584" t="str">
        <f t="shared" si="1"/>
        <v/>
      </c>
      <c r="B34" s="585" t="str">
        <f>IF(C34&lt;&gt;"",#REF!+1,"")</f>
        <v/>
      </c>
      <c r="C34" s="602"/>
      <c r="D34" s="608"/>
      <c r="E34" s="609"/>
      <c r="F34" s="609"/>
      <c r="G34" s="25"/>
      <c r="H34" s="609"/>
      <c r="I34" s="609"/>
      <c r="J34" s="609"/>
      <c r="K34" s="609"/>
      <c r="L34" s="609"/>
      <c r="M34" s="588"/>
      <c r="N34" s="591" t="s">
        <v>421</v>
      </c>
      <c r="O34" s="593" t="s">
        <v>415</v>
      </c>
      <c r="P34" s="590">
        <v>370825748</v>
      </c>
      <c r="Q34" s="590" t="s">
        <v>420</v>
      </c>
      <c r="R34" s="590"/>
      <c r="S34" s="590" t="s">
        <v>360</v>
      </c>
    </row>
    <row r="35" spans="1:19" ht="18.75" customHeight="1">
      <c r="A35" s="584"/>
      <c r="B35" s="581"/>
      <c r="C35" s="610" t="s">
        <v>438</v>
      </c>
      <c r="D35" s="13"/>
      <c r="E35" s="13">
        <f t="shared" ref="E35:L35" si="4">SUM(E12:E34)</f>
        <v>497676.7</v>
      </c>
      <c r="F35" s="13">
        <f t="shared" si="4"/>
        <v>526519887</v>
      </c>
      <c r="G35" s="13">
        <f t="shared" si="4"/>
        <v>5720</v>
      </c>
      <c r="H35" s="13">
        <f t="shared" si="4"/>
        <v>232950239</v>
      </c>
      <c r="I35" s="13">
        <f t="shared" si="4"/>
        <v>5100</v>
      </c>
      <c r="J35" s="13">
        <f t="shared" si="4"/>
        <v>56890299</v>
      </c>
      <c r="K35" s="13">
        <f t="shared" si="4"/>
        <v>498296.7</v>
      </c>
      <c r="L35" s="13">
        <f t="shared" si="4"/>
        <v>702579827</v>
      </c>
      <c r="M35" s="588"/>
      <c r="N35" s="591" t="s">
        <v>422</v>
      </c>
      <c r="O35" s="593" t="s">
        <v>415</v>
      </c>
      <c r="P35" s="590">
        <v>370698949</v>
      </c>
      <c r="Q35" s="590" t="s">
        <v>423</v>
      </c>
      <c r="R35" s="590" t="s">
        <v>424</v>
      </c>
      <c r="S35" s="590" t="s">
        <v>360</v>
      </c>
    </row>
    <row r="36" spans="1:19" ht="18.75" customHeight="1">
      <c r="A36" s="584" t="str">
        <f t="shared" ref="A36:A42" si="5">IF(B36&lt;&gt;"","NL","")</f>
        <v>NL</v>
      </c>
      <c r="B36" s="611">
        <f>IF(C36&lt;&gt;"",ROW()-(ROW()-1),"")</f>
        <v>1</v>
      </c>
      <c r="C36" s="591" t="s">
        <v>751</v>
      </c>
      <c r="D36" s="587" t="s">
        <v>356</v>
      </c>
      <c r="E36" s="25">
        <v>46400</v>
      </c>
      <c r="F36" s="25">
        <v>858400000</v>
      </c>
      <c r="G36" s="25">
        <f t="array" ref="G36">SUM(IF("1521"&amp;C36=KHN&amp;MH,SL))</f>
        <v>0</v>
      </c>
      <c r="H36" s="25">
        <f t="array" ref="H36">SUM(IF("1521"&amp;C36=KHN&amp;MH,TH))</f>
        <v>0</v>
      </c>
      <c r="I36" s="25">
        <f t="array" ref="I36">SUM(IF("1521"&amp;C36=KHC&amp;MH,SL))</f>
        <v>38400</v>
      </c>
      <c r="J36" s="25">
        <f t="array" ref="J36">SUM(IF("1521"&amp;C36=KHC&amp;MH,TH))</f>
        <v>710400000</v>
      </c>
      <c r="K36" s="25">
        <f t="shared" ref="K36:L40" si="6">E36+G36-I36</f>
        <v>8000</v>
      </c>
      <c r="L36" s="25">
        <f t="shared" si="6"/>
        <v>148000000</v>
      </c>
      <c r="M36" s="588"/>
      <c r="N36" s="591" t="s">
        <v>425</v>
      </c>
      <c r="O36" s="593" t="s">
        <v>415</v>
      </c>
      <c r="P36" s="590">
        <v>370803567</v>
      </c>
      <c r="Q36" s="590" t="s">
        <v>426</v>
      </c>
      <c r="R36" s="590"/>
      <c r="S36" s="590" t="s">
        <v>360</v>
      </c>
    </row>
    <row r="37" spans="1:19" ht="18.75" customHeight="1">
      <c r="A37" s="584" t="str">
        <f t="shared" si="5"/>
        <v>NL</v>
      </c>
      <c r="B37" s="585">
        <f>IF(C37&lt;&gt;"",B36+1,"")</f>
        <v>2</v>
      </c>
      <c r="C37" s="591" t="s">
        <v>752</v>
      </c>
      <c r="D37" s="587" t="s">
        <v>356</v>
      </c>
      <c r="E37" s="8">
        <v>132000</v>
      </c>
      <c r="F37" s="8">
        <v>1914000000</v>
      </c>
      <c r="G37" s="25">
        <f t="array" ref="G37">SUM(IF("1521"&amp;C37=KHN&amp;MH,SL))</f>
        <v>0</v>
      </c>
      <c r="H37" s="25">
        <f t="array" ref="H37">SUM(IF("1521"&amp;C37=KHN&amp;MH,TH))</f>
        <v>0</v>
      </c>
      <c r="I37" s="25">
        <f t="array" ref="I37">SUM(IF("1521"&amp;C37=KHC&amp;MH,SL))</f>
        <v>132000</v>
      </c>
      <c r="J37" s="25">
        <f t="array" ref="J37">SUM(IF("1521"&amp;C37=KHC&amp;MH,TH))</f>
        <v>1914000000</v>
      </c>
      <c r="K37" s="8">
        <f t="shared" si="6"/>
        <v>0</v>
      </c>
      <c r="L37" s="8">
        <f t="shared" si="6"/>
        <v>0</v>
      </c>
      <c r="M37" s="588"/>
      <c r="N37" s="591" t="s">
        <v>427</v>
      </c>
      <c r="O37" s="593" t="s">
        <v>415</v>
      </c>
      <c r="P37" s="590">
        <v>370004125</v>
      </c>
      <c r="Q37" s="590" t="s">
        <v>416</v>
      </c>
      <c r="R37" s="590"/>
      <c r="S37" s="590" t="s">
        <v>360</v>
      </c>
    </row>
    <row r="38" spans="1:19" ht="18.75" customHeight="1">
      <c r="A38" s="584" t="str">
        <f t="shared" si="5"/>
        <v/>
      </c>
      <c r="B38" s="585" t="str">
        <f>IF(C38&lt;&gt;"",B37+1,"")</f>
        <v/>
      </c>
      <c r="C38" s="591"/>
      <c r="D38" s="58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8"/>
      <c r="N38" s="591" t="s">
        <v>428</v>
      </c>
      <c r="O38" s="593" t="s">
        <v>415</v>
      </c>
      <c r="P38" s="590">
        <v>370033286</v>
      </c>
      <c r="Q38" s="590" t="s">
        <v>416</v>
      </c>
      <c r="R38" s="590"/>
      <c r="S38" s="590" t="s">
        <v>360</v>
      </c>
    </row>
    <row r="39" spans="1:19" ht="18.75" customHeight="1">
      <c r="A39" s="584" t="str">
        <f t="shared" si="5"/>
        <v/>
      </c>
      <c r="B39" s="585" t="str">
        <f>IF(C39&lt;&gt;"",B38+1,"")</f>
        <v/>
      </c>
      <c r="C39" s="591"/>
      <c r="D39" s="58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8"/>
      <c r="N39" s="591" t="s">
        <v>429</v>
      </c>
      <c r="O39" s="593" t="s">
        <v>430</v>
      </c>
      <c r="P39" s="590">
        <v>310703274</v>
      </c>
      <c r="Q39" s="590" t="s">
        <v>431</v>
      </c>
      <c r="R39" s="590"/>
      <c r="S39" s="590" t="s">
        <v>354</v>
      </c>
    </row>
    <row r="40" spans="1:19" ht="18.75" customHeight="1">
      <c r="A40" s="584" t="str">
        <f t="shared" si="5"/>
        <v/>
      </c>
      <c r="B40" s="585" t="str">
        <f>IF(C40&lt;&gt;"",B39+1,"")</f>
        <v/>
      </c>
      <c r="C40" s="591"/>
      <c r="D40" s="58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8"/>
      <c r="N40" s="591" t="s">
        <v>432</v>
      </c>
      <c r="O40" s="593" t="s">
        <v>430</v>
      </c>
      <c r="P40" s="590">
        <v>311704830</v>
      </c>
      <c r="Q40" s="590" t="s">
        <v>433</v>
      </c>
      <c r="R40" s="590"/>
      <c r="S40" s="590" t="s">
        <v>354</v>
      </c>
    </row>
    <row r="41" spans="1:19" ht="18.75" customHeight="1">
      <c r="A41" s="584" t="str">
        <f t="shared" si="5"/>
        <v/>
      </c>
      <c r="B41" s="585" t="str">
        <f>IF(C41&lt;&gt;"",B40+1,"")</f>
        <v/>
      </c>
      <c r="C41" s="612"/>
      <c r="D41" s="613"/>
      <c r="E41" s="614"/>
      <c r="F41" s="614"/>
      <c r="G41" s="614"/>
      <c r="H41" s="614"/>
      <c r="I41" s="614"/>
      <c r="J41" s="614"/>
      <c r="K41" s="8"/>
      <c r="L41" s="8"/>
      <c r="M41" s="588"/>
      <c r="N41" s="591" t="s">
        <v>434</v>
      </c>
      <c r="O41" s="593" t="s">
        <v>430</v>
      </c>
      <c r="P41" s="590">
        <v>311318331</v>
      </c>
      <c r="Q41" s="590" t="s">
        <v>435</v>
      </c>
      <c r="R41" s="590"/>
      <c r="S41" s="590" t="s">
        <v>354</v>
      </c>
    </row>
    <row r="42" spans="1:19" ht="18" customHeight="1">
      <c r="A42" s="584" t="str">
        <f t="shared" si="5"/>
        <v/>
      </c>
      <c r="B42" s="581"/>
      <c r="C42" s="610" t="s">
        <v>452</v>
      </c>
      <c r="D42" s="581"/>
      <c r="E42" s="13">
        <f>SUM(E36:E40)</f>
        <v>178400</v>
      </c>
      <c r="F42" s="13">
        <f>SUM(F36:F40)</f>
        <v>2772400000</v>
      </c>
      <c r="G42" s="13">
        <f t="shared" ref="G42:L42" si="7">SUM(G36:G39)</f>
        <v>0</v>
      </c>
      <c r="H42" s="13">
        <f t="shared" si="7"/>
        <v>0</v>
      </c>
      <c r="I42" s="13">
        <f t="shared" si="7"/>
        <v>170400</v>
      </c>
      <c r="J42" s="13">
        <f t="shared" si="7"/>
        <v>2624400000</v>
      </c>
      <c r="K42" s="13">
        <f t="shared" si="7"/>
        <v>8000</v>
      </c>
      <c r="L42" s="13">
        <f t="shared" si="7"/>
        <v>148000000</v>
      </c>
      <c r="M42" s="588"/>
      <c r="N42" s="591" t="s">
        <v>436</v>
      </c>
      <c r="O42" s="593" t="s">
        <v>430</v>
      </c>
      <c r="P42" s="590">
        <v>310882191</v>
      </c>
      <c r="Q42" s="590" t="s">
        <v>437</v>
      </c>
      <c r="R42" s="590"/>
      <c r="S42" s="590" t="s">
        <v>354</v>
      </c>
    </row>
    <row r="43" spans="1:19" ht="18" customHeight="1">
      <c r="A43" s="584" t="str">
        <f>IF(B43&lt;&gt;"","TP","")</f>
        <v>TP</v>
      </c>
      <c r="B43" s="615">
        <f>IF(C43&lt;&gt;"",ROW()-(ROW()-1),"")</f>
        <v>1</v>
      </c>
      <c r="C43" s="586" t="s">
        <v>457</v>
      </c>
      <c r="D43" s="616" t="s">
        <v>356</v>
      </c>
      <c r="E43" s="25">
        <v>4725</v>
      </c>
      <c r="F43" s="25">
        <v>600463535</v>
      </c>
      <c r="G43" s="25">
        <f t="array" ref="G43">SUM(IF("155"&amp;C43=KHN&amp;MH,SL))</f>
        <v>0</v>
      </c>
      <c r="H43" s="25">
        <f t="array" ref="H43">SUM(IF("155"&amp;C43=KHN&amp;MH,TH))</f>
        <v>0</v>
      </c>
      <c r="I43" s="25">
        <f t="array" ref="I43">SUM(IF("155"&amp;C43=KHC&amp;MH,SL))</f>
        <v>0</v>
      </c>
      <c r="J43" s="25">
        <f t="array" ref="J43">SUM(IF("155"&amp;C43=KHC&amp;MH,TH))</f>
        <v>0</v>
      </c>
      <c r="K43" s="25">
        <f t="shared" ref="K43:L50" si="8">E43+G43-I43</f>
        <v>4725</v>
      </c>
      <c r="L43" s="25">
        <f t="shared" si="8"/>
        <v>600463535</v>
      </c>
      <c r="M43" s="588"/>
      <c r="N43" s="591" t="s">
        <v>439</v>
      </c>
      <c r="O43" s="593" t="s">
        <v>430</v>
      </c>
      <c r="P43" s="590">
        <v>310882158</v>
      </c>
      <c r="Q43" s="590" t="s">
        <v>440</v>
      </c>
      <c r="R43" s="590"/>
      <c r="S43" s="590" t="s">
        <v>354</v>
      </c>
    </row>
    <row r="44" spans="1:19" ht="19.5" customHeight="1">
      <c r="A44" s="584" t="str">
        <f t="shared" ref="A44:A52" si="9">IF(B44&lt;&gt;"","TP","")</f>
        <v>TP</v>
      </c>
      <c r="B44" s="617">
        <f>IF(C44&lt;&gt;"",B43+1,"")</f>
        <v>2</v>
      </c>
      <c r="C44" s="591" t="s">
        <v>459</v>
      </c>
      <c r="D44" s="616" t="s">
        <v>356</v>
      </c>
      <c r="E44" s="8">
        <v>31675</v>
      </c>
      <c r="F44" s="8">
        <v>4490555471</v>
      </c>
      <c r="G44" s="25">
        <f t="array" ref="G44">SUM(IF("155"&amp;C44=KHN&amp;MH,SL))</f>
        <v>0</v>
      </c>
      <c r="H44" s="25">
        <f t="array" ref="H44">SUM(IF("155"&amp;C44=KHN&amp;MH,TH))</f>
        <v>0</v>
      </c>
      <c r="I44" s="25">
        <f t="array" ref="I44">SUM(IF("155"&amp;C44=KHC&amp;MH,SL))</f>
        <v>0</v>
      </c>
      <c r="J44" s="25">
        <f t="array" ref="J44">SUM(IF("155"&amp;C44=KHC&amp;MH,TH))</f>
        <v>0</v>
      </c>
      <c r="K44" s="8">
        <f t="shared" si="8"/>
        <v>31675</v>
      </c>
      <c r="L44" s="8">
        <f t="shared" si="8"/>
        <v>4490555471</v>
      </c>
      <c r="M44" s="588"/>
      <c r="N44" s="591" t="s">
        <v>441</v>
      </c>
      <c r="O44" s="593" t="s">
        <v>430</v>
      </c>
      <c r="P44" s="590">
        <v>310033074</v>
      </c>
      <c r="Q44" s="590" t="s">
        <v>431</v>
      </c>
      <c r="R44" s="590"/>
      <c r="S44" s="590" t="s">
        <v>354</v>
      </c>
    </row>
    <row r="45" spans="1:19" ht="19.5" customHeight="1">
      <c r="A45" s="584" t="str">
        <f t="shared" si="9"/>
        <v>TP</v>
      </c>
      <c r="B45" s="617">
        <f t="shared" ref="B45:B50" si="10">IF(C45&lt;&gt;"",B44+1,"")</f>
        <v>3</v>
      </c>
      <c r="C45" s="591" t="s">
        <v>461</v>
      </c>
      <c r="D45" s="616" t="s">
        <v>356</v>
      </c>
      <c r="E45" s="8">
        <v>20987</v>
      </c>
      <c r="F45" s="8">
        <v>3171039713</v>
      </c>
      <c r="G45" s="25">
        <f t="array" ref="G45">SUM(IF("155"&amp;C45=KHN&amp;MH,SL))</f>
        <v>0</v>
      </c>
      <c r="H45" s="25">
        <f t="array" ref="H45">SUM(IF("155"&amp;C45=KHN&amp;MH,TH))</f>
        <v>0</v>
      </c>
      <c r="I45" s="25">
        <f t="array" ref="I45">SUM(IF("155"&amp;C45=KHC&amp;MH,SL))</f>
        <v>0</v>
      </c>
      <c r="J45" s="25">
        <f t="array" ref="J45">SUM(IF("155"&amp;C45=KHC&amp;MH,TH))</f>
        <v>0</v>
      </c>
      <c r="K45" s="8">
        <f t="shared" si="8"/>
        <v>20987</v>
      </c>
      <c r="L45" s="8">
        <f t="shared" si="8"/>
        <v>3171039713</v>
      </c>
      <c r="M45" s="588"/>
      <c r="N45" s="591" t="s">
        <v>442</v>
      </c>
      <c r="O45" s="593" t="s">
        <v>430</v>
      </c>
      <c r="P45" s="590">
        <v>310526150</v>
      </c>
      <c r="Q45" s="590" t="s">
        <v>431</v>
      </c>
      <c r="R45" s="590"/>
      <c r="S45" s="590" t="s">
        <v>354</v>
      </c>
    </row>
    <row r="46" spans="1:19" ht="19.5" customHeight="1">
      <c r="A46" s="584" t="str">
        <f t="shared" si="9"/>
        <v>TP</v>
      </c>
      <c r="B46" s="617">
        <f t="shared" si="10"/>
        <v>4</v>
      </c>
      <c r="C46" s="591" t="s">
        <v>464</v>
      </c>
      <c r="D46" s="616" t="s">
        <v>356</v>
      </c>
      <c r="E46" s="8">
        <v>122</v>
      </c>
      <c r="F46" s="8">
        <v>17080000</v>
      </c>
      <c r="G46" s="25">
        <f t="array" ref="G46">SUM(IF("155"&amp;C46=KHN&amp;MH,SL))</f>
        <v>0</v>
      </c>
      <c r="H46" s="25">
        <f t="array" ref="H46">SUM(IF("155"&amp;C46=KHN&amp;MH,TH))</f>
        <v>0</v>
      </c>
      <c r="I46" s="25">
        <f t="array" ref="I46">SUM(IF("155"&amp;C46=KHC&amp;MH,SL))</f>
        <v>0</v>
      </c>
      <c r="J46" s="25">
        <f t="array" ref="J46">SUM(IF("155"&amp;C46=KHC&amp;MH,TH))</f>
        <v>0</v>
      </c>
      <c r="K46" s="8">
        <f t="shared" si="8"/>
        <v>122</v>
      </c>
      <c r="L46" s="8">
        <f t="shared" si="8"/>
        <v>17080000</v>
      </c>
      <c r="M46" s="588"/>
      <c r="N46" s="591" t="s">
        <v>443</v>
      </c>
      <c r="O46" s="593" t="s">
        <v>430</v>
      </c>
      <c r="P46" s="590">
        <v>311514350</v>
      </c>
      <c r="Q46" s="590" t="s">
        <v>433</v>
      </c>
      <c r="R46" s="590"/>
      <c r="S46" s="590" t="s">
        <v>354</v>
      </c>
    </row>
    <row r="47" spans="1:19" ht="19.5" customHeight="1">
      <c r="A47" s="584" t="str">
        <f t="shared" si="9"/>
        <v>TP</v>
      </c>
      <c r="B47" s="617">
        <f t="shared" si="10"/>
        <v>5</v>
      </c>
      <c r="C47" s="591" t="s">
        <v>466</v>
      </c>
      <c r="D47" s="616" t="s">
        <v>356</v>
      </c>
      <c r="E47" s="8">
        <v>16075</v>
      </c>
      <c r="F47" s="8">
        <v>1107185105</v>
      </c>
      <c r="G47" s="25">
        <f t="array" ref="G47">SUM(IF("155"&amp;C47=KHN&amp;MH,SL))</f>
        <v>0</v>
      </c>
      <c r="H47" s="25">
        <f t="array" ref="H47">SUM(IF("155"&amp;C47=KHN&amp;MH,TH))</f>
        <v>0</v>
      </c>
      <c r="I47" s="25">
        <f t="array" ref="I47">SUM(IF("155"&amp;C47=KHC&amp;MH,SL))</f>
        <v>0</v>
      </c>
      <c r="J47" s="25">
        <f t="array" ref="J47">SUM(IF("155"&amp;C47=KHC&amp;MH,TH))</f>
        <v>0</v>
      </c>
      <c r="K47" s="8">
        <f t="shared" si="8"/>
        <v>16075</v>
      </c>
      <c r="L47" s="8">
        <f t="shared" si="8"/>
        <v>1107185105</v>
      </c>
      <c r="M47" s="588"/>
      <c r="N47" s="591" t="s">
        <v>444</v>
      </c>
      <c r="O47" s="593" t="s">
        <v>445</v>
      </c>
      <c r="P47" s="590">
        <v>270106056</v>
      </c>
      <c r="Q47" s="590" t="s">
        <v>445</v>
      </c>
      <c r="R47" s="590" t="s">
        <v>446</v>
      </c>
      <c r="S47" s="590" t="s">
        <v>354</v>
      </c>
    </row>
    <row r="48" spans="1:19" ht="19.5" customHeight="1">
      <c r="A48" s="584" t="str">
        <f t="shared" si="9"/>
        <v>TP</v>
      </c>
      <c r="B48" s="617">
        <f t="shared" si="10"/>
        <v>6</v>
      </c>
      <c r="C48" s="591" t="s">
        <v>467</v>
      </c>
      <c r="D48" s="616" t="s">
        <v>356</v>
      </c>
      <c r="E48" s="8">
        <v>0</v>
      </c>
      <c r="F48" s="8">
        <v>0</v>
      </c>
      <c r="G48" s="25">
        <f t="array" ref="G48">SUM(IF("155"&amp;C48=KHN&amp;MH,SL))</f>
        <v>7100</v>
      </c>
      <c r="H48" s="25">
        <f t="array" ref="H48">SUM(IF("155"&amp;C48=KHN&amp;MH,TH))</f>
        <v>0</v>
      </c>
      <c r="I48" s="25">
        <f t="array" ref="I48">SUM(IF("155"&amp;C48=KHC&amp;MH,SL))</f>
        <v>7100</v>
      </c>
      <c r="J48" s="25">
        <f t="array" ref="J48">SUM(IF("155"&amp;C48=KHC&amp;MH,TH))</f>
        <v>0</v>
      </c>
      <c r="K48" s="8">
        <f>E48+G48-I48</f>
        <v>0</v>
      </c>
      <c r="L48" s="8">
        <f>F48+H48-J48</f>
        <v>0</v>
      </c>
      <c r="M48" s="588"/>
      <c r="N48" s="591" t="s">
        <v>447</v>
      </c>
      <c r="O48" s="593" t="s">
        <v>445</v>
      </c>
      <c r="P48" s="590">
        <v>270176684</v>
      </c>
      <c r="Q48" s="590" t="s">
        <v>445</v>
      </c>
      <c r="R48" s="590" t="s">
        <v>448</v>
      </c>
      <c r="S48" s="590" t="s">
        <v>354</v>
      </c>
    </row>
    <row r="49" spans="1:20" ht="19.5" customHeight="1">
      <c r="A49" s="584" t="str">
        <f t="shared" si="9"/>
        <v>TP</v>
      </c>
      <c r="B49" s="617">
        <f t="shared" si="10"/>
        <v>7</v>
      </c>
      <c r="C49" s="591" t="s">
        <v>468</v>
      </c>
      <c r="D49" s="616" t="s">
        <v>356</v>
      </c>
      <c r="E49" s="8">
        <v>0</v>
      </c>
      <c r="F49" s="8">
        <v>0</v>
      </c>
      <c r="G49" s="25">
        <f t="array" ref="G49">SUM(IF("155"&amp;C49=KHN&amp;MH,SL))</f>
        <v>20000</v>
      </c>
      <c r="H49" s="25">
        <f t="array" ref="H49">SUM(IF("155"&amp;C49=KHN&amp;MH,TH))</f>
        <v>0</v>
      </c>
      <c r="I49" s="25">
        <f t="array" ref="I49">SUM(IF("155"&amp;C49=KHC&amp;MH,SL))</f>
        <v>12000</v>
      </c>
      <c r="J49" s="25">
        <f t="array" ref="J49">SUM(IF("155"&amp;C49=KHC&amp;MH,TH))</f>
        <v>0</v>
      </c>
      <c r="K49" s="8">
        <f>E49+G49-I49</f>
        <v>8000</v>
      </c>
      <c r="L49" s="8">
        <f>F49+H49-J49</f>
        <v>0</v>
      </c>
      <c r="M49" s="588"/>
      <c r="N49" s="591" t="s">
        <v>449</v>
      </c>
      <c r="O49" s="593" t="s">
        <v>445</v>
      </c>
      <c r="P49" s="590">
        <v>270176960</v>
      </c>
      <c r="Q49" s="590" t="s">
        <v>445</v>
      </c>
      <c r="R49" s="590" t="s">
        <v>450</v>
      </c>
      <c r="S49" s="590" t="s">
        <v>354</v>
      </c>
    </row>
    <row r="50" spans="1:20" ht="18" customHeight="1">
      <c r="A50" s="584" t="str">
        <f t="shared" si="9"/>
        <v>TP</v>
      </c>
      <c r="B50" s="617">
        <f t="shared" si="10"/>
        <v>8</v>
      </c>
      <c r="C50" s="591" t="s">
        <v>469</v>
      </c>
      <c r="D50" s="616" t="s">
        <v>356</v>
      </c>
      <c r="E50" s="8">
        <v>0</v>
      </c>
      <c r="F50" s="8">
        <v>0</v>
      </c>
      <c r="G50" s="25">
        <f t="array" ref="G50">SUM(IF("155"&amp;C50=KHN&amp;MH,SL))</f>
        <v>4800</v>
      </c>
      <c r="H50" s="25">
        <f t="array" ref="H50">SUM(IF("155"&amp;C50=KHN&amp;MH,TH))</f>
        <v>0</v>
      </c>
      <c r="I50" s="25">
        <f t="array" ref="I50">SUM(IF("155"&amp;C50=KHC&amp;MH,SL))</f>
        <v>4800</v>
      </c>
      <c r="J50" s="25">
        <f t="array" ref="J50">SUM(IF("155"&amp;C50=KHC&amp;MH,TH))</f>
        <v>0</v>
      </c>
      <c r="K50" s="8">
        <f t="shared" si="8"/>
        <v>0</v>
      </c>
      <c r="L50" s="8">
        <f t="shared" si="8"/>
        <v>0</v>
      </c>
      <c r="M50" s="588"/>
      <c r="N50" s="591" t="s">
        <v>451</v>
      </c>
      <c r="O50" s="593" t="s">
        <v>445</v>
      </c>
      <c r="P50" s="590">
        <v>271181056</v>
      </c>
      <c r="Q50" s="590" t="s">
        <v>445</v>
      </c>
      <c r="R50" s="590"/>
      <c r="S50" s="590" t="s">
        <v>354</v>
      </c>
    </row>
    <row r="51" spans="1:20" ht="18" customHeight="1">
      <c r="A51" s="584" t="str">
        <f t="shared" si="9"/>
        <v/>
      </c>
      <c r="B51" s="617" t="str">
        <f>IF(C51&lt;&gt;"",#REF!+1,"")</f>
        <v/>
      </c>
      <c r="C51" s="621"/>
      <c r="D51" s="613"/>
      <c r="E51" s="8"/>
      <c r="F51" s="8"/>
      <c r="G51" s="614"/>
      <c r="H51" s="614"/>
      <c r="I51" s="614"/>
      <c r="J51" s="614"/>
      <c r="K51" s="614"/>
      <c r="L51" s="614"/>
      <c r="M51" s="588"/>
      <c r="N51" s="591" t="s">
        <v>453</v>
      </c>
      <c r="O51" s="593" t="s">
        <v>445</v>
      </c>
      <c r="P51" s="590">
        <v>270986506</v>
      </c>
      <c r="Q51" s="590" t="s">
        <v>445</v>
      </c>
      <c r="R51" s="590"/>
      <c r="S51" s="590" t="s">
        <v>354</v>
      </c>
    </row>
    <row r="52" spans="1:20" ht="18.75" customHeight="1">
      <c r="A52" s="584" t="str">
        <f t="shared" si="9"/>
        <v/>
      </c>
      <c r="B52" s="581"/>
      <c r="C52" s="610" t="s">
        <v>471</v>
      </c>
      <c r="D52" s="581"/>
      <c r="E52" s="13">
        <f t="shared" ref="E52:L52" si="11">SUM(E43:E51)</f>
        <v>73584</v>
      </c>
      <c r="F52" s="13">
        <f t="shared" si="11"/>
        <v>9386323824</v>
      </c>
      <c r="G52" s="13">
        <f t="shared" si="11"/>
        <v>31900</v>
      </c>
      <c r="H52" s="13">
        <f t="shared" si="11"/>
        <v>0</v>
      </c>
      <c r="I52" s="13">
        <f t="shared" si="11"/>
        <v>23900</v>
      </c>
      <c r="J52" s="13">
        <f t="shared" si="11"/>
        <v>0</v>
      </c>
      <c r="K52" s="13">
        <f t="shared" si="11"/>
        <v>81584</v>
      </c>
      <c r="L52" s="13">
        <f t="shared" si="11"/>
        <v>9386323824</v>
      </c>
      <c r="M52" s="588"/>
      <c r="N52" s="591" t="s">
        <v>454</v>
      </c>
      <c r="O52" s="593" t="s">
        <v>445</v>
      </c>
      <c r="P52" s="590">
        <v>273042454</v>
      </c>
      <c r="Q52" s="590" t="s">
        <v>455</v>
      </c>
      <c r="R52" s="590" t="s">
        <v>456</v>
      </c>
      <c r="S52" s="590" t="s">
        <v>354</v>
      </c>
    </row>
    <row r="53" spans="1:20" ht="18.75" customHeight="1">
      <c r="A53" s="584" t="str">
        <f>IF(B53&lt;&gt;"","TP","")</f>
        <v/>
      </c>
      <c r="B53" s="622"/>
      <c r="C53" s="622"/>
      <c r="D53" s="623"/>
      <c r="E53" s="624"/>
      <c r="F53" s="624"/>
      <c r="G53" s="624"/>
      <c r="H53" s="624"/>
      <c r="I53" s="624"/>
      <c r="J53" s="624"/>
      <c r="K53" s="624"/>
      <c r="L53" s="624"/>
      <c r="M53" s="588"/>
      <c r="N53" s="591" t="s">
        <v>458</v>
      </c>
      <c r="O53" s="593" t="s">
        <v>445</v>
      </c>
      <c r="P53" s="590">
        <v>273249576</v>
      </c>
      <c r="Q53" s="590" t="s">
        <v>445</v>
      </c>
      <c r="R53" s="590"/>
      <c r="S53" s="590" t="s">
        <v>354</v>
      </c>
    </row>
    <row r="54" spans="1:20" ht="18.75" customHeight="1">
      <c r="M54" s="588"/>
      <c r="N54" s="591" t="s">
        <v>460</v>
      </c>
      <c r="O54" s="593" t="s">
        <v>445</v>
      </c>
      <c r="P54" s="590">
        <v>271642418</v>
      </c>
      <c r="Q54" s="590" t="s">
        <v>445</v>
      </c>
      <c r="R54" s="590"/>
      <c r="S54" s="590" t="s">
        <v>354</v>
      </c>
    </row>
    <row r="55" spans="1:20" ht="18.75" customHeight="1">
      <c r="M55" s="588"/>
      <c r="N55" s="602" t="s">
        <v>462</v>
      </c>
      <c r="O55" s="593" t="s">
        <v>445</v>
      </c>
      <c r="P55" s="590">
        <v>273017840</v>
      </c>
      <c r="Q55" s="590" t="s">
        <v>463</v>
      </c>
      <c r="R55" s="590"/>
      <c r="S55" s="590" t="s">
        <v>354</v>
      </c>
    </row>
    <row r="56" spans="1:20" ht="19.5" customHeight="1">
      <c r="C56" s="1201"/>
      <c r="D56" s="1201"/>
      <c r="E56" s="1201"/>
      <c r="F56" s="626"/>
      <c r="G56" s="626"/>
      <c r="H56" s="626"/>
      <c r="I56" s="626"/>
      <c r="J56" s="1201" t="s">
        <v>475</v>
      </c>
      <c r="K56" s="1201"/>
      <c r="L56" s="1201"/>
      <c r="M56" s="588"/>
      <c r="N56" s="591" t="s">
        <v>465</v>
      </c>
      <c r="O56" s="591"/>
      <c r="P56" s="591"/>
      <c r="Q56" s="591"/>
      <c r="R56" s="591"/>
      <c r="S56" s="591"/>
    </row>
    <row r="57" spans="1:20" ht="18.75" customHeight="1">
      <c r="C57" s="627" t="s">
        <v>11</v>
      </c>
      <c r="D57" s="627"/>
      <c r="E57" s="627"/>
      <c r="F57" s="1201" t="s">
        <v>12</v>
      </c>
      <c r="G57" s="1201"/>
      <c r="H57" s="1201"/>
      <c r="I57" s="626"/>
      <c r="J57" s="1201" t="s">
        <v>132</v>
      </c>
      <c r="K57" s="1201"/>
      <c r="L57" s="1201"/>
      <c r="M57" s="618"/>
      <c r="N57" s="618"/>
      <c r="O57" s="618"/>
      <c r="P57" s="618"/>
      <c r="Q57" s="618"/>
      <c r="R57" s="618"/>
      <c r="S57" s="618"/>
      <c r="T57" s="618"/>
    </row>
    <row r="58" spans="1:20" ht="18.75" customHeight="1">
      <c r="C58" s="627" t="s">
        <v>13</v>
      </c>
      <c r="D58" s="627" t="s">
        <v>478</v>
      </c>
      <c r="E58" s="627"/>
      <c r="F58" s="1201" t="s">
        <v>13</v>
      </c>
      <c r="G58" s="1201"/>
      <c r="H58" s="1201"/>
      <c r="I58" s="575"/>
      <c r="J58" s="1201" t="s">
        <v>163</v>
      </c>
      <c r="K58" s="1201"/>
      <c r="L58" s="1201"/>
      <c r="M58" s="575"/>
      <c r="P58" s="618"/>
      <c r="Q58" s="618"/>
      <c r="R58" s="618"/>
      <c r="S58" s="618"/>
      <c r="T58" s="618"/>
    </row>
    <row r="59" spans="1:20" ht="19.5" customHeight="1">
      <c r="M59" s="575"/>
      <c r="P59" s="618"/>
      <c r="Q59" s="618"/>
      <c r="R59" s="618"/>
      <c r="S59" s="618"/>
    </row>
    <row r="60" spans="1:20" ht="19.5" customHeight="1">
      <c r="M60" s="575"/>
      <c r="Q60" s="619"/>
      <c r="R60" s="619"/>
      <c r="S60" s="619"/>
    </row>
    <row r="61" spans="1:20" ht="19.5" customHeight="1">
      <c r="M61" s="575"/>
      <c r="Q61" s="586" t="s">
        <v>457</v>
      </c>
      <c r="R61" s="586"/>
      <c r="S61" s="616">
        <v>4.5</v>
      </c>
    </row>
    <row r="62" spans="1:20" ht="19.5" customHeight="1">
      <c r="M62" s="575"/>
      <c r="Q62" s="591" t="s">
        <v>459</v>
      </c>
      <c r="R62" s="586"/>
      <c r="S62" s="616">
        <v>5</v>
      </c>
    </row>
    <row r="63" spans="1:20" ht="20.25" customHeight="1">
      <c r="M63" s="575"/>
      <c r="Q63" s="591" t="s">
        <v>461</v>
      </c>
      <c r="R63" s="586"/>
      <c r="S63" s="616">
        <v>5</v>
      </c>
    </row>
    <row r="64" spans="1:20" ht="20.25" customHeight="1">
      <c r="M64" s="575"/>
      <c r="Q64" s="591" t="s">
        <v>464</v>
      </c>
      <c r="R64" s="586"/>
      <c r="S64" s="616">
        <v>5</v>
      </c>
    </row>
    <row r="65" spans="13:19" ht="20.25" customHeight="1">
      <c r="M65" s="575"/>
      <c r="Q65" s="591" t="s">
        <v>466</v>
      </c>
      <c r="R65" s="591"/>
      <c r="S65" s="620"/>
    </row>
    <row r="66" spans="13:19" ht="20.25" customHeight="1">
      <c r="M66" s="575"/>
      <c r="Q66" s="591" t="s">
        <v>470</v>
      </c>
      <c r="R66" s="591"/>
      <c r="S66" s="620">
        <v>8</v>
      </c>
    </row>
    <row r="67" spans="13:19" ht="20.25" customHeight="1">
      <c r="M67" s="575"/>
      <c r="Q67" s="591" t="s">
        <v>472</v>
      </c>
      <c r="R67" s="591"/>
      <c r="S67" s="620">
        <v>9</v>
      </c>
    </row>
    <row r="68" spans="13:19" ht="20.25" customHeight="1">
      <c r="M68" s="575"/>
      <c r="Q68" s="591" t="s">
        <v>473</v>
      </c>
      <c r="R68" s="591"/>
      <c r="S68" s="620">
        <v>8</v>
      </c>
    </row>
    <row r="69" spans="13:19" ht="20.25" customHeight="1">
      <c r="M69" s="575"/>
      <c r="Q69" s="591" t="s">
        <v>469</v>
      </c>
      <c r="R69" s="591"/>
      <c r="S69" s="620">
        <v>8</v>
      </c>
    </row>
    <row r="70" spans="13:19" ht="19.5" customHeight="1">
      <c r="M70" s="575"/>
      <c r="Q70" s="591" t="s">
        <v>474</v>
      </c>
      <c r="R70" s="591"/>
      <c r="S70" s="620">
        <v>5</v>
      </c>
    </row>
    <row r="71" spans="13:19" ht="19.5" customHeight="1">
      <c r="M71" s="575"/>
      <c r="Q71" s="591" t="s">
        <v>476</v>
      </c>
      <c r="R71" s="591"/>
      <c r="S71" s="620">
        <v>5</v>
      </c>
    </row>
    <row r="72" spans="13:19" ht="19.5" customHeight="1">
      <c r="M72" s="575"/>
      <c r="Q72" s="591" t="s">
        <v>477</v>
      </c>
      <c r="R72" s="591"/>
      <c r="S72" s="620">
        <v>5</v>
      </c>
    </row>
    <row r="73" spans="13:19" ht="19.5" customHeight="1">
      <c r="M73" s="575"/>
      <c r="Q73" s="591" t="s">
        <v>479</v>
      </c>
      <c r="R73" s="591"/>
      <c r="S73" s="620">
        <v>4.5</v>
      </c>
    </row>
    <row r="74" spans="13:19" ht="19.5" customHeight="1">
      <c r="M74" s="575"/>
      <c r="Q74" s="591" t="s">
        <v>480</v>
      </c>
      <c r="R74" s="591"/>
      <c r="S74" s="620">
        <v>4.5</v>
      </c>
    </row>
    <row r="75" spans="13:19" ht="19.5" customHeight="1">
      <c r="M75" s="575"/>
      <c r="Q75" s="591" t="s">
        <v>467</v>
      </c>
      <c r="R75" s="591"/>
      <c r="S75" s="620">
        <v>11</v>
      </c>
    </row>
    <row r="76" spans="13:19" ht="19.5" customHeight="1">
      <c r="M76" s="575"/>
      <c r="Q76" s="591" t="s">
        <v>468</v>
      </c>
      <c r="R76" s="591"/>
      <c r="S76" s="620">
        <v>11</v>
      </c>
    </row>
    <row r="77" spans="13:19" ht="19.5" customHeight="1">
      <c r="M77" s="575"/>
      <c r="Q77" s="591" t="s">
        <v>481</v>
      </c>
      <c r="R77" s="591"/>
      <c r="S77" s="620">
        <v>4.4000000000000004</v>
      </c>
    </row>
    <row r="78" spans="13:19" ht="19.5" customHeight="1">
      <c r="M78" s="575"/>
      <c r="Q78" s="591" t="s">
        <v>482</v>
      </c>
      <c r="R78" s="591"/>
      <c r="S78" s="620">
        <v>4.5</v>
      </c>
    </row>
    <row r="79" spans="13:19" ht="19.5" customHeight="1">
      <c r="M79" s="575"/>
    </row>
    <row r="80" spans="13:19" ht="19.5" customHeight="1">
      <c r="M80" s="575"/>
    </row>
    <row r="81" spans="13:14" ht="19.5" customHeight="1">
      <c r="M81" s="575"/>
    </row>
    <row r="82" spans="13:14" ht="19.5" customHeight="1">
      <c r="M82" s="575"/>
    </row>
    <row r="83" spans="13:14" ht="19.5" customHeight="1">
      <c r="M83" s="575"/>
    </row>
    <row r="84" spans="13:14" ht="19.5" customHeight="1">
      <c r="M84" s="575"/>
    </row>
    <row r="85" spans="13:14" ht="19.5" customHeight="1">
      <c r="M85" s="575"/>
    </row>
    <row r="86" spans="13:14" ht="19.5" customHeight="1">
      <c r="M86" s="575"/>
    </row>
    <row r="87" spans="13:14" ht="19.5" customHeight="1">
      <c r="M87" s="575"/>
    </row>
    <row r="88" spans="13:14" ht="19.5" customHeight="1">
      <c r="N88" s="618"/>
    </row>
    <row r="89" spans="13:14">
      <c r="N89" s="618"/>
    </row>
    <row r="90" spans="13:14">
      <c r="N90" s="618"/>
    </row>
    <row r="91" spans="13:14">
      <c r="N91" s="618"/>
    </row>
    <row r="93" spans="13:14">
      <c r="N93" s="618"/>
    </row>
    <row r="94" spans="13:14">
      <c r="N94" s="618"/>
    </row>
    <row r="95" spans="13:14">
      <c r="N95" s="618"/>
    </row>
    <row r="96" spans="13:14">
      <c r="N96" s="618"/>
    </row>
    <row r="97" spans="14:14">
      <c r="N97" s="618"/>
    </row>
    <row r="98" spans="14:14">
      <c r="N98" s="618"/>
    </row>
    <row r="99" spans="14:14">
      <c r="N99" s="618"/>
    </row>
    <row r="100" spans="14:14">
      <c r="N100" s="618"/>
    </row>
    <row r="101" spans="14:14">
      <c r="N101" s="618"/>
    </row>
    <row r="102" spans="14:14">
      <c r="N102" s="618"/>
    </row>
    <row r="103" spans="14:14">
      <c r="N103" s="618"/>
    </row>
    <row r="104" spans="14:14">
      <c r="N104" s="618"/>
    </row>
    <row r="105" spans="14:14">
      <c r="N105" s="618"/>
    </row>
    <row r="106" spans="14:14">
      <c r="N106" s="618"/>
    </row>
    <row r="107" spans="14:14">
      <c r="N107" s="618"/>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58:H58"/>
    <mergeCell ref="J58:L58"/>
    <mergeCell ref="S8:S10"/>
    <mergeCell ref="C56:E56"/>
    <mergeCell ref="J56:L56"/>
    <mergeCell ref="F57:H57"/>
    <mergeCell ref="J57:L57"/>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A17" sqref="A17:A18"/>
    </sheetView>
  </sheetViews>
  <sheetFormatPr defaultRowHeight="12"/>
  <cols>
    <col min="1" max="1" width="4.7109375" style="628" customWidth="1"/>
    <col min="2" max="2" width="29.7109375" style="628" customWidth="1"/>
    <col min="3" max="3" width="5.7109375" style="628" customWidth="1"/>
    <col min="4" max="4" width="6.7109375" style="628" customWidth="1"/>
    <col min="5" max="5" width="12.7109375" style="628" customWidth="1"/>
    <col min="6" max="6" width="9.85546875" style="628" customWidth="1"/>
    <col min="7" max="7" width="11" style="628" customWidth="1"/>
    <col min="8" max="8" width="14" style="628" customWidth="1"/>
    <col min="9" max="9" width="4.28515625" style="628" customWidth="1"/>
    <col min="10" max="10" width="5.7109375" style="628" customWidth="1"/>
    <col min="11" max="11" width="3.140625" style="628" customWidth="1"/>
    <col min="12" max="12" width="5.7109375" style="628" customWidth="1"/>
    <col min="13" max="13" width="2.7109375" style="628" customWidth="1"/>
    <col min="14" max="14" width="4" style="628" customWidth="1"/>
    <col min="15" max="15" width="3.7109375" style="628" customWidth="1"/>
    <col min="16" max="16384" width="9.140625" style="628"/>
  </cols>
  <sheetData>
    <row r="1" spans="1:16" ht="5.25" customHeight="1"/>
    <row r="2" spans="1:16" ht="12.75" customHeight="1">
      <c r="A2" s="103" t="s">
        <v>139</v>
      </c>
      <c r="G2" s="118" t="str">
        <f>+IF(LEFT($D$7,1)="N","Mẫu số 01 - VT","Mẫu số 02 - VT")</f>
        <v>Mẫu số 02 - VT</v>
      </c>
    </row>
    <row r="3" spans="1:16" ht="12.75" customHeight="1">
      <c r="A3" s="114" t="s">
        <v>140</v>
      </c>
      <c r="G3" s="115" t="s">
        <v>335</v>
      </c>
      <c r="N3" s="118" t="s">
        <v>127</v>
      </c>
      <c r="O3" s="629"/>
    </row>
    <row r="4" spans="1:16" ht="11.25" customHeight="1">
      <c r="G4" s="115" t="s">
        <v>252</v>
      </c>
      <c r="J4" s="630" t="s">
        <v>483</v>
      </c>
      <c r="M4" s="631"/>
      <c r="N4" s="118" t="s">
        <v>128</v>
      </c>
      <c r="O4" s="629"/>
    </row>
    <row r="5" spans="1:16" ht="18" customHeight="1">
      <c r="D5" s="632" t="str">
        <f>+IF(LEFT($L$5,1)="N","PHIẾU NHẬP KHO","PHIẾU XUẤT KHO")</f>
        <v>PHIẾU XUẤT KHO</v>
      </c>
      <c r="J5" s="633">
        <v>1</v>
      </c>
      <c r="K5" s="634"/>
      <c r="L5" s="635" t="s">
        <v>596</v>
      </c>
      <c r="M5" s="636"/>
      <c r="N5" s="637">
        <v>1</v>
      </c>
      <c r="O5" s="629"/>
      <c r="P5" s="629"/>
    </row>
    <row r="6" spans="1:16" s="638" customFormat="1" ht="12" customHeight="1">
      <c r="D6" s="639" t="str">
        <f ca="1">"Ngày  " &amp;DAY(IF(ROWS($1:1)&gt;COUNT(Dong10),"",OFFSET(TH!C$1,SMALL(Dong10,ROWS($1:1)),)))&amp;"  tháng  " &amp; MONTH(IF(ROWS($1:1)&gt;COUNT(Dong10),"",OFFSET(TH!C$1,SMALL(Dong10,ROWS($1:1)),)))&amp;"  năm  "&amp;YEAR(IF(ROWS($1:1)&gt;COUNT(Dong10),"",OFFSET(TH!C$1,SMALL(Dong10,ROWS($1:1)),)))</f>
        <v>Ngày  2  tháng  1  năm  2016</v>
      </c>
      <c r="E6" s="640"/>
      <c r="M6" s="641"/>
      <c r="O6" s="642"/>
    </row>
    <row r="7" spans="1:16" s="638" customFormat="1" ht="12" customHeight="1">
      <c r="C7" s="643" t="str">
        <f xml:space="preserve"> "Số:"</f>
        <v>Số:</v>
      </c>
      <c r="D7" s="644" t="str">
        <f xml:space="preserve"> RIGHT($L$5,2)&amp;"/"&amp;LEFT($L$5,1)&amp;IF($N$5&gt;=10,$N$5,"0"&amp;$N$5)</f>
        <v>VL/X01</v>
      </c>
      <c r="G7" s="638" t="str">
        <f ca="1">"Nợ:  "&amp;IF(ROWS($1:1)&gt;COUNT(Dong10),"",OFFSET(TH!N$1,SMALL(Dong10,ROWS($1:1)),))</f>
        <v>Nợ:  154</v>
      </c>
      <c r="M7" s="641"/>
      <c r="O7" s="642"/>
    </row>
    <row r="8" spans="1:16" s="638" customFormat="1" ht="12" customHeight="1">
      <c r="D8" s="115"/>
      <c r="G8" s="638" t="str">
        <f ca="1">"Có:  "&amp;IF(ROWS($1:1)&gt;COUNT(Dong10),"",OFFSET(TH!O$1,SMALL(Dong10,ROWS($1:1)),))</f>
        <v>Có:  1522</v>
      </c>
      <c r="M8" s="641"/>
      <c r="O8" s="645"/>
    </row>
    <row r="9" spans="1:16" s="638" customFormat="1" ht="12" customHeight="1">
      <c r="A9" s="63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641"/>
    </row>
    <row r="10" spans="1:16" s="638" customFormat="1" ht="12" customHeight="1">
      <c r="A10" s="638" t="str">
        <f>+IF(LEFT($D$7,1)="N","Theo……………………………………....…………..số………….…………….……ngày……...tháng…......năm……....","Lý do xuất :                                 Xuất dùng ")</f>
        <v xml:space="preserve">Lý do xuất :                                 Xuất dùng </v>
      </c>
    </row>
    <row r="11" spans="1:16" s="638" customFormat="1" ht="12" customHeight="1">
      <c r="A11" s="638" t="str">
        <f>+IF(LEFT($D$7,1)="N","của………………………………………………………………………………………………………………………………....","Xuất tại kho (ngăn lô) :            Công ty TNHH Hải Sản An Lạc                      Địa điểm :  Đức Hòa, Long An.")</f>
        <v>Xuất tại kho (ngăn lô) :            Công ty TNHH Hải Sản An Lạc                      Địa điểm :  Đức Hòa, Long An.</v>
      </c>
    </row>
    <row r="12" spans="1:16" s="638" customFormat="1" ht="12" customHeight="1">
      <c r="A12" s="638" t="str">
        <f>+IF(LEFT("x",1)="N","Nhập tại kho:       Công ty TNHH Hải Sản An Lạc                      Địa điểm:  Đức Hòa, Long An."," ")</f>
        <v xml:space="preserve"> </v>
      </c>
    </row>
    <row r="13" spans="1:16" s="638" customFormat="1" ht="2.25" customHeight="1"/>
    <row r="14" spans="1:16" s="638" customFormat="1" ht="11.25" customHeight="1">
      <c r="A14" s="1215" t="s">
        <v>37</v>
      </c>
      <c r="B14" s="1215" t="s">
        <v>484</v>
      </c>
      <c r="C14" s="1215" t="s">
        <v>485</v>
      </c>
      <c r="D14" s="1215" t="s">
        <v>342</v>
      </c>
      <c r="E14" s="1217" t="s">
        <v>486</v>
      </c>
      <c r="F14" s="1217"/>
      <c r="G14" s="1215" t="s">
        <v>487</v>
      </c>
      <c r="H14" s="1215" t="s">
        <v>488</v>
      </c>
    </row>
    <row r="15" spans="1:16" s="638" customFormat="1" ht="19.5" customHeight="1">
      <c r="A15" s="1216"/>
      <c r="B15" s="1216"/>
      <c r="C15" s="1216"/>
      <c r="D15" s="1216"/>
      <c r="E15" s="646" t="s">
        <v>489</v>
      </c>
      <c r="F15" s="646" t="str">
        <f>IF(LEFT($D$7,1)="N","Thực nhập","Thực xuất")</f>
        <v>Thực xuất</v>
      </c>
      <c r="G15" s="1216"/>
      <c r="H15" s="1216"/>
    </row>
    <row r="16" spans="1:16" s="648" customFormat="1" ht="8.25" customHeight="1">
      <c r="A16" s="647" t="s">
        <v>2</v>
      </c>
      <c r="B16" s="647" t="s">
        <v>3</v>
      </c>
      <c r="C16" s="647" t="s">
        <v>4</v>
      </c>
      <c r="D16" s="647" t="s">
        <v>5</v>
      </c>
      <c r="E16" s="647">
        <v>1</v>
      </c>
      <c r="F16" s="647">
        <v>2</v>
      </c>
      <c r="G16" s="647">
        <v>3</v>
      </c>
      <c r="H16" s="647">
        <v>4</v>
      </c>
    </row>
    <row r="17" spans="1:8" s="638" customFormat="1" ht="12" customHeight="1">
      <c r="A17" s="649">
        <f ca="1">IF(B17="","",ROW()-16)</f>
        <v>1</v>
      </c>
      <c r="B17" s="650" t="str">
        <f ca="1">IF(ROWS($1:1)&gt;COUNT(Dong10),"",OFFSET(TH!F$1,SMALL(Dong10,ROWS($1:1)),))</f>
        <v>Bột ngọt</v>
      </c>
      <c r="C17" s="651"/>
      <c r="D17" s="652" t="str">
        <f ca="1">IF(ISNA(VLOOKUP(B17,NXT!$C$12:$D$51,2,0)),"",VLOOKUP(B17,NXT!$C$12:$D$51,2,0))</f>
        <v>kg</v>
      </c>
      <c r="E17" s="653"/>
      <c r="F17" s="654">
        <f ca="1">IF(ROWS($1:1)&gt;COUNT(Dong10),"",OFFSET(TH!I$1,SMALL(Dong10,ROWS($1:1)),))</f>
        <v>100</v>
      </c>
      <c r="G17" s="655">
        <f ca="1">IF(ROWS($1:1)&gt;COUNT(Dong10),"",OFFSET(TH!J$1,SMALL(Dong10,ROWS($1:1)),))</f>
        <v>35444.444444444445</v>
      </c>
      <c r="H17" s="653">
        <f t="shared" ref="H17:H23" ca="1" si="0">IF(F17&lt;&gt;"",ROUND(F17*G17,0),"")</f>
        <v>3544444</v>
      </c>
    </row>
    <row r="18" spans="1:8" s="638" customFormat="1" ht="12" customHeight="1">
      <c r="A18" s="649">
        <f t="shared" ref="A18:A23" ca="1" si="1">IF(B18="","",A17+1)</f>
        <v>2</v>
      </c>
      <c r="B18" s="650" t="str">
        <f ca="1">IF(ROWS($1:2)&gt;COUNT(Dong10),"",OFFSET(TH!F$1,SMALL(Dong10,ROWS($1:2)),))</f>
        <v>Bột biến tính</v>
      </c>
      <c r="C18" s="651"/>
      <c r="D18" s="652" t="str">
        <f ca="1">IF(ISNA(VLOOKUP(B18,NXT!$C$12:$D$51,2,0)),"",VLOOKUP(B18,NXT!$C$12:$D$51,2,0))</f>
        <v>kg</v>
      </c>
      <c r="E18" s="653"/>
      <c r="F18" s="654">
        <f ca="1">IF(ROWS($1:2)&gt;COUNT(Dong10),"",OFFSET(TH!I$1,SMALL(Dong10,ROWS($1:2)),))</f>
        <v>20</v>
      </c>
      <c r="G18" s="655">
        <f ca="1">IF(ROWS($1:2)&gt;COUNT(Dong10),"",OFFSET(TH!J$1,SMALL(Dong10,ROWS($1:2)),))</f>
        <v>46741.2</v>
      </c>
      <c r="H18" s="653">
        <f t="shared" ca="1" si="0"/>
        <v>934824</v>
      </c>
    </row>
    <row r="19" spans="1:8" s="638" customFormat="1" ht="12" customHeight="1">
      <c r="A19" s="649">
        <f t="shared" ca="1" si="1"/>
        <v>3</v>
      </c>
      <c r="B19" s="650" t="str">
        <f ca="1">IF(ROWS($1:3)&gt;COUNT(Dong10),"",OFFSET(TH!F$1,SMALL(Dong10,ROWS($1:3)),))</f>
        <v>Đường</v>
      </c>
      <c r="C19" s="651"/>
      <c r="D19" s="652" t="str">
        <f ca="1">IF(ISNA(VLOOKUP(B19,NXT!$C$12:$D$51,2,0)),"",VLOOKUP(B19,NXT!$C$12:$D$51,2,0))</f>
        <v>kg</v>
      </c>
      <c r="E19" s="653"/>
      <c r="F19" s="654">
        <f ca="1">IF(ROWS($1:3)&gt;COUNT(Dong10),"",OFFSET(TH!I$1,SMALL(Dong10,ROWS($1:3)),))</f>
        <v>150</v>
      </c>
      <c r="G19" s="655">
        <f ca="1">IF(ROWS($1:3)&gt;COUNT(Dong10),"",OFFSET(TH!J$1,SMALL(Dong10,ROWS($1:3)),))</f>
        <v>11666.673333333334</v>
      </c>
      <c r="H19" s="653">
        <f t="shared" ca="1" si="0"/>
        <v>1750001</v>
      </c>
    </row>
    <row r="20" spans="1:8" s="638" customFormat="1" ht="12" customHeight="1">
      <c r="A20" s="649" t="str">
        <f t="shared" ca="1" si="1"/>
        <v/>
      </c>
      <c r="B20" s="650" t="str">
        <f ca="1">IF(ROWS($1:4)&gt;COUNT(Dong10),"",OFFSET(TH!F$1,SMALL(Dong10,ROWS($1:4)),))</f>
        <v/>
      </c>
      <c r="C20" s="651"/>
      <c r="D20" s="652" t="str">
        <f ca="1">IF(ISNA(VLOOKUP(B20,NXT!$C$12:$D$51,2,0)),"",VLOOKUP(B20,NXT!$C$12:$D$51,2,0))</f>
        <v/>
      </c>
      <c r="E20" s="653"/>
      <c r="F20" s="654" t="str">
        <f ca="1">IF(ROWS($1:4)&gt;COUNT(Dong10),"",OFFSET(TH!I$1,SMALL(Dong10,ROWS($1:4)),))</f>
        <v/>
      </c>
      <c r="G20" s="655" t="str">
        <f ca="1">IF(ROWS($1:4)&gt;COUNT(Dong10),"",OFFSET(TH!J$1,SMALL(Dong10,ROWS($1:4)),))</f>
        <v/>
      </c>
      <c r="H20" s="653" t="str">
        <f t="shared" ca="1" si="0"/>
        <v/>
      </c>
    </row>
    <row r="21" spans="1:8" s="638" customFormat="1" ht="12" customHeight="1">
      <c r="A21" s="649" t="str">
        <f t="shared" ca="1" si="1"/>
        <v/>
      </c>
      <c r="B21" s="650" t="str">
        <f ca="1">IF(ROWS($1:5)&gt;COUNT(Dong10),"",OFFSET(TH!F$1,SMALL(Dong10,ROWS($1:5)),))</f>
        <v/>
      </c>
      <c r="C21" s="651"/>
      <c r="D21" s="652" t="str">
        <f ca="1">IF(ISNA(VLOOKUP(B21,NXT!$C$12:$D$51,2,0)),"",VLOOKUP(B21,NXT!$C$12:$D$51,2,0))</f>
        <v/>
      </c>
      <c r="E21" s="653"/>
      <c r="F21" s="654" t="str">
        <f ca="1">IF(ROWS($1:5)&gt;COUNT(Dong10),"",OFFSET(TH!I$1,SMALL(Dong10,ROWS($1:5)),))</f>
        <v/>
      </c>
      <c r="G21" s="655" t="str">
        <f ca="1">IF(ROWS($1:5)&gt;COUNT(Dong10),"",OFFSET(TH!J$1,SMALL(Dong10,ROWS($1:5)),))</f>
        <v/>
      </c>
      <c r="H21" s="653" t="str">
        <f t="shared" ca="1" si="0"/>
        <v/>
      </c>
    </row>
    <row r="22" spans="1:8" s="638" customFormat="1" ht="12" customHeight="1">
      <c r="A22" s="649" t="str">
        <f t="shared" ca="1" si="1"/>
        <v/>
      </c>
      <c r="B22" s="650" t="str">
        <f ca="1">IF(ROWS($1:6)&gt;COUNT(Dong10),"",OFFSET(TH!F$1,SMALL(Dong10,ROWS($1:6)),))</f>
        <v/>
      </c>
      <c r="C22" s="651"/>
      <c r="D22" s="652" t="str">
        <f ca="1">IF(ISNA(VLOOKUP(B22,NXT!$C$12:$D$51,2,0)),"",VLOOKUP(B22,NXT!$C$12:$D$51,2,0))</f>
        <v/>
      </c>
      <c r="E22" s="653"/>
      <c r="F22" s="654" t="str">
        <f ca="1">IF(ROWS($1:6)&gt;COUNT(Dong10),"",OFFSET(TH!I$1,SMALL(Dong10,ROWS($1:6)),))</f>
        <v/>
      </c>
      <c r="G22" s="655" t="str">
        <f ca="1">IF(ROWS($1:6)&gt;COUNT(Dong10),"",OFFSET(TH!J$1,SMALL(Dong10,ROWS($1:6)),))</f>
        <v/>
      </c>
      <c r="H22" s="653" t="str">
        <f t="shared" ca="1" si="0"/>
        <v/>
      </c>
    </row>
    <row r="23" spans="1:8" s="638" customFormat="1" ht="12" customHeight="1">
      <c r="A23" s="656" t="str">
        <f t="shared" ca="1" si="1"/>
        <v/>
      </c>
      <c r="B23" s="650" t="str">
        <f ca="1">IF(ROWS($1:7)&gt;COUNT(Dong10),"",OFFSET(TH!F$1,SMALL(Dong10,ROWS($1:7)),))</f>
        <v/>
      </c>
      <c r="C23" s="651"/>
      <c r="D23" s="652" t="str">
        <f ca="1">IF(ISNA(VLOOKUP(B23,NXT!$C$12:$D$51,2,0)),"",VLOOKUP(B23,NXT!$C$12:$D$51,2,0))</f>
        <v/>
      </c>
      <c r="E23" s="653"/>
      <c r="F23" s="654" t="str">
        <f ca="1">IF(ROWS($1:7)&gt;COUNT(Dong10),"",OFFSET(TH!I$1,SMALL(Dong10,ROWS($1:7)),))</f>
        <v/>
      </c>
      <c r="G23" s="655" t="str">
        <f ca="1">IF(ROWS($1:7)&gt;COUNT(Dong10),"",OFFSET(TH!J$1,SMALL(Dong10,ROWS($1:7)),))</f>
        <v/>
      </c>
      <c r="H23" s="657" t="str">
        <f t="shared" ca="1" si="0"/>
        <v/>
      </c>
    </row>
    <row r="24" spans="1:8" s="638" customFormat="1" ht="12" customHeight="1">
      <c r="A24" s="1217" t="s">
        <v>490</v>
      </c>
      <c r="B24" s="1217"/>
      <c r="C24" s="658"/>
      <c r="D24" s="658"/>
      <c r="E24" s="659"/>
      <c r="F24" s="659"/>
      <c r="G24" s="659"/>
      <c r="H24" s="659">
        <f ca="1">SUM(H17:H23)</f>
        <v>6229269</v>
      </c>
    </row>
    <row r="25" spans="1:8" s="638" customFormat="1" ht="3" customHeight="1">
      <c r="A25" s="660"/>
      <c r="B25" s="660"/>
      <c r="C25" s="641"/>
      <c r="D25" s="641"/>
      <c r="E25" s="661"/>
      <c r="F25" s="661"/>
      <c r="G25" s="661"/>
      <c r="H25" s="661"/>
    </row>
    <row r="26" spans="1:8" s="638" customFormat="1" ht="14.25" customHeight="1">
      <c r="A26" s="638" t="e">
        <f ca="1">"Tổng số tiền (viết bằng chữ):  "&amp; [2]!VND(H24, TRUE)</f>
        <v>#NAME?</v>
      </c>
    </row>
    <row r="27" spans="1:8" s="638" customFormat="1" ht="14.25" customHeight="1">
      <c r="A27" s="638" t="str">
        <f>"Số chứng từ gốc kèm theo :  "</f>
        <v xml:space="preserve">Số chứng từ gốc kèm theo :  </v>
      </c>
    </row>
    <row r="28" spans="1:8" s="638" customFormat="1" ht="14.25" customHeight="1">
      <c r="F28" s="126" t="str">
        <f ca="1">+IF(LEFT($D$7,1)="N","                                                          "&amp;D6,"                                                                                           "&amp;D6)</f>
        <v xml:space="preserve">                                                                                           Ngày  2  tháng  1  năm  2016</v>
      </c>
    </row>
    <row r="29" spans="1:8" s="663" customFormat="1" ht="14.25" customHeight="1">
      <c r="A29" s="662" t="s">
        <v>491</v>
      </c>
      <c r="C29" s="664"/>
      <c r="E29" s="664"/>
      <c r="F29" s="664" t="str">
        <f>+IF(LEFT($D$7,1)="N","                                                       Kế toán trưởng","                                          Kế toán trưởng                           Giám đốc")</f>
        <v xml:space="preserve">                                          Kế toán trưởng                           Giám đốc</v>
      </c>
    </row>
    <row r="30" spans="1:8" s="638" customFormat="1" ht="12.75" customHeight="1">
      <c r="A30" s="644" t="s">
        <v>492</v>
      </c>
      <c r="C30" s="126"/>
      <c r="E30" s="126"/>
      <c r="F30" s="126" t="str">
        <f>+IF(LEFT($D$7,1)="N","                                                     (Ký, họ tên)","                (Ký, họ tên)                ")</f>
        <v xml:space="preserve">                (Ký, họ tên)                </v>
      </c>
      <c r="H30" s="644" t="str">
        <f>+IF(LEFT($D$7,1)="N","","  (Ký, họ tên)")</f>
        <v xml:space="preserve">  (Ký, họ tên)</v>
      </c>
    </row>
    <row r="31" spans="1:8" s="638" customFormat="1" ht="12.75" customHeight="1">
      <c r="G31" s="126"/>
    </row>
    <row r="32" spans="1:8" s="638" customFormat="1" ht="11.25" customHeight="1"/>
    <row r="33" spans="1:6" s="638" customFormat="1" ht="11.25" customHeight="1"/>
    <row r="34" spans="1:6" s="638" customFormat="1" ht="11.25" customHeight="1"/>
    <row r="35" spans="1:6" s="638" customFormat="1" ht="11.25" customHeight="1"/>
    <row r="36" spans="1:6" ht="11.25" customHeight="1">
      <c r="A36" s="665" t="s">
        <v>493</v>
      </c>
      <c r="F36" s="66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3"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8" customWidth="1"/>
    <col min="2" max="2" width="8.5703125" style="668" customWidth="1"/>
    <col min="3" max="3" width="11" style="668" customWidth="1"/>
    <col min="4" max="4" width="41.7109375" style="668" customWidth="1"/>
    <col min="5" max="5" width="8" style="681" customWidth="1"/>
    <col min="6" max="6" width="8.85546875" style="668" customWidth="1"/>
    <col min="7" max="7" width="9" style="668" customWidth="1"/>
    <col min="8" max="8" width="14.140625" style="668" customWidth="1"/>
    <col min="9" max="9" width="8.85546875" style="668" customWidth="1"/>
    <col min="10" max="10" width="13.42578125" style="668" customWidth="1"/>
    <col min="11" max="11" width="10.140625" style="668" customWidth="1"/>
    <col min="12" max="12" width="13" style="668" customWidth="1"/>
    <col min="13" max="13" width="7.140625" style="668" customWidth="1"/>
    <col min="14" max="14" width="2" style="668" customWidth="1"/>
    <col min="15" max="15" width="5.5703125" style="668" customWidth="1"/>
    <col min="16" max="16" width="4.42578125" style="668" customWidth="1"/>
    <col min="17" max="16384" width="23.85546875" style="668"/>
  </cols>
  <sheetData>
    <row r="1" spans="1:17">
      <c r="A1" s="667" t="s">
        <v>494</v>
      </c>
      <c r="E1" s="668"/>
      <c r="O1" s="669"/>
    </row>
    <row r="2" spans="1:17" s="530" customFormat="1" ht="16.5" customHeight="1">
      <c r="B2" s="670" t="s">
        <v>332</v>
      </c>
      <c r="C2" s="671"/>
      <c r="D2" s="672"/>
      <c r="E2" s="673"/>
      <c r="F2" s="2"/>
      <c r="J2" s="1222" t="s">
        <v>495</v>
      </c>
      <c r="K2" s="1222"/>
      <c r="L2" s="1222"/>
      <c r="M2" s="1222"/>
      <c r="N2" s="674"/>
    </row>
    <row r="3" spans="1:17" s="530" customFormat="1" ht="16.5" customHeight="1">
      <c r="B3" s="670" t="s">
        <v>334</v>
      </c>
      <c r="C3" s="670"/>
      <c r="D3" s="670"/>
      <c r="E3" s="675"/>
      <c r="F3" s="670"/>
      <c r="J3" s="1223" t="s">
        <v>50</v>
      </c>
      <c r="K3" s="1223"/>
      <c r="L3" s="1223"/>
      <c r="M3" s="1223"/>
      <c r="N3" s="676"/>
    </row>
    <row r="4" spans="1:17" s="530" customFormat="1" ht="16.5" customHeight="1">
      <c r="B4" s="670"/>
      <c r="C4" s="670"/>
      <c r="D4" s="670"/>
      <c r="E4" s="675"/>
      <c r="F4" s="670"/>
      <c r="J4" s="1223"/>
      <c r="K4" s="1223"/>
      <c r="L4" s="1223"/>
      <c r="M4" s="1223"/>
      <c r="N4" s="676"/>
    </row>
    <row r="5" spans="1:17" ht="18.75" customHeight="1">
      <c r="B5" s="1224" t="s">
        <v>496</v>
      </c>
      <c r="C5" s="1224"/>
      <c r="D5" s="1224"/>
      <c r="E5" s="1224"/>
      <c r="F5" s="1224"/>
      <c r="G5" s="1224"/>
      <c r="H5" s="1224"/>
      <c r="I5" s="1224"/>
      <c r="J5" s="1224"/>
      <c r="K5" s="1224"/>
      <c r="L5" s="1224"/>
      <c r="M5" s="1224"/>
      <c r="N5" s="677"/>
    </row>
    <row r="6" spans="1:17" s="678" customFormat="1" ht="12.75">
      <c r="B6" s="1225" t="s">
        <v>497</v>
      </c>
      <c r="C6" s="1225"/>
      <c r="D6" s="1225"/>
      <c r="E6" s="1225"/>
      <c r="F6" s="1225"/>
      <c r="G6" s="1225"/>
      <c r="H6" s="1225"/>
      <c r="I6" s="1225"/>
      <c r="J6" s="1225"/>
      <c r="K6" s="1225"/>
      <c r="L6" s="1225"/>
      <c r="M6" s="1225"/>
      <c r="N6" s="679"/>
    </row>
    <row r="7" spans="1:17">
      <c r="C7" s="680"/>
      <c r="D7" s="680"/>
      <c r="F7" s="682" t="s">
        <v>1006</v>
      </c>
      <c r="G7" s="1065" t="str">
        <f>IF($O$10="VL","1522",IF($O$10="NL","1521",IF($O$10="TP","155","")))</f>
        <v>155</v>
      </c>
      <c r="H7" s="682" t="s">
        <v>498</v>
      </c>
      <c r="I7" s="680" t="str">
        <f>IF($O$10="NL","Nguyên Liệu",IF($O$10="TP","Thành Phẩm",IF($O$10="VL","Vật Liệu","")))</f>
        <v>Thành Phẩm</v>
      </c>
      <c r="J7" s="680"/>
      <c r="K7" s="680"/>
      <c r="L7" s="680"/>
      <c r="M7" s="680"/>
      <c r="N7" s="681"/>
    </row>
    <row r="8" spans="1:17">
      <c r="B8" s="681"/>
      <c r="C8" s="680"/>
      <c r="D8" s="680"/>
      <c r="F8" s="681" t="s">
        <v>499</v>
      </c>
      <c r="H8" s="680"/>
      <c r="I8" s="680"/>
      <c r="J8" s="1226" t="s">
        <v>467</v>
      </c>
      <c r="K8" s="1226"/>
      <c r="L8" s="1226"/>
      <c r="M8" s="680"/>
      <c r="N8" s="680"/>
    </row>
    <row r="9" spans="1:17">
      <c r="D9" s="683"/>
      <c r="E9" s="684"/>
      <c r="F9" s="683"/>
      <c r="G9" s="683"/>
      <c r="H9" s="683"/>
      <c r="I9" s="683"/>
      <c r="J9" s="683"/>
      <c r="K9" s="683" t="s">
        <v>150</v>
      </c>
      <c r="M9" s="685"/>
      <c r="N9" s="686"/>
    </row>
    <row r="10" spans="1:17" ht="15.75" customHeight="1">
      <c r="A10" s="1227" t="s">
        <v>37</v>
      </c>
      <c r="B10" s="1228" t="s">
        <v>1</v>
      </c>
      <c r="C10" s="1228"/>
      <c r="D10" s="1221" t="s">
        <v>0</v>
      </c>
      <c r="E10" s="1221" t="s">
        <v>500</v>
      </c>
      <c r="F10" s="1221" t="s">
        <v>487</v>
      </c>
      <c r="G10" s="1219" t="s">
        <v>501</v>
      </c>
      <c r="H10" s="1220"/>
      <c r="I10" s="1219" t="s">
        <v>502</v>
      </c>
      <c r="J10" s="1220"/>
      <c r="K10" s="1219" t="s">
        <v>503</v>
      </c>
      <c r="L10" s="1220"/>
      <c r="M10" s="1221" t="s">
        <v>154</v>
      </c>
      <c r="N10" s="687"/>
      <c r="O10" s="688" t="s">
        <v>1007</v>
      </c>
    </row>
    <row r="11" spans="1:17" ht="31.5" customHeight="1">
      <c r="A11" s="1227"/>
      <c r="B11" s="689" t="s">
        <v>17</v>
      </c>
      <c r="C11" s="689" t="s">
        <v>34</v>
      </c>
      <c r="D11" s="1221"/>
      <c r="E11" s="1221"/>
      <c r="F11" s="1221"/>
      <c r="G11" s="689" t="s">
        <v>486</v>
      </c>
      <c r="H11" s="689" t="s">
        <v>488</v>
      </c>
      <c r="I11" s="689" t="s">
        <v>486</v>
      </c>
      <c r="J11" s="689" t="s">
        <v>488</v>
      </c>
      <c r="K11" s="689" t="s">
        <v>486</v>
      </c>
      <c r="L11" s="689" t="s">
        <v>488</v>
      </c>
      <c r="M11" s="1221"/>
      <c r="N11" s="687"/>
    </row>
    <row r="12" spans="1:17" s="681" customFormat="1">
      <c r="A12" s="690"/>
      <c r="B12" s="691" t="s">
        <v>2</v>
      </c>
      <c r="C12" s="692" t="s">
        <v>3</v>
      </c>
      <c r="D12" s="692" t="s">
        <v>4</v>
      </c>
      <c r="E12" s="691" t="s">
        <v>5</v>
      </c>
      <c r="F12" s="691">
        <v>1</v>
      </c>
      <c r="G12" s="691">
        <v>2</v>
      </c>
      <c r="H12" s="691" t="s">
        <v>505</v>
      </c>
      <c r="I12" s="691">
        <v>4</v>
      </c>
      <c r="J12" s="691" t="s">
        <v>506</v>
      </c>
      <c r="K12" s="691">
        <v>6</v>
      </c>
      <c r="L12" s="691" t="s">
        <v>507</v>
      </c>
      <c r="M12" s="691"/>
      <c r="N12" s="693"/>
    </row>
    <row r="13" spans="1:17">
      <c r="A13" s="694"/>
      <c r="B13" s="694"/>
      <c r="C13" s="694"/>
      <c r="D13" s="695" t="s">
        <v>184</v>
      </c>
      <c r="E13" s="696"/>
      <c r="F13" s="697"/>
      <c r="G13" s="697"/>
      <c r="H13" s="697"/>
      <c r="I13" s="697"/>
      <c r="J13" s="697"/>
      <c r="K13" s="698">
        <f>VLOOKUP($J$8,NXT!$C$12:$L$51,3,0)</f>
        <v>0</v>
      </c>
      <c r="L13" s="698">
        <f>VLOOKUP($J$8,NXT!$C$12:$L$51,4,0)</f>
        <v>0</v>
      </c>
      <c r="M13" s="697"/>
      <c r="N13" s="693"/>
    </row>
    <row r="14" spans="1:17">
      <c r="A14" s="649">
        <f ca="1">IF(B14="","",ROW()-13)</f>
        <v>1</v>
      </c>
      <c r="B14" s="699" t="str">
        <f ca="1">IF(ROWS($1:1)&gt;COUNT(Dong11),"",OFFSET(TH!D$1,SMALL(Dong11,ROWS($1:1)),))</f>
        <v>TP/N01</v>
      </c>
      <c r="C14" s="700">
        <f ca="1">IF(ROWS($1:1)&gt;COUNT(Dong11),"",OFFSET(TH!E$1,SMALL(Dong11,ROWS($1:1)),))</f>
        <v>42389</v>
      </c>
      <c r="D14" s="701" t="str">
        <f ca="1">IF(ROWS($1:1)&gt;COUNT(Dong11),"",OFFSET(TH!F$1,SMALL(Dong11,ROWS($1:1)),)&amp;" - "&amp;OFFSET(TH!H$1,SMALL(Dong11,ROWS($1:1)),))</f>
        <v>Cá bò khô tẩm TP - Bộ phận SX</v>
      </c>
      <c r="E14" s="699" t="str">
        <f ca="1">IF(ROWS($1:1)&gt;COUNT(Dong11),"",IF(OFFSET(TH!N$1,SMALL(Dong11,ROWS($1:1)),)=$G$7,OFFSET(TH!O$1,SMALL(Dong11,ROWS($1:1)),),OFFSET(TH!N$1,SMALL(Dong11,ROWS($1:1)),)))</f>
        <v>154</v>
      </c>
      <c r="F14" s="702">
        <f ca="1">IF(ROWS($1:1)&gt;COUNT(Dong11),0,OFFSET(TH!J$1,SMALL(Dong11,ROWS($1:1)),))</f>
        <v>0</v>
      </c>
      <c r="G14" s="702">
        <f ca="1">IF(ROWS($1:1)&gt;COUNT(Dong11),0,IF(MID(OFFSET(TH!D$1,SMALL(Dong11,ROWS($1:1)),),4,1)="N",OFFSET(TH!I$1,SMALL(Dong11,ROWS($1:1)),),0))</f>
        <v>7100</v>
      </c>
      <c r="H14" s="703">
        <f ca="1">ROUND(F14*G14,0)</f>
        <v>0</v>
      </c>
      <c r="I14" s="702">
        <f ca="1">IF(ROWS($1:1)&gt;COUNT(Dong11),0,IF(MID(OFFSET(TH!D$1,SMALL(Dong11,ROWS($1:1)),),4,1)="X",OFFSET(TH!I$1,SMALL(Dong11,ROWS($1:1)),),0))</f>
        <v>0</v>
      </c>
      <c r="J14" s="703">
        <f ca="1">ROUND(F14*I14,0)</f>
        <v>0</v>
      </c>
      <c r="K14" s="703">
        <f ca="1">IF(D14&lt;&gt;"",K13+G14-I14,0)</f>
        <v>7100</v>
      </c>
      <c r="L14" s="703">
        <f ca="1">IF(D14&lt;&gt;"",L13+H14-J14,0)</f>
        <v>0</v>
      </c>
      <c r="M14" s="703"/>
      <c r="N14" s="693"/>
    </row>
    <row r="15" spans="1:17">
      <c r="A15" s="649">
        <f t="shared" ref="A15:A31" ca="1" si="0">IF(B15="","",A14+1)</f>
        <v>2</v>
      </c>
      <c r="B15" s="699" t="str">
        <f ca="1">IF(ROWS($1:2)&gt;COUNT(Dong11),"",OFFSET(TH!D$1,SMALL(Dong11,ROWS($1:2)),))</f>
        <v>TP/X01</v>
      </c>
      <c r="C15" s="700">
        <f ca="1">IF(ROWS($1:2)&gt;COUNT(Dong11),"",OFFSET(TH!E$1,SMALL(Dong11,ROWS($1:2)),))</f>
        <v>42395</v>
      </c>
      <c r="D15" s="701" t="str">
        <f ca="1">IF(ROWS($1:2)&gt;COUNT(Dong11),"",OFFSET(TH!F$1,SMALL(Dong11,ROWS($1:2)),)&amp;" - "&amp;OFFSET(TH!H$1,SMALL(Dong11,ROWS($1:2)),))</f>
        <v>Cá bò khô tẩm TP - TOKAI DENPUN</v>
      </c>
      <c r="E15" s="699" t="str">
        <f ca="1">IF(ROWS($1:2)&gt;COUNT(Dong11),"",IF(OFFSET(TH!N$1,SMALL(Dong11,ROWS($1:2)),)=$G$7,OFFSET(TH!O$1,SMALL(Dong11,ROWS($1:2)),),OFFSET(TH!N$1,SMALL(Dong11,ROWS($1:2)),)))</f>
        <v>632</v>
      </c>
      <c r="F15" s="702">
        <f ca="1">IF(ROWS($1:2)&gt;COUNT(Dong11),0,OFFSET(TH!J$1,SMALL(Dong11,ROWS($1:2)),))</f>
        <v>0</v>
      </c>
      <c r="G15" s="702">
        <f ca="1">IF(ROWS($1:2)&gt;COUNT(Dong11),0,IF(MID(OFFSET(TH!D$1,SMALL(Dong11,ROWS($1:2)),),4,1)="N",OFFSET(TH!I$1,SMALL(Dong11,ROWS($1:2)),),0))</f>
        <v>0</v>
      </c>
      <c r="H15" s="703">
        <f t="shared" ref="H15:H30" ca="1" si="1">ROUND(F15*G15,0)</f>
        <v>0</v>
      </c>
      <c r="I15" s="702">
        <f ca="1">IF(ROWS($1:2)&gt;COUNT(Dong11),0,IF(MID(OFFSET(TH!D$1,SMALL(Dong11,ROWS($1:2)),),4,1)="X",OFFSET(TH!I$1,SMALL(Dong11,ROWS($1:2)),),0))</f>
        <v>7100</v>
      </c>
      <c r="J15" s="703">
        <f t="shared" ref="J15:J30" ca="1" si="2">ROUND(F15*I15,0)</f>
        <v>0</v>
      </c>
      <c r="K15" s="703">
        <f t="shared" ref="K15:K30" ca="1" si="3">IF(D15&lt;&gt;"",K14+G15-I15,0)</f>
        <v>0</v>
      </c>
      <c r="L15" s="703">
        <f t="shared" ref="L15:L30" ca="1" si="4">IF(D15&lt;&gt;"",L14+H15-J15,0)</f>
        <v>0</v>
      </c>
      <c r="M15" s="703"/>
      <c r="N15" s="693"/>
      <c r="Q15" s="704"/>
    </row>
    <row r="16" spans="1:17">
      <c r="A16" s="649" t="str">
        <f t="shared" ca="1" si="0"/>
        <v/>
      </c>
      <c r="B16" s="699" t="str">
        <f ca="1">IF(ROWS($1:3)&gt;COUNT(Dong11),"",OFFSET(TH!D$1,SMALL(Dong11,ROWS($1:3)),))</f>
        <v/>
      </c>
      <c r="C16" s="700" t="str">
        <f ca="1">IF(ROWS($1:3)&gt;COUNT(Dong11),"",OFFSET(TH!E$1,SMALL(Dong11,ROWS($1:3)),))</f>
        <v/>
      </c>
      <c r="D16" s="701" t="str">
        <f ca="1">IF(ROWS($1:3)&gt;COUNT(Dong11),"",OFFSET(TH!F$1,SMALL(Dong11,ROWS($1:3)),)&amp;" - "&amp;OFFSET(TH!H$1,SMALL(Dong11,ROWS($1:3)),))</f>
        <v/>
      </c>
      <c r="E16" s="699" t="str">
        <f ca="1">IF(ROWS($1:3)&gt;COUNT(Dong11),"",IF(OFFSET(TH!N$1,SMALL(Dong11,ROWS($1:3)),)=$G$7,OFFSET(TH!O$1,SMALL(Dong11,ROWS($1:3)),),OFFSET(TH!N$1,SMALL(Dong11,ROWS($1:3)),)))</f>
        <v/>
      </c>
      <c r="F16" s="702">
        <f ca="1">IF(ROWS($1:3)&gt;COUNT(Dong11),0,OFFSET(TH!J$1,SMALL(Dong11,ROWS($1:3)),))</f>
        <v>0</v>
      </c>
      <c r="G16" s="702">
        <f ca="1">IF(ROWS($1:3)&gt;COUNT(Dong11),0,IF(MID(OFFSET(TH!D$1,SMALL(Dong11,ROWS($1:3)),),4,1)="N",OFFSET(TH!I$1,SMALL(Dong11,ROWS($1:3)),),0))</f>
        <v>0</v>
      </c>
      <c r="H16" s="703">
        <f t="shared" ca="1" si="1"/>
        <v>0</v>
      </c>
      <c r="I16" s="702">
        <f ca="1">IF(ROWS($1:3)&gt;COUNT(Dong11),0,IF(MID(OFFSET(TH!D$1,SMALL(Dong11,ROWS($1:3)),),4,1)="X",OFFSET(TH!I$1,SMALL(Dong11,ROWS($1:3)),),0))</f>
        <v>0</v>
      </c>
      <c r="J16" s="703">
        <f t="shared" ca="1" si="2"/>
        <v>0</v>
      </c>
      <c r="K16" s="703">
        <f t="shared" ca="1" si="3"/>
        <v>0</v>
      </c>
      <c r="L16" s="703">
        <f t="shared" ca="1" si="4"/>
        <v>0</v>
      </c>
      <c r="M16" s="703"/>
      <c r="N16" s="693"/>
    </row>
    <row r="17" spans="1:16">
      <c r="A17" s="649" t="str">
        <f t="shared" ca="1" si="0"/>
        <v/>
      </c>
      <c r="B17" s="699" t="str">
        <f ca="1">IF(ROWS($1:4)&gt;COUNT(Dong11),"",OFFSET(TH!D$1,SMALL(Dong11,ROWS($1:4)),))</f>
        <v/>
      </c>
      <c r="C17" s="700" t="str">
        <f ca="1">IF(ROWS($1:4)&gt;COUNT(Dong11),"",OFFSET(TH!E$1,SMALL(Dong11,ROWS($1:4)),))</f>
        <v/>
      </c>
      <c r="D17" s="701" t="str">
        <f ca="1">IF(ROWS($1:4)&gt;COUNT(Dong11),"",OFFSET(TH!F$1,SMALL(Dong11,ROWS($1:4)),)&amp;" - "&amp;OFFSET(TH!H$1,SMALL(Dong11,ROWS($1:4)),))</f>
        <v/>
      </c>
      <c r="E17" s="699" t="str">
        <f ca="1">IF(ROWS($1:4)&gt;COUNT(Dong11),"",IF(OFFSET(TH!N$1,SMALL(Dong11,ROWS($1:4)),)=$G$7,OFFSET(TH!O$1,SMALL(Dong11,ROWS($1:4)),),OFFSET(TH!N$1,SMALL(Dong11,ROWS($1:4)),)))</f>
        <v/>
      </c>
      <c r="F17" s="702">
        <f ca="1">IF(ROWS($1:4)&gt;COUNT(Dong11),0,OFFSET(TH!J$1,SMALL(Dong11,ROWS($1:4)),))</f>
        <v>0</v>
      </c>
      <c r="G17" s="702">
        <f ca="1">IF(ROWS($1:4)&gt;COUNT(Dong11),0,IF(MID(OFFSET(TH!D$1,SMALL(Dong11,ROWS($1:4)),),4,1)="N",OFFSET(TH!I$1,SMALL(Dong11,ROWS($1:4)),),0))</f>
        <v>0</v>
      </c>
      <c r="H17" s="703">
        <f t="shared" ca="1" si="1"/>
        <v>0</v>
      </c>
      <c r="I17" s="702">
        <f ca="1">IF(ROWS($1:4)&gt;COUNT(Dong11),0,IF(MID(OFFSET(TH!D$1,SMALL(Dong11,ROWS($1:4)),),4,1)="X",OFFSET(TH!I$1,SMALL(Dong11,ROWS($1:4)),),0))</f>
        <v>0</v>
      </c>
      <c r="J17" s="703">
        <f t="shared" ca="1" si="2"/>
        <v>0</v>
      </c>
      <c r="K17" s="703">
        <f t="shared" ca="1" si="3"/>
        <v>0</v>
      </c>
      <c r="L17" s="703">
        <f t="shared" ca="1" si="4"/>
        <v>0</v>
      </c>
      <c r="M17" s="703"/>
      <c r="N17" s="693"/>
      <c r="P17" s="705"/>
    </row>
    <row r="18" spans="1:16">
      <c r="A18" s="649" t="str">
        <f t="shared" ca="1" si="0"/>
        <v/>
      </c>
      <c r="B18" s="699" t="str">
        <f ca="1">IF(ROWS($1:5)&gt;COUNT(Dong11),"",OFFSET(TH!D$1,SMALL(Dong11,ROWS($1:5)),))</f>
        <v/>
      </c>
      <c r="C18" s="700" t="str">
        <f ca="1">IF(ROWS($1:5)&gt;COUNT(Dong11),"",OFFSET(TH!E$1,SMALL(Dong11,ROWS($1:5)),))</f>
        <v/>
      </c>
      <c r="D18" s="701" t="str">
        <f ca="1">IF(ROWS($1:5)&gt;COUNT(Dong11),"",OFFSET(TH!F$1,SMALL(Dong11,ROWS($1:5)),)&amp;" - "&amp;OFFSET(TH!H$1,SMALL(Dong11,ROWS($1:5)),))</f>
        <v/>
      </c>
      <c r="E18" s="699" t="str">
        <f ca="1">IF(ROWS($1:5)&gt;COUNT(Dong11),"",IF(OFFSET(TH!N$1,SMALL(Dong11,ROWS($1:5)),)=$G$7,OFFSET(TH!O$1,SMALL(Dong11,ROWS($1:5)),),OFFSET(TH!N$1,SMALL(Dong11,ROWS($1:5)),)))</f>
        <v/>
      </c>
      <c r="F18" s="702">
        <f ca="1">IF(ROWS($1:5)&gt;COUNT(Dong11),0,OFFSET(TH!J$1,SMALL(Dong11,ROWS($1:5)),))</f>
        <v>0</v>
      </c>
      <c r="G18" s="702">
        <f ca="1">IF(ROWS($1:5)&gt;COUNT(Dong11),0,IF(MID(OFFSET(TH!D$1,SMALL(Dong11,ROWS($1:5)),),4,1)="N",OFFSET(TH!I$1,SMALL(Dong11,ROWS($1:5)),),0))</f>
        <v>0</v>
      </c>
      <c r="H18" s="703">
        <f t="shared" ca="1" si="1"/>
        <v>0</v>
      </c>
      <c r="I18" s="702">
        <f ca="1">IF(ROWS($1:5)&gt;COUNT(Dong11),0,IF(MID(OFFSET(TH!D$1,SMALL(Dong11,ROWS($1:5)),),4,1)="X",OFFSET(TH!I$1,SMALL(Dong11,ROWS($1:5)),),0))</f>
        <v>0</v>
      </c>
      <c r="J18" s="703">
        <f t="shared" ca="1" si="2"/>
        <v>0</v>
      </c>
      <c r="K18" s="703">
        <f t="shared" ca="1" si="3"/>
        <v>0</v>
      </c>
      <c r="L18" s="703">
        <f t="shared" ca="1" si="4"/>
        <v>0</v>
      </c>
      <c r="M18" s="703"/>
      <c r="N18" s="693"/>
    </row>
    <row r="19" spans="1:16">
      <c r="A19" s="649" t="str">
        <f t="shared" ca="1" si="0"/>
        <v/>
      </c>
      <c r="B19" s="699" t="str">
        <f ca="1">IF(ROWS($1:6)&gt;COUNT(Dong11),"",OFFSET(TH!D$1,SMALL(Dong11,ROWS($1:6)),))</f>
        <v/>
      </c>
      <c r="C19" s="700" t="str">
        <f ca="1">IF(ROWS($1:6)&gt;COUNT(Dong11),"",OFFSET(TH!E$1,SMALL(Dong11,ROWS($1:6)),))</f>
        <v/>
      </c>
      <c r="D19" s="701" t="str">
        <f ca="1">IF(ROWS($1:6)&gt;COUNT(Dong11),"",OFFSET(TH!F$1,SMALL(Dong11,ROWS($1:6)),)&amp;" - "&amp;OFFSET(TH!H$1,SMALL(Dong11,ROWS($1:6)),))</f>
        <v/>
      </c>
      <c r="E19" s="699" t="str">
        <f ca="1">IF(ROWS($1:6)&gt;COUNT(Dong11),"",IF(OFFSET(TH!N$1,SMALL(Dong11,ROWS($1:6)),)=$G$7,OFFSET(TH!O$1,SMALL(Dong11,ROWS($1:6)),),OFFSET(TH!N$1,SMALL(Dong11,ROWS($1:6)),)))</f>
        <v/>
      </c>
      <c r="F19" s="702">
        <f ca="1">IF(ROWS($1:6)&gt;COUNT(Dong11),0,OFFSET(TH!J$1,SMALL(Dong11,ROWS($1:6)),))</f>
        <v>0</v>
      </c>
      <c r="G19" s="702">
        <f ca="1">IF(ROWS($1:6)&gt;COUNT(Dong11),0,IF(MID(OFFSET(TH!D$1,SMALL(Dong11,ROWS($1:6)),),4,1)="N",OFFSET(TH!I$1,SMALL(Dong11,ROWS($1:6)),),0))</f>
        <v>0</v>
      </c>
      <c r="H19" s="703">
        <f t="shared" ca="1" si="1"/>
        <v>0</v>
      </c>
      <c r="I19" s="702">
        <f ca="1">IF(ROWS($1:6)&gt;COUNT(Dong11),0,IF(MID(OFFSET(TH!D$1,SMALL(Dong11,ROWS($1:6)),),4,1)="X",OFFSET(TH!I$1,SMALL(Dong11,ROWS($1:6)),),0))</f>
        <v>0</v>
      </c>
      <c r="J19" s="703">
        <f t="shared" ca="1" si="2"/>
        <v>0</v>
      </c>
      <c r="K19" s="703">
        <f t="shared" ca="1" si="3"/>
        <v>0</v>
      </c>
      <c r="L19" s="703">
        <f t="shared" ca="1" si="4"/>
        <v>0</v>
      </c>
      <c r="M19" s="703"/>
      <c r="N19" s="693"/>
    </row>
    <row r="20" spans="1:16">
      <c r="A20" s="649" t="str">
        <f t="shared" ca="1" si="0"/>
        <v/>
      </c>
      <c r="B20" s="699" t="str">
        <f ca="1">IF(ROWS($1:7)&gt;COUNT(Dong11),"",OFFSET(TH!D$1,SMALL(Dong11,ROWS($1:7)),))</f>
        <v/>
      </c>
      <c r="C20" s="700" t="str">
        <f ca="1">IF(ROWS($1:7)&gt;COUNT(Dong11),"",OFFSET(TH!E$1,SMALL(Dong11,ROWS($1:7)),))</f>
        <v/>
      </c>
      <c r="D20" s="701" t="str">
        <f ca="1">IF(ROWS($1:7)&gt;COUNT(Dong11),"",OFFSET(TH!F$1,SMALL(Dong11,ROWS($1:7)),)&amp;" - "&amp;OFFSET(TH!H$1,SMALL(Dong11,ROWS($1:7)),))</f>
        <v/>
      </c>
      <c r="E20" s="699" t="str">
        <f ca="1">IF(ROWS($1:7)&gt;COUNT(Dong11),"",IF(OFFSET(TH!N$1,SMALL(Dong11,ROWS($1:7)),)=$G$7,OFFSET(TH!O$1,SMALL(Dong11,ROWS($1:7)),),OFFSET(TH!N$1,SMALL(Dong11,ROWS($1:7)),)))</f>
        <v/>
      </c>
      <c r="F20" s="702">
        <f ca="1">IF(ROWS($1:7)&gt;COUNT(Dong11),0,OFFSET(TH!J$1,SMALL(Dong11,ROWS($1:7)),))</f>
        <v>0</v>
      </c>
      <c r="G20" s="702">
        <f ca="1">IF(ROWS($1:7)&gt;COUNT(Dong11),0,IF(MID(OFFSET(TH!D$1,SMALL(Dong11,ROWS($1:7)),),4,1)="N",OFFSET(TH!I$1,SMALL(Dong11,ROWS($1:7)),),0))</f>
        <v>0</v>
      </c>
      <c r="H20" s="703">
        <f t="shared" ca="1" si="1"/>
        <v>0</v>
      </c>
      <c r="I20" s="702">
        <f ca="1">IF(ROWS($1:7)&gt;COUNT(Dong11),0,IF(MID(OFFSET(TH!D$1,SMALL(Dong11,ROWS($1:7)),),4,1)="X",OFFSET(TH!I$1,SMALL(Dong11,ROWS($1:7)),),0))</f>
        <v>0</v>
      </c>
      <c r="J20" s="703">
        <f t="shared" ca="1" si="2"/>
        <v>0</v>
      </c>
      <c r="K20" s="703">
        <f t="shared" ca="1" si="3"/>
        <v>0</v>
      </c>
      <c r="L20" s="703">
        <f t="shared" ca="1" si="4"/>
        <v>0</v>
      </c>
      <c r="M20" s="703"/>
      <c r="N20" s="693"/>
    </row>
    <row r="21" spans="1:16">
      <c r="A21" s="649" t="str">
        <f t="shared" ca="1" si="0"/>
        <v/>
      </c>
      <c r="B21" s="699" t="str">
        <f ca="1">IF(ROWS($1:8)&gt;COUNT(Dong11),"",OFFSET(TH!D$1,SMALL(Dong11,ROWS($1:8)),))</f>
        <v/>
      </c>
      <c r="C21" s="700" t="str">
        <f ca="1">IF(ROWS($1:8)&gt;COUNT(Dong11),"",OFFSET(TH!E$1,SMALL(Dong11,ROWS($1:8)),))</f>
        <v/>
      </c>
      <c r="D21" s="701" t="str">
        <f ca="1">IF(ROWS($1:8)&gt;COUNT(Dong11),"",OFFSET(TH!F$1,SMALL(Dong11,ROWS($1:8)),)&amp;" - "&amp;OFFSET(TH!H$1,SMALL(Dong11,ROWS($1:8)),))</f>
        <v/>
      </c>
      <c r="E21" s="699" t="str">
        <f ca="1">IF(ROWS($1:8)&gt;COUNT(Dong11),"",IF(OFFSET(TH!N$1,SMALL(Dong11,ROWS($1:8)),)=$G$7,OFFSET(TH!O$1,SMALL(Dong11,ROWS($1:8)),),OFFSET(TH!N$1,SMALL(Dong11,ROWS($1:8)),)))</f>
        <v/>
      </c>
      <c r="F21" s="702">
        <f ca="1">IF(ROWS($1:8)&gt;COUNT(Dong11),0,OFFSET(TH!J$1,SMALL(Dong11,ROWS($1:8)),))</f>
        <v>0</v>
      </c>
      <c r="G21" s="702">
        <f ca="1">IF(ROWS($1:8)&gt;COUNT(Dong11),0,IF(MID(OFFSET(TH!D$1,SMALL(Dong11,ROWS($1:8)),),4,1)="N",OFFSET(TH!I$1,SMALL(Dong11,ROWS($1:8)),),0))</f>
        <v>0</v>
      </c>
      <c r="H21" s="703">
        <f t="shared" ca="1" si="1"/>
        <v>0</v>
      </c>
      <c r="I21" s="702">
        <f ca="1">IF(ROWS($1:8)&gt;COUNT(Dong11),0,IF(MID(OFFSET(TH!D$1,SMALL(Dong11,ROWS($1:8)),),4,1)="X",OFFSET(TH!I$1,SMALL(Dong11,ROWS($1:8)),),0))</f>
        <v>0</v>
      </c>
      <c r="J21" s="703">
        <f t="shared" ca="1" si="2"/>
        <v>0</v>
      </c>
      <c r="K21" s="703">
        <f t="shared" ca="1" si="3"/>
        <v>0</v>
      </c>
      <c r="L21" s="703">
        <f t="shared" ca="1" si="4"/>
        <v>0</v>
      </c>
      <c r="M21" s="703"/>
      <c r="N21" s="693"/>
    </row>
    <row r="22" spans="1:16">
      <c r="A22" s="649" t="str">
        <f t="shared" ca="1" si="0"/>
        <v/>
      </c>
      <c r="B22" s="699" t="str">
        <f ca="1">IF(ROWS($1:9)&gt;COUNT(Dong11),"",OFFSET(TH!D$1,SMALL(Dong11,ROWS($1:9)),))</f>
        <v/>
      </c>
      <c r="C22" s="700" t="str">
        <f ca="1">IF(ROWS($1:9)&gt;COUNT(Dong11),"",OFFSET(TH!E$1,SMALL(Dong11,ROWS($1:9)),))</f>
        <v/>
      </c>
      <c r="D22" s="701" t="str">
        <f ca="1">IF(ROWS($1:9)&gt;COUNT(Dong11),"",OFFSET(TH!F$1,SMALL(Dong11,ROWS($1:9)),)&amp;" - "&amp;OFFSET(TH!H$1,SMALL(Dong11,ROWS($1:9)),))</f>
        <v/>
      </c>
      <c r="E22" s="699" t="str">
        <f ca="1">IF(ROWS($1:9)&gt;COUNT(Dong11),"",IF(OFFSET(TH!N$1,SMALL(Dong11,ROWS($1:9)),)=$G$7,OFFSET(TH!O$1,SMALL(Dong11,ROWS($1:9)),),OFFSET(TH!N$1,SMALL(Dong11,ROWS($1:9)),)))</f>
        <v/>
      </c>
      <c r="F22" s="702">
        <f ca="1">IF(ROWS($1:9)&gt;COUNT(Dong11),0,OFFSET(TH!J$1,SMALL(Dong11,ROWS($1:9)),))</f>
        <v>0</v>
      </c>
      <c r="G22" s="702">
        <f ca="1">IF(ROWS($1:9)&gt;COUNT(Dong11),0,IF(MID(OFFSET(TH!D$1,SMALL(Dong11,ROWS($1:9)),),4,1)="N",OFFSET(TH!I$1,SMALL(Dong11,ROWS($1:9)),),0))</f>
        <v>0</v>
      </c>
      <c r="H22" s="703">
        <f t="shared" ca="1" si="1"/>
        <v>0</v>
      </c>
      <c r="I22" s="702">
        <f ca="1">IF(ROWS($1:9)&gt;COUNT(Dong11),0,IF(MID(OFFSET(TH!D$1,SMALL(Dong11,ROWS($1:9)),),4,1)="X",OFFSET(TH!I$1,SMALL(Dong11,ROWS($1:9)),),0))</f>
        <v>0</v>
      </c>
      <c r="J22" s="703">
        <f t="shared" ca="1" si="2"/>
        <v>0</v>
      </c>
      <c r="K22" s="703">
        <f t="shared" ca="1" si="3"/>
        <v>0</v>
      </c>
      <c r="L22" s="703">
        <f t="shared" ca="1" si="4"/>
        <v>0</v>
      </c>
      <c r="M22" s="703"/>
      <c r="N22" s="693"/>
    </row>
    <row r="23" spans="1:16">
      <c r="A23" s="649" t="str">
        <f t="shared" ca="1" si="0"/>
        <v/>
      </c>
      <c r="B23" s="699" t="str">
        <f ca="1">IF(ROWS($1:10)&gt;COUNT(Dong11),"",OFFSET(TH!D$1,SMALL(Dong11,ROWS($1:10)),))</f>
        <v/>
      </c>
      <c r="C23" s="700" t="str">
        <f ca="1">IF(ROWS($1:10)&gt;COUNT(Dong11),"",OFFSET(TH!E$1,SMALL(Dong11,ROWS($1:10)),))</f>
        <v/>
      </c>
      <c r="D23" s="701" t="str">
        <f ca="1">IF(ROWS($1:10)&gt;COUNT(Dong11),"",OFFSET(TH!F$1,SMALL(Dong11,ROWS($1:10)),)&amp;" - "&amp;OFFSET(TH!H$1,SMALL(Dong11,ROWS($1:10)),))</f>
        <v/>
      </c>
      <c r="E23" s="699" t="str">
        <f ca="1">IF(ROWS($1:10)&gt;COUNT(Dong11),"",IF(OFFSET(TH!N$1,SMALL(Dong11,ROWS($1:10)),)=$G$7,OFFSET(TH!O$1,SMALL(Dong11,ROWS($1:10)),),OFFSET(TH!N$1,SMALL(Dong11,ROWS($1:10)),)))</f>
        <v/>
      </c>
      <c r="F23" s="702">
        <f ca="1">IF(ROWS($1:10)&gt;COUNT(Dong11),0,OFFSET(TH!J$1,SMALL(Dong11,ROWS($1:10)),))</f>
        <v>0</v>
      </c>
      <c r="G23" s="702">
        <f ca="1">IF(ROWS($1:10)&gt;COUNT(Dong11),0,IF(MID(OFFSET(TH!D$1,SMALL(Dong11,ROWS($1:10)),),4,1)="N",OFFSET(TH!I$1,SMALL(Dong11,ROWS($1:10)),),0))</f>
        <v>0</v>
      </c>
      <c r="H23" s="703">
        <f t="shared" ca="1" si="1"/>
        <v>0</v>
      </c>
      <c r="I23" s="702">
        <f ca="1">IF(ROWS($1:10)&gt;COUNT(Dong11),0,IF(MID(OFFSET(TH!D$1,SMALL(Dong11,ROWS($1:10)),),4,1)="X",OFFSET(TH!I$1,SMALL(Dong11,ROWS($1:10)),),0))</f>
        <v>0</v>
      </c>
      <c r="J23" s="703">
        <f t="shared" ca="1" si="2"/>
        <v>0</v>
      </c>
      <c r="K23" s="703">
        <f t="shared" ca="1" si="3"/>
        <v>0</v>
      </c>
      <c r="L23" s="703">
        <f t="shared" ca="1" si="4"/>
        <v>0</v>
      </c>
      <c r="M23" s="703"/>
      <c r="N23" s="693"/>
    </row>
    <row r="24" spans="1:16">
      <c r="A24" s="649" t="str">
        <f t="shared" ca="1" si="0"/>
        <v/>
      </c>
      <c r="B24" s="699" t="str">
        <f ca="1">IF(ROWS($1:11)&gt;COUNT(Dong11),"",OFFSET(TH!D$1,SMALL(Dong11,ROWS($1:11)),))</f>
        <v/>
      </c>
      <c r="C24" s="700" t="str">
        <f ca="1">IF(ROWS($1:11)&gt;COUNT(Dong11),"",OFFSET(TH!E$1,SMALL(Dong11,ROWS($1:11)),))</f>
        <v/>
      </c>
      <c r="D24" s="701" t="str">
        <f ca="1">IF(ROWS($1:11)&gt;COUNT(Dong11),"",OFFSET(TH!F$1,SMALL(Dong11,ROWS($1:11)),)&amp;" - "&amp;OFFSET(TH!H$1,SMALL(Dong11,ROWS($1:11)),))</f>
        <v/>
      </c>
      <c r="E24" s="699" t="str">
        <f ca="1">IF(ROWS($1:11)&gt;COUNT(Dong11),"",IF(OFFSET(TH!N$1,SMALL(Dong11,ROWS($1:11)),)=$G$7,OFFSET(TH!O$1,SMALL(Dong11,ROWS($1:11)),),OFFSET(TH!N$1,SMALL(Dong11,ROWS($1:11)),)))</f>
        <v/>
      </c>
      <c r="F24" s="702">
        <f ca="1">IF(ROWS($1:11)&gt;COUNT(Dong11),0,OFFSET(TH!J$1,SMALL(Dong11,ROWS($1:11)),))</f>
        <v>0</v>
      </c>
      <c r="G24" s="702">
        <f ca="1">IF(ROWS($1:11)&gt;COUNT(Dong11),0,IF(MID(OFFSET(TH!D$1,SMALL(Dong11,ROWS($1:11)),),4,1)="N",OFFSET(TH!I$1,SMALL(Dong11,ROWS($1:11)),),0))</f>
        <v>0</v>
      </c>
      <c r="H24" s="703">
        <f t="shared" ca="1" si="1"/>
        <v>0</v>
      </c>
      <c r="I24" s="702">
        <f ca="1">IF(ROWS($1:11)&gt;COUNT(Dong11),0,IF(MID(OFFSET(TH!D$1,SMALL(Dong11,ROWS($1:11)),),4,1)="X",OFFSET(TH!I$1,SMALL(Dong11,ROWS($1:11)),),0))</f>
        <v>0</v>
      </c>
      <c r="J24" s="703">
        <f t="shared" ca="1" si="2"/>
        <v>0</v>
      </c>
      <c r="K24" s="703">
        <f t="shared" ca="1" si="3"/>
        <v>0</v>
      </c>
      <c r="L24" s="703">
        <f t="shared" ca="1" si="4"/>
        <v>0</v>
      </c>
      <c r="M24" s="703"/>
      <c r="N24" s="693"/>
    </row>
    <row r="25" spans="1:16">
      <c r="A25" s="649" t="str">
        <f t="shared" ca="1" si="0"/>
        <v/>
      </c>
      <c r="B25" s="699" t="str">
        <f ca="1">IF(ROWS($1:12)&gt;COUNT(Dong11),"",OFFSET(TH!D$1,SMALL(Dong11,ROWS($1:12)),))</f>
        <v/>
      </c>
      <c r="C25" s="700" t="str">
        <f ca="1">IF(ROWS($1:12)&gt;COUNT(Dong11),"",OFFSET(TH!E$1,SMALL(Dong11,ROWS($1:12)),))</f>
        <v/>
      </c>
      <c r="D25" s="701" t="str">
        <f ca="1">IF(ROWS($1:12)&gt;COUNT(Dong11),"",OFFSET(TH!F$1,SMALL(Dong11,ROWS($1:12)),)&amp;" - "&amp;OFFSET(TH!H$1,SMALL(Dong11,ROWS($1:12)),))</f>
        <v/>
      </c>
      <c r="E25" s="699" t="str">
        <f ca="1">IF(ROWS($1:12)&gt;COUNT(Dong11),"",IF(OFFSET(TH!N$1,SMALL(Dong11,ROWS($1:12)),)=$G$7,OFFSET(TH!O$1,SMALL(Dong11,ROWS($1:12)),),OFFSET(TH!N$1,SMALL(Dong11,ROWS($1:12)),)))</f>
        <v/>
      </c>
      <c r="F25" s="702">
        <f ca="1">IF(ROWS($1:12)&gt;COUNT(Dong11),0,OFFSET(TH!J$1,SMALL(Dong11,ROWS($1:12)),))</f>
        <v>0</v>
      </c>
      <c r="G25" s="702">
        <f ca="1">IF(ROWS($1:12)&gt;COUNT(Dong11),0,IF(MID(OFFSET(TH!D$1,SMALL(Dong11,ROWS($1:12)),),4,1)="N",OFFSET(TH!I$1,SMALL(Dong11,ROWS($1:12)),),0))</f>
        <v>0</v>
      </c>
      <c r="H25" s="703">
        <f t="shared" ca="1" si="1"/>
        <v>0</v>
      </c>
      <c r="I25" s="702">
        <f ca="1">IF(ROWS($1:12)&gt;COUNT(Dong11),0,IF(MID(OFFSET(TH!D$1,SMALL(Dong11,ROWS($1:12)),),4,1)="X",OFFSET(TH!I$1,SMALL(Dong11,ROWS($1:12)),),0))</f>
        <v>0</v>
      </c>
      <c r="J25" s="703">
        <f t="shared" ca="1" si="2"/>
        <v>0</v>
      </c>
      <c r="K25" s="703">
        <f t="shared" ca="1" si="3"/>
        <v>0</v>
      </c>
      <c r="L25" s="703">
        <f t="shared" ca="1" si="4"/>
        <v>0</v>
      </c>
      <c r="M25" s="703"/>
      <c r="N25" s="693"/>
    </row>
    <row r="26" spans="1:16">
      <c r="A26" s="649" t="str">
        <f t="shared" ca="1" si="0"/>
        <v/>
      </c>
      <c r="B26" s="699" t="str">
        <f ca="1">IF(ROWS($1:13)&gt;COUNT(Dong11),"",OFFSET(TH!D$1,SMALL(Dong11,ROWS($1:13)),))</f>
        <v/>
      </c>
      <c r="C26" s="700" t="str">
        <f ca="1">IF(ROWS($1:13)&gt;COUNT(Dong11),"",OFFSET(TH!E$1,SMALL(Dong11,ROWS($1:13)),))</f>
        <v/>
      </c>
      <c r="D26" s="701" t="str">
        <f ca="1">IF(ROWS($1:13)&gt;COUNT(Dong11),"",OFFSET(TH!F$1,SMALL(Dong11,ROWS($1:13)),)&amp;" - "&amp;OFFSET(TH!H$1,SMALL(Dong11,ROWS($1:13)),))</f>
        <v/>
      </c>
      <c r="E26" s="699" t="str">
        <f ca="1">IF(ROWS($1:13)&gt;COUNT(Dong11),"",IF(OFFSET(TH!N$1,SMALL(Dong11,ROWS($1:13)),)=$G$7,OFFSET(TH!O$1,SMALL(Dong11,ROWS($1:13)),),OFFSET(TH!N$1,SMALL(Dong11,ROWS($1:13)),)))</f>
        <v/>
      </c>
      <c r="F26" s="702">
        <f ca="1">IF(ROWS($1:13)&gt;COUNT(Dong11),0,OFFSET(TH!J$1,SMALL(Dong11,ROWS($1:13)),))</f>
        <v>0</v>
      </c>
      <c r="G26" s="702">
        <f ca="1">IF(ROWS($1:13)&gt;COUNT(Dong11),0,IF(MID(OFFSET(TH!D$1,SMALL(Dong11,ROWS($1:13)),),4,1)="N",OFFSET(TH!I$1,SMALL(Dong11,ROWS($1:13)),),0))</f>
        <v>0</v>
      </c>
      <c r="H26" s="703">
        <f t="shared" ca="1" si="1"/>
        <v>0</v>
      </c>
      <c r="I26" s="702">
        <f ca="1">IF(ROWS($1:13)&gt;COUNT(Dong11),0,IF(MID(OFFSET(TH!D$1,SMALL(Dong11,ROWS($1:13)),),4,1)="X",OFFSET(TH!I$1,SMALL(Dong11,ROWS($1:13)),),0))</f>
        <v>0</v>
      </c>
      <c r="J26" s="703">
        <f t="shared" ca="1" si="2"/>
        <v>0</v>
      </c>
      <c r="K26" s="703">
        <f t="shared" ca="1" si="3"/>
        <v>0</v>
      </c>
      <c r="L26" s="703">
        <f t="shared" ca="1" si="4"/>
        <v>0</v>
      </c>
      <c r="M26" s="703"/>
      <c r="N26" s="693"/>
    </row>
    <row r="27" spans="1:16">
      <c r="A27" s="649" t="str">
        <f t="shared" ca="1" si="0"/>
        <v/>
      </c>
      <c r="B27" s="699" t="str">
        <f ca="1">IF(ROWS($1:14)&gt;COUNT(Dong11),"",OFFSET(TH!D$1,SMALL(Dong11,ROWS($1:14)),))</f>
        <v/>
      </c>
      <c r="C27" s="700" t="str">
        <f ca="1">IF(ROWS($1:14)&gt;COUNT(Dong11),"",OFFSET(TH!E$1,SMALL(Dong11,ROWS($1:14)),))</f>
        <v/>
      </c>
      <c r="D27" s="701" t="str">
        <f ca="1">IF(ROWS($1:14)&gt;COUNT(Dong11),"",OFFSET(TH!F$1,SMALL(Dong11,ROWS($1:14)),)&amp;" - "&amp;OFFSET(TH!H$1,SMALL(Dong11,ROWS($1:14)),))</f>
        <v/>
      </c>
      <c r="E27" s="699" t="str">
        <f ca="1">IF(ROWS($1:14)&gt;COUNT(Dong11),"",IF(OFFSET(TH!N$1,SMALL(Dong11,ROWS($1:14)),)=$G$7,OFFSET(TH!O$1,SMALL(Dong11,ROWS($1:14)),),OFFSET(TH!N$1,SMALL(Dong11,ROWS($1:14)),)))</f>
        <v/>
      </c>
      <c r="F27" s="702">
        <f ca="1">IF(ROWS($1:14)&gt;COUNT(Dong11),0,OFFSET(TH!J$1,SMALL(Dong11,ROWS($1:14)),))</f>
        <v>0</v>
      </c>
      <c r="G27" s="702">
        <f ca="1">IF(ROWS($1:14)&gt;COUNT(Dong11),0,IF(MID(OFFSET(TH!D$1,SMALL(Dong11,ROWS($1:14)),),4,1)="N",OFFSET(TH!I$1,SMALL(Dong11,ROWS($1:14)),),0))</f>
        <v>0</v>
      </c>
      <c r="H27" s="703">
        <f t="shared" ca="1" si="1"/>
        <v>0</v>
      </c>
      <c r="I27" s="702">
        <f ca="1">IF(ROWS($1:14)&gt;COUNT(Dong11),0,IF(MID(OFFSET(TH!D$1,SMALL(Dong11,ROWS($1:14)),),4,1)="X",OFFSET(TH!I$1,SMALL(Dong11,ROWS($1:14)),),0))</f>
        <v>0</v>
      </c>
      <c r="J27" s="703">
        <f t="shared" ca="1" si="2"/>
        <v>0</v>
      </c>
      <c r="K27" s="703">
        <f t="shared" ca="1" si="3"/>
        <v>0</v>
      </c>
      <c r="L27" s="703">
        <f t="shared" ca="1" si="4"/>
        <v>0</v>
      </c>
      <c r="M27" s="703"/>
      <c r="N27" s="693"/>
    </row>
    <row r="28" spans="1:16">
      <c r="A28" s="649" t="str">
        <f t="shared" ca="1" si="0"/>
        <v/>
      </c>
      <c r="B28" s="699" t="str">
        <f ca="1">IF(ROWS($1:15)&gt;COUNT(Dong11),"",OFFSET(TH!D$1,SMALL(Dong11,ROWS($1:15)),))</f>
        <v/>
      </c>
      <c r="C28" s="700" t="str">
        <f ca="1">IF(ROWS($1:15)&gt;COUNT(Dong11),"",OFFSET(TH!E$1,SMALL(Dong11,ROWS($1:15)),))</f>
        <v/>
      </c>
      <c r="D28" s="701" t="str">
        <f ca="1">IF(ROWS($1:15)&gt;COUNT(Dong11),"",OFFSET(TH!F$1,SMALL(Dong11,ROWS($1:15)),)&amp;" - "&amp;OFFSET(TH!H$1,SMALL(Dong11,ROWS($1:15)),))</f>
        <v/>
      </c>
      <c r="E28" s="699" t="str">
        <f ca="1">IF(ROWS($1:15)&gt;COUNT(Dong11),"",IF(OFFSET(TH!N$1,SMALL(Dong11,ROWS($1:15)),)=$G$7,OFFSET(TH!O$1,SMALL(Dong11,ROWS($1:15)),),OFFSET(TH!N$1,SMALL(Dong11,ROWS($1:15)),)))</f>
        <v/>
      </c>
      <c r="F28" s="702">
        <f ca="1">IF(ROWS($1:15)&gt;COUNT(Dong11),0,OFFSET(TH!J$1,SMALL(Dong11,ROWS($1:15)),))</f>
        <v>0</v>
      </c>
      <c r="G28" s="702">
        <f ca="1">IF(ROWS($1:15)&gt;COUNT(Dong11),0,IF(MID(OFFSET(TH!D$1,SMALL(Dong11,ROWS($1:15)),),4,1)="N",OFFSET(TH!I$1,SMALL(Dong11,ROWS($1:15)),),0))</f>
        <v>0</v>
      </c>
      <c r="H28" s="703">
        <f t="shared" ca="1" si="1"/>
        <v>0</v>
      </c>
      <c r="I28" s="702">
        <f ca="1">IF(ROWS($1:15)&gt;COUNT(Dong11),0,IF(MID(OFFSET(TH!D$1,SMALL(Dong11,ROWS($1:15)),),4,1)="X",OFFSET(TH!I$1,SMALL(Dong11,ROWS($1:15)),),0))</f>
        <v>0</v>
      </c>
      <c r="J28" s="703">
        <f t="shared" ca="1" si="2"/>
        <v>0</v>
      </c>
      <c r="K28" s="703">
        <f t="shared" ca="1" si="3"/>
        <v>0</v>
      </c>
      <c r="L28" s="703">
        <f t="shared" ca="1" si="4"/>
        <v>0</v>
      </c>
      <c r="M28" s="703"/>
      <c r="N28" s="693"/>
    </row>
    <row r="29" spans="1:16">
      <c r="A29" s="649" t="str">
        <f t="shared" ca="1" si="0"/>
        <v/>
      </c>
      <c r="B29" s="699" t="str">
        <f ca="1">IF(ROWS($1:16)&gt;COUNT(Dong11),"",OFFSET(TH!D$1,SMALL(Dong11,ROWS($1:16)),))</f>
        <v/>
      </c>
      <c r="C29" s="700" t="str">
        <f ca="1">IF(ROWS($1:16)&gt;COUNT(Dong11),"",OFFSET(TH!E$1,SMALL(Dong11,ROWS($1:16)),))</f>
        <v/>
      </c>
      <c r="D29" s="701" t="str">
        <f ca="1">IF(ROWS($1:16)&gt;COUNT(Dong11),"",OFFSET(TH!F$1,SMALL(Dong11,ROWS($1:16)),)&amp;" - "&amp;OFFSET(TH!H$1,SMALL(Dong11,ROWS($1:16)),))</f>
        <v/>
      </c>
      <c r="E29" s="699" t="str">
        <f ca="1">IF(ROWS($1:16)&gt;COUNT(Dong11),"",IF(OFFSET(TH!N$1,SMALL(Dong11,ROWS($1:16)),)=$G$7,OFFSET(TH!O$1,SMALL(Dong11,ROWS($1:16)),),OFFSET(TH!N$1,SMALL(Dong11,ROWS($1:16)),)))</f>
        <v/>
      </c>
      <c r="F29" s="702">
        <f ca="1">IF(ROWS($1:16)&gt;COUNT(Dong11),0,OFFSET(TH!J$1,SMALL(Dong11,ROWS($1:16)),))</f>
        <v>0</v>
      </c>
      <c r="G29" s="702">
        <f ca="1">IF(ROWS($1:16)&gt;COUNT(Dong11),0,IF(MID(OFFSET(TH!D$1,SMALL(Dong11,ROWS($1:16)),),4,1)="N",OFFSET(TH!I$1,SMALL(Dong11,ROWS($1:16)),),0))</f>
        <v>0</v>
      </c>
      <c r="H29" s="703">
        <f t="shared" ca="1" si="1"/>
        <v>0</v>
      </c>
      <c r="I29" s="702">
        <f ca="1">IF(ROWS($1:16)&gt;COUNT(Dong11),0,IF(MID(OFFSET(TH!D$1,SMALL(Dong11,ROWS($1:16)),),4,1)="X",OFFSET(TH!I$1,SMALL(Dong11,ROWS($1:16)),),0))</f>
        <v>0</v>
      </c>
      <c r="J29" s="703">
        <f t="shared" ca="1" si="2"/>
        <v>0</v>
      </c>
      <c r="K29" s="703">
        <f t="shared" ca="1" si="3"/>
        <v>0</v>
      </c>
      <c r="L29" s="703">
        <f t="shared" ca="1" si="4"/>
        <v>0</v>
      </c>
      <c r="M29" s="703"/>
      <c r="N29" s="693"/>
    </row>
    <row r="30" spans="1:16">
      <c r="A30" s="649" t="str">
        <f t="shared" ca="1" si="0"/>
        <v/>
      </c>
      <c r="B30" s="699" t="str">
        <f ca="1">IF(ROWS($1:17)&gt;COUNT(Dong11),"",OFFSET(TH!D$1,SMALL(Dong11,ROWS($1:17)),))</f>
        <v/>
      </c>
      <c r="C30" s="700" t="str">
        <f ca="1">IF(ROWS($1:17)&gt;COUNT(Dong11),"",OFFSET(TH!E$1,SMALL(Dong11,ROWS($1:17)),))</f>
        <v/>
      </c>
      <c r="D30" s="701" t="str">
        <f ca="1">IF(ROWS($1:17)&gt;COUNT(Dong11),"",OFFSET(TH!F$1,SMALL(Dong11,ROWS($1:17)),)&amp;" - "&amp;OFFSET(TH!H$1,SMALL(Dong11,ROWS($1:17)),))</f>
        <v/>
      </c>
      <c r="E30" s="699" t="str">
        <f ca="1">IF(ROWS($1:17)&gt;COUNT(Dong11),"",IF(OFFSET(TH!N$1,SMALL(Dong11,ROWS($1:17)),)=$G$7,OFFSET(TH!O$1,SMALL(Dong11,ROWS($1:17)),),OFFSET(TH!N$1,SMALL(Dong11,ROWS($1:17)),)))</f>
        <v/>
      </c>
      <c r="F30" s="702">
        <f ca="1">IF(ROWS($1:17)&gt;COUNT(Dong11),0,OFFSET(TH!J$1,SMALL(Dong11,ROWS($1:17)),))</f>
        <v>0</v>
      </c>
      <c r="G30" s="702">
        <f ca="1">IF(ROWS($1:17)&gt;COUNT(Dong11),0,IF(MID(OFFSET(TH!D$1,SMALL(Dong11,ROWS($1:17)),),4,1)="N",OFFSET(TH!I$1,SMALL(Dong11,ROWS($1:17)),),0))</f>
        <v>0</v>
      </c>
      <c r="H30" s="703">
        <f t="shared" ca="1" si="1"/>
        <v>0</v>
      </c>
      <c r="I30" s="702">
        <f ca="1">IF(ROWS($1:17)&gt;COUNT(Dong11),0,IF(MID(OFFSET(TH!D$1,SMALL(Dong11,ROWS($1:17)),),4,1)="X",OFFSET(TH!I$1,SMALL(Dong11,ROWS($1:17)),),0))</f>
        <v>0</v>
      </c>
      <c r="J30" s="703">
        <f t="shared" ca="1" si="2"/>
        <v>0</v>
      </c>
      <c r="K30" s="703">
        <f t="shared" ca="1" si="3"/>
        <v>0</v>
      </c>
      <c r="L30" s="703">
        <f t="shared" ca="1" si="4"/>
        <v>0</v>
      </c>
      <c r="M30" s="703"/>
      <c r="N30" s="693"/>
    </row>
    <row r="31" spans="1:16">
      <c r="A31" s="649" t="str">
        <f t="shared" si="0"/>
        <v/>
      </c>
      <c r="B31" s="706"/>
      <c r="C31" s="707"/>
      <c r="D31" s="708"/>
      <c r="E31" s="709"/>
      <c r="F31" s="710"/>
      <c r="G31" s="695"/>
      <c r="H31" s="695"/>
      <c r="I31" s="695"/>
      <c r="J31" s="695"/>
      <c r="K31" s="695"/>
      <c r="L31" s="695"/>
      <c r="M31" s="711"/>
      <c r="N31" s="693"/>
    </row>
    <row r="32" spans="1:16">
      <c r="A32" s="712"/>
      <c r="B32" s="712"/>
      <c r="C32" s="712"/>
      <c r="D32" s="712" t="s">
        <v>508</v>
      </c>
      <c r="E32" s="691" t="s">
        <v>21</v>
      </c>
      <c r="F32" s="691" t="s">
        <v>21</v>
      </c>
      <c r="G32" s="713">
        <f ca="1">SUM(G14:G31)</f>
        <v>7100</v>
      </c>
      <c r="H32" s="713">
        <f ca="1">SUM(H14:H31)</f>
        <v>0</v>
      </c>
      <c r="I32" s="713">
        <f ca="1">SUM(I14:I31)</f>
        <v>7100</v>
      </c>
      <c r="J32" s="713">
        <f ca="1">SUM(J14:J31)</f>
        <v>0</v>
      </c>
      <c r="K32" s="713">
        <f ca="1">K13+G32-I32</f>
        <v>0</v>
      </c>
      <c r="L32" s="713">
        <f ca="1">L13+H32-J32</f>
        <v>0</v>
      </c>
      <c r="M32" s="712"/>
      <c r="N32" s="693"/>
    </row>
    <row r="33" spans="2:14">
      <c r="B33" s="714" t="s">
        <v>509</v>
      </c>
      <c r="G33" s="705"/>
      <c r="N33" s="693"/>
    </row>
    <row r="34" spans="2:14">
      <c r="B34" s="715" t="str">
        <f ca="1">IF(ISERROR(" - Ngày mở sổ: ngày "&amp;DAY(C14)&amp;" tháng "&amp;MONTH(C14)&amp;" năm "&amp;YEAR(C14))," - Ngày mở sổ: ngày 01 tháng  01 năm 2016 "," - Ngày mở sổ: ngày "&amp;DAY(C14)&amp;" tháng "&amp;MONTH(C14)&amp;" năm "&amp;YEAR(C14))</f>
        <v xml:space="preserve"> - Ngày mở sổ: ngày 20 tháng 1 năm 2016</v>
      </c>
      <c r="G34" s="705"/>
      <c r="I34" s="705"/>
      <c r="N34" s="693"/>
    </row>
    <row r="35" spans="2:14">
      <c r="B35" s="680"/>
      <c r="C35" s="680"/>
      <c r="D35" s="680"/>
      <c r="F35" s="680"/>
      <c r="G35" s="716"/>
      <c r="H35" s="681"/>
      <c r="I35" s="717"/>
      <c r="J35" s="1218" t="s">
        <v>475</v>
      </c>
      <c r="K35" s="1218"/>
      <c r="L35" s="1218"/>
      <c r="M35" s="1218"/>
      <c r="N35" s="693"/>
    </row>
    <row r="36" spans="2:14">
      <c r="B36" s="1218" t="s">
        <v>11</v>
      </c>
      <c r="C36" s="1218"/>
      <c r="D36" s="1218"/>
      <c r="E36" s="1218" t="s">
        <v>12</v>
      </c>
      <c r="F36" s="1218"/>
      <c r="G36" s="1218"/>
      <c r="H36" s="1218"/>
      <c r="I36" s="1218"/>
      <c r="J36" s="1218" t="s">
        <v>132</v>
      </c>
      <c r="K36" s="1218"/>
      <c r="L36" s="1218"/>
      <c r="M36" s="1218"/>
      <c r="N36" s="693"/>
    </row>
    <row r="37" spans="2:14">
      <c r="B37" s="1218" t="s">
        <v>13</v>
      </c>
      <c r="C37" s="1218" t="s">
        <v>478</v>
      </c>
      <c r="D37" s="1218" t="s">
        <v>13</v>
      </c>
      <c r="E37" s="1218" t="s">
        <v>13</v>
      </c>
      <c r="F37" s="1218"/>
      <c r="G37" s="1218"/>
      <c r="H37" s="1218" t="s">
        <v>163</v>
      </c>
      <c r="I37" s="1218"/>
      <c r="J37" s="1218" t="s">
        <v>163</v>
      </c>
      <c r="K37" s="1218"/>
      <c r="L37" s="1218"/>
      <c r="M37" s="1218"/>
      <c r="N37" s="693"/>
    </row>
    <row r="38" spans="2:14">
      <c r="N38" s="718"/>
    </row>
    <row r="39" spans="2:14">
      <c r="E39" s="668"/>
    </row>
    <row r="41" spans="2:14" customFormat="1" ht="12.75">
      <c r="E41" s="719"/>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2"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5" customWidth="1"/>
    <col min="2" max="2" width="9.140625" style="725"/>
    <col min="3" max="3" width="9.140625" style="789" customWidth="1"/>
    <col min="4" max="4" width="10.85546875" style="789" customWidth="1"/>
    <col min="5" max="5" width="39.42578125" style="790" customWidth="1"/>
    <col min="6" max="6" width="10.85546875" style="791" customWidth="1"/>
    <col min="7" max="7" width="9" style="792" customWidth="1"/>
    <col min="8" max="8" width="9.5703125" style="792" customWidth="1"/>
    <col min="9" max="9" width="10" style="792" customWidth="1"/>
    <col min="10" max="10" width="8" style="725" customWidth="1"/>
    <col min="11" max="11" width="2.42578125" style="725" customWidth="1"/>
    <col min="12" max="12" width="6.5703125" style="725" customWidth="1"/>
    <col min="13" max="16384" width="9.140625" style="725"/>
  </cols>
  <sheetData>
    <row r="1" spans="1:12" ht="15" customHeight="1">
      <c r="A1" s="720" t="s">
        <v>195</v>
      </c>
      <c r="B1" s="721"/>
      <c r="C1" s="721"/>
      <c r="D1" s="721"/>
      <c r="E1" s="722"/>
      <c r="F1" s="721"/>
      <c r="G1" s="723"/>
      <c r="H1" s="724" t="s">
        <v>510</v>
      </c>
      <c r="I1" s="725"/>
      <c r="J1" s="726"/>
      <c r="K1" s="726"/>
      <c r="L1" s="727"/>
    </row>
    <row r="2" spans="1:12" ht="15" customHeight="1">
      <c r="A2" s="728" t="s">
        <v>334</v>
      </c>
      <c r="B2" s="729"/>
      <c r="C2" s="729"/>
      <c r="D2" s="729"/>
      <c r="E2" s="730"/>
      <c r="F2" s="731"/>
      <c r="G2" s="732"/>
      <c r="H2" s="733" t="s">
        <v>335</v>
      </c>
      <c r="I2" s="725"/>
      <c r="J2" s="726"/>
      <c r="K2" s="726"/>
    </row>
    <row r="3" spans="1:12" ht="15">
      <c r="A3" s="729"/>
      <c r="B3" s="729"/>
      <c r="C3" s="729"/>
      <c r="D3" s="729"/>
      <c r="E3" s="730"/>
      <c r="F3" s="731"/>
      <c r="G3" s="732"/>
      <c r="H3" s="733" t="s">
        <v>252</v>
      </c>
      <c r="I3" s="725"/>
      <c r="J3" s="726"/>
      <c r="K3" s="726"/>
    </row>
    <row r="4" spans="1:12" ht="18.75" customHeight="1">
      <c r="A4" s="734"/>
      <c r="B4" s="734"/>
      <c r="C4" s="734"/>
      <c r="D4" s="734"/>
      <c r="E4" s="735" t="s">
        <v>511</v>
      </c>
      <c r="F4" s="734"/>
      <c r="G4" s="734"/>
      <c r="H4" s="734"/>
      <c r="I4" s="734"/>
      <c r="J4" s="726"/>
      <c r="K4" s="726"/>
    </row>
    <row r="5" spans="1:12" ht="15">
      <c r="A5" s="736"/>
      <c r="B5" s="736"/>
      <c r="C5" s="736"/>
      <c r="D5" s="736"/>
      <c r="E5" s="737" t="str">
        <f ca="1">IF(ISERROR("Ngày lập thẻ: ngày "&amp;DAY(B14)&amp;"/"&amp;MONTH(B14)&amp;"/"&amp;YEAR(B14)),"Ngày lập thẻ: ngày 01/ 01/2016 ","Ngày lập thẻ: ngày "&amp;DAY(B14)&amp;"/"&amp;MONTH(B14)&amp;"/"&amp;YEAR(B14))</f>
        <v>Ngày lập thẻ: ngày 5/1/2016</v>
      </c>
      <c r="F5" s="736"/>
      <c r="G5" s="736"/>
      <c r="H5" s="736"/>
      <c r="I5" s="736"/>
      <c r="J5" s="726"/>
      <c r="K5" s="726"/>
    </row>
    <row r="6" spans="1:12" ht="15">
      <c r="A6" s="736"/>
      <c r="B6" s="736"/>
      <c r="C6" s="736"/>
      <c r="D6" s="736"/>
      <c r="E6" s="737" t="s">
        <v>512</v>
      </c>
      <c r="F6" s="736"/>
      <c r="G6" s="736"/>
      <c r="H6" s="736"/>
      <c r="I6" s="736"/>
      <c r="J6" s="726"/>
      <c r="K6" s="726"/>
    </row>
    <row r="7" spans="1:12" ht="15">
      <c r="A7" s="715" t="s">
        <v>513</v>
      </c>
      <c r="B7" s="715"/>
      <c r="C7" s="738"/>
      <c r="D7" s="738"/>
      <c r="E7" s="739" t="s">
        <v>364</v>
      </c>
      <c r="F7" s="731"/>
      <c r="G7" s="740"/>
      <c r="H7" s="740"/>
      <c r="I7" s="740"/>
      <c r="J7" s="726"/>
      <c r="K7" s="726"/>
    </row>
    <row r="8" spans="1:12" ht="15">
      <c r="A8" s="715" t="s">
        <v>514</v>
      </c>
      <c r="B8" s="715"/>
      <c r="C8" s="726" t="str">
        <f>VLOOKUP($E$7,NXT!$C$12:$L$52,2,0)</f>
        <v>kg</v>
      </c>
      <c r="D8" s="715"/>
      <c r="E8" s="739"/>
      <c r="F8" s="731"/>
      <c r="G8" s="740"/>
      <c r="H8" s="740"/>
      <c r="I8" s="740"/>
      <c r="J8" s="726"/>
      <c r="K8" s="726"/>
    </row>
    <row r="9" spans="1:12" ht="15">
      <c r="A9" s="1241" t="s">
        <v>515</v>
      </c>
      <c r="B9" s="1242"/>
      <c r="C9" s="1242"/>
      <c r="D9" s="1242"/>
      <c r="E9" s="739"/>
      <c r="F9" s="731"/>
      <c r="G9" s="740"/>
      <c r="H9" s="740"/>
      <c r="I9" s="740"/>
      <c r="J9" s="741"/>
      <c r="K9" s="741"/>
    </row>
    <row r="10" spans="1:12" ht="19.5" customHeight="1">
      <c r="A10" s="1243" t="s">
        <v>516</v>
      </c>
      <c r="B10" s="1244" t="s">
        <v>517</v>
      </c>
      <c r="C10" s="1246" t="s">
        <v>17</v>
      </c>
      <c r="D10" s="1232"/>
      <c r="E10" s="1247" t="s">
        <v>0</v>
      </c>
      <c r="F10" s="1239" t="s">
        <v>518</v>
      </c>
      <c r="G10" s="1231" t="s">
        <v>486</v>
      </c>
      <c r="H10" s="1231"/>
      <c r="I10" s="1232"/>
      <c r="J10" s="1233" t="s">
        <v>519</v>
      </c>
      <c r="K10" s="742"/>
      <c r="L10" s="743" t="s">
        <v>504</v>
      </c>
    </row>
    <row r="11" spans="1:12" ht="19.5" customHeight="1">
      <c r="A11" s="1243"/>
      <c r="B11" s="1245"/>
      <c r="C11" s="744" t="s">
        <v>501</v>
      </c>
      <c r="D11" s="744" t="s">
        <v>502</v>
      </c>
      <c r="E11" s="1248"/>
      <c r="F11" s="1240"/>
      <c r="G11" s="745" t="s">
        <v>501</v>
      </c>
      <c r="H11" s="745" t="s">
        <v>502</v>
      </c>
      <c r="I11" s="745" t="s">
        <v>503</v>
      </c>
      <c r="J11" s="1234"/>
      <c r="K11" s="742"/>
    </row>
    <row r="12" spans="1:12" ht="15">
      <c r="A12" s="746" t="s">
        <v>2</v>
      </c>
      <c r="B12" s="747" t="s">
        <v>3</v>
      </c>
      <c r="C12" s="748" t="s">
        <v>4</v>
      </c>
      <c r="D12" s="748" t="s">
        <v>5</v>
      </c>
      <c r="E12" s="749" t="s">
        <v>6</v>
      </c>
      <c r="F12" s="747" t="s">
        <v>157</v>
      </c>
      <c r="G12" s="750">
        <v>1</v>
      </c>
      <c r="H12" s="750">
        <v>2</v>
      </c>
      <c r="I12" s="750">
        <v>3</v>
      </c>
      <c r="J12" s="748" t="s">
        <v>158</v>
      </c>
      <c r="K12" s="751"/>
    </row>
    <row r="13" spans="1:12" ht="16.5" customHeight="1">
      <c r="A13" s="752"/>
      <c r="B13" s="753"/>
      <c r="C13" s="754"/>
      <c r="D13" s="754"/>
      <c r="E13" s="755" t="s">
        <v>349</v>
      </c>
      <c r="F13" s="753"/>
      <c r="G13" s="756"/>
      <c r="H13" s="756"/>
      <c r="I13" s="757">
        <f>VLOOKUP($E$7,NXT!$C$12:$L$52,3,0)</f>
        <v>300</v>
      </c>
      <c r="J13" s="752"/>
      <c r="K13" s="758"/>
    </row>
    <row r="14" spans="1:12" ht="16.5" customHeight="1">
      <c r="A14" s="759">
        <f ca="1">IF(B14&lt;&gt;"",ROW()-(ROW()-1),"")</f>
        <v>1</v>
      </c>
      <c r="B14" s="760">
        <f ca="1">IF(ROWS($1:1)&gt;COUNT(Dong12),"",OFFSET(TH!E$1,SMALL(Dong12,ROWS($1:1)),))</f>
        <v>42374</v>
      </c>
      <c r="C14" s="975" t="str">
        <f ca="1">IF(ROWS($1:1)&gt;COUNT(Dong12),"",IF(MID(OFFSET(TH!D$1,SMALL(Dong12,ROWS($1:1)),),4,1)="N",OFFSET(TH!D$1,SMALL(Dong12,ROWS($1:1)),),""))</f>
        <v>VL/N01</v>
      </c>
      <c r="D14" s="760" t="str">
        <f ca="1">IF(ROWS($1:1)&gt;COUNT(Dong12),"",IF(MID(OFFSET(TH!D$1,SMALL(Dong12,ROWS($1:1)),),4,1)="X",OFFSET(TH!D$1,SMALL(Dong12,ROWS($1:1)),),""))</f>
        <v/>
      </c>
      <c r="E14" s="761" t="str">
        <f ca="1">IF(ROWS($1:1)&gt;COUNT(Dong12),"",OFFSET(TH!F$1,SMALL(Dong12,ROWS($1:1)),)&amp;" - "&amp;OFFSET(TH!H$1,SMALL(Dong12,ROWS($1:1)),))</f>
        <v>Đường - Cty TNHH TM - DV Thanh Thanh</v>
      </c>
      <c r="F14" s="760">
        <f ca="1">B14</f>
        <v>42374</v>
      </c>
      <c r="G14" s="762">
        <f ca="1">IF(ROWS($1:1)&gt;COUNT(Dong12),0,IF(MID(OFFSET(TH!D$1,SMALL(Dong12,ROWS($1:1)),),4,1)="N",OFFSET(TH!I$1,SMALL(Dong12,ROWS($1:1)),),0))</f>
        <v>1000</v>
      </c>
      <c r="H14" s="762">
        <f ca="1">IF(ROWS($1:1)&gt;COUNT(Dong12),0,IF(MID(OFFSET(TH!D$1,SMALL(Dong12,ROWS($1:1)),),4,1)="X",OFFSET(TH!I$1,SMALL(Dong12,ROWS($1:1)),),0))</f>
        <v>0</v>
      </c>
      <c r="I14" s="763">
        <f ca="1">IF(E14&lt;&gt;"",I13+G14-H14,0)</f>
        <v>1300</v>
      </c>
      <c r="J14" s="764"/>
      <c r="K14" s="765"/>
    </row>
    <row r="15" spans="1:12" ht="16.5" customHeight="1">
      <c r="A15" s="766">
        <f ca="1">IF(B15&lt;&gt;"",A14+1,"")</f>
        <v>2</v>
      </c>
      <c r="B15" s="760">
        <f ca="1">IF(ROWS($1:2)&gt;COUNT(Dong12),"",OFFSET(TH!E$1,SMALL(Dong12,ROWS($1:2)),))</f>
        <v>42387</v>
      </c>
      <c r="C15" s="975" t="str">
        <f ca="1">IF(ROWS($1:2)&gt;COUNT(Dong12),"",IF(MID(OFFSET(TH!D$1,SMALL(Dong12,ROWS($1:2)),),4,1)="N",OFFSET(TH!D$1,SMALL(Dong12,ROWS($1:2)),),""))</f>
        <v>VL/N05</v>
      </c>
      <c r="D15" s="760" t="str">
        <f ca="1">IF(ROWS($1:2)&gt;COUNT(Dong12),"",IF(MID(OFFSET(TH!D$1,SMALL(Dong12,ROWS($1:2)),),4,1)="X",OFFSET(TH!D$1,SMALL(Dong12,ROWS($1:2)),),""))</f>
        <v/>
      </c>
      <c r="E15" s="761" t="str">
        <f ca="1">IF(ROWS($1:2)&gt;COUNT(Dong12),"",OFFSET(TH!F$1,SMALL(Dong12,ROWS($1:2)),)&amp;" - "&amp;OFFSET(TH!H$1,SMALL(Dong12,ROWS($1:2)),))</f>
        <v>Đường - Cty TNHH TM - DV Thanh Thanh</v>
      </c>
      <c r="F15" s="760">
        <f t="shared" ref="F15:F30" ca="1" si="0">B15</f>
        <v>42387</v>
      </c>
      <c r="G15" s="762">
        <f ca="1">IF(ROWS($1:2)&gt;COUNT(Dong12),0,IF(MID(OFFSET(TH!D$1,SMALL(Dong12,ROWS($1:2)),),4,1)="N",OFFSET(TH!I$1,SMALL(Dong12,ROWS($1:2)),),0))</f>
        <v>1000</v>
      </c>
      <c r="H15" s="762">
        <f ca="1">IF(ROWS($1:2)&gt;COUNT(Dong12),0,IF(MID(OFFSET(TH!D$1,SMALL(Dong12,ROWS($1:2)),),4,1)="X",OFFSET(TH!I$1,SMALL(Dong12,ROWS($1:2)),),0))</f>
        <v>0</v>
      </c>
      <c r="I15" s="763">
        <f t="shared" ref="I15:I30" ca="1" si="1">IF(E15&lt;&gt;"",I14+G15-H15,0)</f>
        <v>2300</v>
      </c>
      <c r="J15" s="764"/>
      <c r="K15" s="765"/>
    </row>
    <row r="16" spans="1:12" ht="16.5" customHeight="1">
      <c r="A16" s="766">
        <f t="shared" ref="A16:A30" ca="1" si="2">IF(B16&lt;&gt;"",A15+1,"")</f>
        <v>3</v>
      </c>
      <c r="B16" s="760">
        <f ca="1">IF(ROWS($1:3)&gt;COUNT(Dong12),"",OFFSET(TH!E$1,SMALL(Dong12,ROWS($1:3)),))</f>
        <v>42371</v>
      </c>
      <c r="C16" s="975" t="str">
        <f ca="1">IF(ROWS($1:3)&gt;COUNT(Dong12),"",IF(MID(OFFSET(TH!D$1,SMALL(Dong12,ROWS($1:3)),),4,1)="N",OFFSET(TH!D$1,SMALL(Dong12,ROWS($1:3)),),""))</f>
        <v/>
      </c>
      <c r="D16" s="760" t="str">
        <f ca="1">IF(ROWS($1:3)&gt;COUNT(Dong12),"",IF(MID(OFFSET(TH!D$1,SMALL(Dong12,ROWS($1:3)),),4,1)="X",OFFSET(TH!D$1,SMALL(Dong12,ROWS($1:3)),),""))</f>
        <v>VL/X01</v>
      </c>
      <c r="E16" s="761" t="str">
        <f ca="1">IF(ROWS($1:3)&gt;COUNT(Dong12),"",OFFSET(TH!F$1,SMALL(Dong12,ROWS($1:3)),)&amp;" - "&amp;OFFSET(TH!H$1,SMALL(Dong12,ROWS($1:3)),))</f>
        <v>Đường - Xuất SX</v>
      </c>
      <c r="F16" s="760">
        <f t="shared" ca="1" si="0"/>
        <v>42371</v>
      </c>
      <c r="G16" s="762">
        <f ca="1">IF(ROWS($1:3)&gt;COUNT(Dong12),0,IF(MID(OFFSET(TH!D$1,SMALL(Dong12,ROWS($1:3)),),4,1)="N",OFFSET(TH!I$1,SMALL(Dong12,ROWS($1:3)),),0))</f>
        <v>0</v>
      </c>
      <c r="H16" s="762">
        <f ca="1">IF(ROWS($1:3)&gt;COUNT(Dong12),0,IF(MID(OFFSET(TH!D$1,SMALL(Dong12,ROWS($1:3)),),4,1)="X",OFFSET(TH!I$1,SMALL(Dong12,ROWS($1:3)),),0))</f>
        <v>150</v>
      </c>
      <c r="I16" s="763">
        <f t="shared" ca="1" si="1"/>
        <v>2150</v>
      </c>
      <c r="J16" s="764"/>
      <c r="K16" s="765"/>
    </row>
    <row r="17" spans="1:11" ht="16.5" customHeight="1">
      <c r="A17" s="766" t="str">
        <f t="shared" ca="1" si="2"/>
        <v/>
      </c>
      <c r="B17" s="760" t="str">
        <f ca="1">IF(ROWS($1:4)&gt;COUNT(Dong12),"",OFFSET(TH!E$1,SMALL(Dong12,ROWS($1:4)),))</f>
        <v/>
      </c>
      <c r="C17" s="975" t="str">
        <f ca="1">IF(ROWS($1:4)&gt;COUNT(Dong12),"",IF(MID(OFFSET(TH!D$1,SMALL(Dong12,ROWS($1:4)),),4,1)="N",OFFSET(TH!D$1,SMALL(Dong12,ROWS($1:4)),),""))</f>
        <v/>
      </c>
      <c r="D17" s="760" t="str">
        <f ca="1">IF(ROWS($1:4)&gt;COUNT(Dong12),"",IF(MID(OFFSET(TH!D$1,SMALL(Dong12,ROWS($1:4)),),4,1)="X",OFFSET(TH!D$1,SMALL(Dong12,ROWS($1:4)),),""))</f>
        <v/>
      </c>
      <c r="E17" s="761" t="str">
        <f ca="1">IF(ROWS($1:4)&gt;COUNT(Dong12),"",OFFSET(TH!F$1,SMALL(Dong12,ROWS($1:4)),)&amp;" - "&amp;OFFSET(TH!H$1,SMALL(Dong12,ROWS($1:4)),))</f>
        <v/>
      </c>
      <c r="F17" s="760" t="str">
        <f t="shared" ca="1" si="0"/>
        <v/>
      </c>
      <c r="G17" s="762">
        <f ca="1">IF(ROWS($1:4)&gt;COUNT(Dong12),0,IF(MID(OFFSET(TH!D$1,SMALL(Dong12,ROWS($1:4)),),4,1)="N",OFFSET(TH!I$1,SMALL(Dong12,ROWS($1:4)),),0))</f>
        <v>0</v>
      </c>
      <c r="H17" s="762">
        <f ca="1">IF(ROWS($1:4)&gt;COUNT(Dong12),0,IF(MID(OFFSET(TH!D$1,SMALL(Dong12,ROWS($1:4)),),4,1)="X",OFFSET(TH!I$1,SMALL(Dong12,ROWS($1:4)),),0))</f>
        <v>0</v>
      </c>
      <c r="I17" s="763">
        <f t="shared" ca="1" si="1"/>
        <v>0</v>
      </c>
      <c r="J17" s="764"/>
      <c r="K17" s="765"/>
    </row>
    <row r="18" spans="1:11" ht="16.5" customHeight="1">
      <c r="A18" s="766" t="str">
        <f t="shared" ca="1" si="2"/>
        <v/>
      </c>
      <c r="B18" s="760" t="str">
        <f ca="1">IF(ROWS($1:5)&gt;COUNT(Dong12),"",OFFSET(TH!E$1,SMALL(Dong12,ROWS($1:5)),))</f>
        <v/>
      </c>
      <c r="C18" s="975" t="str">
        <f ca="1">IF(ROWS($1:5)&gt;COUNT(Dong12),"",IF(MID(OFFSET(TH!D$1,SMALL(Dong12,ROWS($1:5)),),4,1)="N",OFFSET(TH!D$1,SMALL(Dong12,ROWS($1:5)),),""))</f>
        <v/>
      </c>
      <c r="D18" s="760" t="str">
        <f ca="1">IF(ROWS($1:5)&gt;COUNT(Dong12),"",IF(MID(OFFSET(TH!D$1,SMALL(Dong12,ROWS($1:5)),),4,1)="X",OFFSET(TH!D$1,SMALL(Dong12,ROWS($1:5)),),""))</f>
        <v/>
      </c>
      <c r="E18" s="761" t="str">
        <f ca="1">IF(ROWS($1:5)&gt;COUNT(Dong12),"",OFFSET(TH!F$1,SMALL(Dong12,ROWS($1:5)),)&amp;" - "&amp;OFFSET(TH!H$1,SMALL(Dong12,ROWS($1:5)),))</f>
        <v/>
      </c>
      <c r="F18" s="760" t="str">
        <f t="shared" ca="1" si="0"/>
        <v/>
      </c>
      <c r="G18" s="762">
        <f ca="1">IF(ROWS($1:5)&gt;COUNT(Dong12),0,IF(MID(OFFSET(TH!D$1,SMALL(Dong12,ROWS($1:5)),),4,1)="N",OFFSET(TH!I$1,SMALL(Dong12,ROWS($1:5)),),0))</f>
        <v>0</v>
      </c>
      <c r="H18" s="762">
        <f ca="1">IF(ROWS($1:5)&gt;COUNT(Dong12),0,IF(MID(OFFSET(TH!D$1,SMALL(Dong12,ROWS($1:5)),),4,1)="X",OFFSET(TH!I$1,SMALL(Dong12,ROWS($1:5)),),0))</f>
        <v>0</v>
      </c>
      <c r="I18" s="763">
        <f t="shared" ca="1" si="1"/>
        <v>0</v>
      </c>
      <c r="J18" s="764"/>
      <c r="K18" s="765"/>
    </row>
    <row r="19" spans="1:11" ht="16.5" customHeight="1">
      <c r="A19" s="766" t="str">
        <f t="shared" ca="1" si="2"/>
        <v/>
      </c>
      <c r="B19" s="760" t="str">
        <f ca="1">IF(ROWS($1:6)&gt;COUNT(Dong12),"",OFFSET(TH!E$1,SMALL(Dong12,ROWS($1:6)),))</f>
        <v/>
      </c>
      <c r="C19" s="975" t="str">
        <f ca="1">IF(ROWS($1:6)&gt;COUNT(Dong12),"",IF(MID(OFFSET(TH!D$1,SMALL(Dong12,ROWS($1:6)),),4,1)="N",OFFSET(TH!D$1,SMALL(Dong12,ROWS($1:6)),),""))</f>
        <v/>
      </c>
      <c r="D19" s="760" t="str">
        <f ca="1">IF(ROWS($1:6)&gt;COUNT(Dong12),"",IF(MID(OFFSET(TH!D$1,SMALL(Dong12,ROWS($1:6)),),4,1)="X",OFFSET(TH!D$1,SMALL(Dong12,ROWS($1:6)),),""))</f>
        <v/>
      </c>
      <c r="E19" s="761" t="str">
        <f ca="1">IF(ROWS($1:6)&gt;COUNT(Dong12),"",OFFSET(TH!F$1,SMALL(Dong12,ROWS($1:6)),)&amp;" - "&amp;OFFSET(TH!H$1,SMALL(Dong12,ROWS($1:6)),))</f>
        <v/>
      </c>
      <c r="F19" s="760" t="str">
        <f t="shared" ca="1" si="0"/>
        <v/>
      </c>
      <c r="G19" s="762">
        <f ca="1">IF(ROWS($1:6)&gt;COUNT(Dong12),0,IF(MID(OFFSET(TH!D$1,SMALL(Dong12,ROWS($1:6)),),4,1)="N",OFFSET(TH!I$1,SMALL(Dong12,ROWS($1:6)),),0))</f>
        <v>0</v>
      </c>
      <c r="H19" s="762">
        <f ca="1">IF(ROWS($1:6)&gt;COUNT(Dong12),0,IF(MID(OFFSET(TH!D$1,SMALL(Dong12,ROWS($1:6)),),4,1)="X",OFFSET(TH!I$1,SMALL(Dong12,ROWS($1:6)),),0))</f>
        <v>0</v>
      </c>
      <c r="I19" s="763">
        <f t="shared" ca="1" si="1"/>
        <v>0</v>
      </c>
      <c r="J19" s="764"/>
      <c r="K19" s="765"/>
    </row>
    <row r="20" spans="1:11" ht="16.5" customHeight="1">
      <c r="A20" s="766" t="str">
        <f t="shared" ca="1" si="2"/>
        <v/>
      </c>
      <c r="B20" s="760" t="str">
        <f ca="1">IF(ROWS($1:7)&gt;COUNT(Dong12),"",OFFSET(TH!E$1,SMALL(Dong12,ROWS($1:7)),))</f>
        <v/>
      </c>
      <c r="C20" s="975" t="str">
        <f ca="1">IF(ROWS($1:7)&gt;COUNT(Dong12),"",IF(MID(OFFSET(TH!D$1,SMALL(Dong12,ROWS($1:7)),),4,1)="N",OFFSET(TH!D$1,SMALL(Dong12,ROWS($1:7)),),""))</f>
        <v/>
      </c>
      <c r="D20" s="760" t="str">
        <f ca="1">IF(ROWS($1:7)&gt;COUNT(Dong12),"",IF(MID(OFFSET(TH!D$1,SMALL(Dong12,ROWS($1:7)),),4,1)="X",OFFSET(TH!D$1,SMALL(Dong12,ROWS($1:7)),),""))</f>
        <v/>
      </c>
      <c r="E20" s="761" t="str">
        <f ca="1">IF(ROWS($1:7)&gt;COUNT(Dong12),"",OFFSET(TH!F$1,SMALL(Dong12,ROWS($1:7)),)&amp;" - "&amp;OFFSET(TH!H$1,SMALL(Dong12,ROWS($1:7)),))</f>
        <v/>
      </c>
      <c r="F20" s="760" t="str">
        <f t="shared" ca="1" si="0"/>
        <v/>
      </c>
      <c r="G20" s="762">
        <f ca="1">IF(ROWS($1:7)&gt;COUNT(Dong12),0,IF(MID(OFFSET(TH!D$1,SMALL(Dong12,ROWS($1:7)),),4,1)="N",OFFSET(TH!I$1,SMALL(Dong12,ROWS($1:7)),),0))</f>
        <v>0</v>
      </c>
      <c r="H20" s="762">
        <f ca="1">IF(ROWS($1:7)&gt;COUNT(Dong12),0,IF(MID(OFFSET(TH!D$1,SMALL(Dong12,ROWS($1:7)),),4,1)="X",OFFSET(TH!I$1,SMALL(Dong12,ROWS($1:7)),),0))</f>
        <v>0</v>
      </c>
      <c r="I20" s="763">
        <f t="shared" ca="1" si="1"/>
        <v>0</v>
      </c>
      <c r="J20" s="764"/>
      <c r="K20" s="765"/>
    </row>
    <row r="21" spans="1:11" ht="16.5" customHeight="1">
      <c r="A21" s="766" t="str">
        <f t="shared" ca="1" si="2"/>
        <v/>
      </c>
      <c r="B21" s="760" t="str">
        <f ca="1">IF(ROWS($1:8)&gt;COUNT(Dong12),"",OFFSET(TH!E$1,SMALL(Dong12,ROWS($1:8)),))</f>
        <v/>
      </c>
      <c r="C21" s="975" t="str">
        <f ca="1">IF(ROWS($1:8)&gt;COUNT(Dong12),"",IF(MID(OFFSET(TH!D$1,SMALL(Dong12,ROWS($1:8)),),4,1)="N",OFFSET(TH!D$1,SMALL(Dong12,ROWS($1:8)),),""))</f>
        <v/>
      </c>
      <c r="D21" s="760" t="str">
        <f ca="1">IF(ROWS($1:8)&gt;COUNT(Dong12),"",IF(MID(OFFSET(TH!D$1,SMALL(Dong12,ROWS($1:8)),),4,1)="X",OFFSET(TH!D$1,SMALL(Dong12,ROWS($1:8)),),""))</f>
        <v/>
      </c>
      <c r="E21" s="761" t="str">
        <f ca="1">IF(ROWS($1:8)&gt;COUNT(Dong12),"",OFFSET(TH!F$1,SMALL(Dong12,ROWS($1:8)),)&amp;" - "&amp;OFFSET(TH!H$1,SMALL(Dong12,ROWS($1:8)),))</f>
        <v/>
      </c>
      <c r="F21" s="760" t="str">
        <f t="shared" ca="1" si="0"/>
        <v/>
      </c>
      <c r="G21" s="762">
        <f ca="1">IF(ROWS($1:8)&gt;COUNT(Dong12),0,IF(MID(OFFSET(TH!D$1,SMALL(Dong12,ROWS($1:8)),),4,1)="N",OFFSET(TH!I$1,SMALL(Dong12,ROWS($1:8)),),0))</f>
        <v>0</v>
      </c>
      <c r="H21" s="762">
        <f ca="1">IF(ROWS($1:8)&gt;COUNT(Dong12),0,IF(MID(OFFSET(TH!D$1,SMALL(Dong12,ROWS($1:8)),),4,1)="X",OFFSET(TH!I$1,SMALL(Dong12,ROWS($1:8)),),0))</f>
        <v>0</v>
      </c>
      <c r="I21" s="763">
        <f t="shared" ca="1" si="1"/>
        <v>0</v>
      </c>
      <c r="J21" s="764"/>
      <c r="K21" s="765"/>
    </row>
    <row r="22" spans="1:11" ht="16.5" customHeight="1">
      <c r="A22" s="766" t="str">
        <f t="shared" ca="1" si="2"/>
        <v/>
      </c>
      <c r="B22" s="760" t="str">
        <f ca="1">IF(ROWS($1:9)&gt;COUNT(Dong12),"",OFFSET(TH!E$1,SMALL(Dong12,ROWS($1:9)),))</f>
        <v/>
      </c>
      <c r="C22" s="975" t="str">
        <f ca="1">IF(ROWS($1:9)&gt;COUNT(Dong12),"",IF(MID(OFFSET(TH!D$1,SMALL(Dong12,ROWS($1:9)),),4,1)="N",OFFSET(TH!D$1,SMALL(Dong12,ROWS($1:9)),),""))</f>
        <v/>
      </c>
      <c r="D22" s="760" t="str">
        <f ca="1">IF(ROWS($1:9)&gt;COUNT(Dong12),"",IF(MID(OFFSET(TH!D$1,SMALL(Dong12,ROWS($1:9)),),4,1)="X",OFFSET(TH!D$1,SMALL(Dong12,ROWS($1:9)),),""))</f>
        <v/>
      </c>
      <c r="E22" s="761" t="str">
        <f ca="1">IF(ROWS($1:9)&gt;COUNT(Dong12),"",OFFSET(TH!F$1,SMALL(Dong12,ROWS($1:9)),)&amp;" - "&amp;OFFSET(TH!H$1,SMALL(Dong12,ROWS($1:9)),))</f>
        <v/>
      </c>
      <c r="F22" s="760" t="str">
        <f t="shared" ca="1" si="0"/>
        <v/>
      </c>
      <c r="G22" s="762">
        <f ca="1">IF(ROWS($1:9)&gt;COUNT(Dong12),0,IF(MID(OFFSET(TH!D$1,SMALL(Dong12,ROWS($1:9)),),4,1)="N",OFFSET(TH!I$1,SMALL(Dong12,ROWS($1:9)),),0))</f>
        <v>0</v>
      </c>
      <c r="H22" s="762">
        <f ca="1">IF(ROWS($1:9)&gt;COUNT(Dong12),0,IF(MID(OFFSET(TH!D$1,SMALL(Dong12,ROWS($1:9)),),4,1)="X",OFFSET(TH!I$1,SMALL(Dong12,ROWS($1:9)),),0))</f>
        <v>0</v>
      </c>
      <c r="I22" s="763">
        <f t="shared" ca="1" si="1"/>
        <v>0</v>
      </c>
      <c r="J22" s="764"/>
      <c r="K22" s="765"/>
    </row>
    <row r="23" spans="1:11" ht="16.5" customHeight="1">
      <c r="A23" s="766" t="str">
        <f t="shared" ca="1" si="2"/>
        <v/>
      </c>
      <c r="B23" s="760" t="str">
        <f ca="1">IF(ROWS($1:10)&gt;COUNT(Dong12),"",OFFSET(TH!E$1,SMALL(Dong12,ROWS($1:10)),))</f>
        <v/>
      </c>
      <c r="C23" s="975" t="str">
        <f ca="1">IF(ROWS($1:10)&gt;COUNT(Dong12),"",IF(MID(OFFSET(TH!D$1,SMALL(Dong12,ROWS($1:10)),),4,1)="N",OFFSET(TH!D$1,SMALL(Dong12,ROWS($1:10)),),""))</f>
        <v/>
      </c>
      <c r="D23" s="760" t="str">
        <f ca="1">IF(ROWS($1:10)&gt;COUNT(Dong12),"",IF(MID(OFFSET(TH!D$1,SMALL(Dong12,ROWS($1:10)),),4,1)="X",OFFSET(TH!D$1,SMALL(Dong12,ROWS($1:10)),),""))</f>
        <v/>
      </c>
      <c r="E23" s="761" t="str">
        <f ca="1">IF(ROWS($1:10)&gt;COUNT(Dong12),"",OFFSET(TH!F$1,SMALL(Dong12,ROWS($1:10)),)&amp;" - "&amp;OFFSET(TH!H$1,SMALL(Dong12,ROWS($1:10)),))</f>
        <v/>
      </c>
      <c r="F23" s="760" t="str">
        <f t="shared" ca="1" si="0"/>
        <v/>
      </c>
      <c r="G23" s="762">
        <f ca="1">IF(ROWS($1:10)&gt;COUNT(Dong12),0,IF(MID(OFFSET(TH!D$1,SMALL(Dong12,ROWS($1:10)),),4,1)="N",OFFSET(TH!I$1,SMALL(Dong12,ROWS($1:10)),),0))</f>
        <v>0</v>
      </c>
      <c r="H23" s="762">
        <f ca="1">IF(ROWS($1:10)&gt;COUNT(Dong12),0,IF(MID(OFFSET(TH!D$1,SMALL(Dong12,ROWS($1:10)),),4,1)="X",OFFSET(TH!I$1,SMALL(Dong12,ROWS($1:10)),),0))</f>
        <v>0</v>
      </c>
      <c r="I23" s="763">
        <f t="shared" ca="1" si="1"/>
        <v>0</v>
      </c>
      <c r="J23" s="764"/>
      <c r="K23" s="765"/>
    </row>
    <row r="24" spans="1:11" ht="16.5" customHeight="1">
      <c r="A24" s="766" t="str">
        <f t="shared" ca="1" si="2"/>
        <v/>
      </c>
      <c r="B24" s="760" t="str">
        <f ca="1">IF(ROWS($1:11)&gt;COUNT(Dong12),"",OFFSET(TH!E$1,SMALL(Dong12,ROWS($1:11)),))</f>
        <v/>
      </c>
      <c r="C24" s="975" t="str">
        <f ca="1">IF(ROWS($1:11)&gt;COUNT(Dong12),"",IF(MID(OFFSET(TH!D$1,SMALL(Dong12,ROWS($1:11)),),4,1)="N",OFFSET(TH!D$1,SMALL(Dong12,ROWS($1:11)),),""))</f>
        <v/>
      </c>
      <c r="D24" s="760" t="str">
        <f ca="1">IF(ROWS($1:11)&gt;COUNT(Dong12),"",IF(MID(OFFSET(TH!D$1,SMALL(Dong12,ROWS($1:11)),),4,1)="X",OFFSET(TH!D$1,SMALL(Dong12,ROWS($1:11)),),""))</f>
        <v/>
      </c>
      <c r="E24" s="761" t="str">
        <f ca="1">IF(ROWS($1:11)&gt;COUNT(Dong12),"",OFFSET(TH!F$1,SMALL(Dong12,ROWS($1:11)),)&amp;" - "&amp;OFFSET(TH!H$1,SMALL(Dong12,ROWS($1:11)),))</f>
        <v/>
      </c>
      <c r="F24" s="760" t="str">
        <f t="shared" ca="1" si="0"/>
        <v/>
      </c>
      <c r="G24" s="762">
        <f ca="1">IF(ROWS($1:11)&gt;COUNT(Dong12),0,IF(MID(OFFSET(TH!D$1,SMALL(Dong12,ROWS($1:11)),),4,1)="N",OFFSET(TH!I$1,SMALL(Dong12,ROWS($1:11)),),0))</f>
        <v>0</v>
      </c>
      <c r="H24" s="762">
        <f ca="1">IF(ROWS($1:11)&gt;COUNT(Dong12),0,IF(MID(OFFSET(TH!D$1,SMALL(Dong12,ROWS($1:11)),),4,1)="X",OFFSET(TH!I$1,SMALL(Dong12,ROWS($1:11)),),0))</f>
        <v>0</v>
      </c>
      <c r="I24" s="763">
        <f t="shared" ca="1" si="1"/>
        <v>0</v>
      </c>
      <c r="J24" s="764"/>
      <c r="K24" s="765"/>
    </row>
    <row r="25" spans="1:11" ht="16.5" customHeight="1">
      <c r="A25" s="766" t="str">
        <f t="shared" ca="1" si="2"/>
        <v/>
      </c>
      <c r="B25" s="760" t="str">
        <f ca="1">IF(ROWS($1:12)&gt;COUNT(Dong12),"",OFFSET(TH!E$1,SMALL(Dong12,ROWS($1:12)),))</f>
        <v/>
      </c>
      <c r="C25" s="975" t="str">
        <f ca="1">IF(ROWS($1:12)&gt;COUNT(Dong12),"",IF(MID(OFFSET(TH!D$1,SMALL(Dong12,ROWS($1:12)),),4,1)="N",OFFSET(TH!D$1,SMALL(Dong12,ROWS($1:12)),),""))</f>
        <v/>
      </c>
      <c r="D25" s="760" t="str">
        <f ca="1">IF(ROWS($1:12)&gt;COUNT(Dong12),"",IF(MID(OFFSET(TH!D$1,SMALL(Dong12,ROWS($1:12)),),4,1)="X",OFFSET(TH!D$1,SMALL(Dong12,ROWS($1:12)),),""))</f>
        <v/>
      </c>
      <c r="E25" s="761" t="str">
        <f ca="1">IF(ROWS($1:12)&gt;COUNT(Dong12),"",OFFSET(TH!F$1,SMALL(Dong12,ROWS($1:12)),)&amp;" - "&amp;OFFSET(TH!H$1,SMALL(Dong12,ROWS($1:12)),))</f>
        <v/>
      </c>
      <c r="F25" s="760" t="str">
        <f t="shared" ca="1" si="0"/>
        <v/>
      </c>
      <c r="G25" s="762">
        <f ca="1">IF(ROWS($1:12)&gt;COUNT(Dong12),0,IF(MID(OFFSET(TH!D$1,SMALL(Dong12,ROWS($1:12)),),4,1)="N",OFFSET(TH!I$1,SMALL(Dong12,ROWS($1:12)),),0))</f>
        <v>0</v>
      </c>
      <c r="H25" s="762">
        <f ca="1">IF(ROWS($1:12)&gt;COUNT(Dong12),0,IF(MID(OFFSET(TH!D$1,SMALL(Dong12,ROWS($1:12)),),4,1)="X",OFFSET(TH!I$1,SMALL(Dong12,ROWS($1:12)),),0))</f>
        <v>0</v>
      </c>
      <c r="I25" s="763">
        <f t="shared" ca="1" si="1"/>
        <v>0</v>
      </c>
      <c r="J25" s="764"/>
      <c r="K25" s="765"/>
    </row>
    <row r="26" spans="1:11" ht="16.5" customHeight="1">
      <c r="A26" s="766" t="str">
        <f t="shared" ca="1" si="2"/>
        <v/>
      </c>
      <c r="B26" s="760" t="str">
        <f ca="1">IF(ROWS($1:13)&gt;COUNT(Dong12),"",OFFSET(TH!E$1,SMALL(Dong12,ROWS($1:13)),))</f>
        <v/>
      </c>
      <c r="C26" s="975" t="str">
        <f ca="1">IF(ROWS($1:13)&gt;COUNT(Dong12),"",IF(MID(OFFSET(TH!D$1,SMALL(Dong12,ROWS($1:13)),),4,1)="N",OFFSET(TH!D$1,SMALL(Dong12,ROWS($1:13)),),""))</f>
        <v/>
      </c>
      <c r="D26" s="760" t="str">
        <f ca="1">IF(ROWS($1:13)&gt;COUNT(Dong12),"",IF(MID(OFFSET(TH!D$1,SMALL(Dong12,ROWS($1:13)),),4,1)="X",OFFSET(TH!D$1,SMALL(Dong12,ROWS($1:13)),),""))</f>
        <v/>
      </c>
      <c r="E26" s="761" t="str">
        <f ca="1">IF(ROWS($1:13)&gt;COUNT(Dong12),"",OFFSET(TH!F$1,SMALL(Dong12,ROWS($1:13)),)&amp;" - "&amp;OFFSET(TH!H$1,SMALL(Dong12,ROWS($1:13)),))</f>
        <v/>
      </c>
      <c r="F26" s="760" t="str">
        <f t="shared" ca="1" si="0"/>
        <v/>
      </c>
      <c r="G26" s="762">
        <f ca="1">IF(ROWS($1:13)&gt;COUNT(Dong12),0,IF(MID(OFFSET(TH!D$1,SMALL(Dong12,ROWS($1:13)),),4,1)="N",OFFSET(TH!I$1,SMALL(Dong12,ROWS($1:13)),),0))</f>
        <v>0</v>
      </c>
      <c r="H26" s="762">
        <f ca="1">IF(ROWS($1:13)&gt;COUNT(Dong12),0,IF(MID(OFFSET(TH!D$1,SMALL(Dong12,ROWS($1:13)),),4,1)="X",OFFSET(TH!I$1,SMALL(Dong12,ROWS($1:13)),),0))</f>
        <v>0</v>
      </c>
      <c r="I26" s="763">
        <f t="shared" ca="1" si="1"/>
        <v>0</v>
      </c>
      <c r="J26" s="764"/>
      <c r="K26" s="765"/>
    </row>
    <row r="27" spans="1:11" ht="16.5" customHeight="1">
      <c r="A27" s="766" t="str">
        <f t="shared" ca="1" si="2"/>
        <v/>
      </c>
      <c r="B27" s="760" t="str">
        <f ca="1">IF(ROWS($1:14)&gt;COUNT(Dong12),"",OFFSET(TH!E$1,SMALL(Dong12,ROWS($1:14)),))</f>
        <v/>
      </c>
      <c r="C27" s="975" t="str">
        <f ca="1">IF(ROWS($1:14)&gt;COUNT(Dong12),"",IF(MID(OFFSET(TH!D$1,SMALL(Dong12,ROWS($1:14)),),4,1)="N",OFFSET(TH!D$1,SMALL(Dong12,ROWS($1:14)),),""))</f>
        <v/>
      </c>
      <c r="D27" s="760" t="str">
        <f ca="1">IF(ROWS($1:14)&gt;COUNT(Dong12),"",IF(MID(OFFSET(TH!D$1,SMALL(Dong12,ROWS($1:14)),),4,1)="X",OFFSET(TH!D$1,SMALL(Dong12,ROWS($1:14)),),""))</f>
        <v/>
      </c>
      <c r="E27" s="761" t="str">
        <f ca="1">IF(ROWS($1:14)&gt;COUNT(Dong12),"",OFFSET(TH!F$1,SMALL(Dong12,ROWS($1:14)),)&amp;" - "&amp;OFFSET(TH!H$1,SMALL(Dong12,ROWS($1:14)),))</f>
        <v/>
      </c>
      <c r="F27" s="760" t="str">
        <f t="shared" ca="1" si="0"/>
        <v/>
      </c>
      <c r="G27" s="762">
        <f ca="1">IF(ROWS($1:14)&gt;COUNT(Dong12),0,IF(MID(OFFSET(TH!D$1,SMALL(Dong12,ROWS($1:14)),),4,1)="N",OFFSET(TH!I$1,SMALL(Dong12,ROWS($1:14)),),0))</f>
        <v>0</v>
      </c>
      <c r="H27" s="762">
        <f ca="1">IF(ROWS($1:14)&gt;COUNT(Dong12),0,IF(MID(OFFSET(TH!D$1,SMALL(Dong12,ROWS($1:14)),),4,1)="X",OFFSET(TH!I$1,SMALL(Dong12,ROWS($1:14)),),0))</f>
        <v>0</v>
      </c>
      <c r="I27" s="763">
        <f t="shared" ca="1" si="1"/>
        <v>0</v>
      </c>
      <c r="J27" s="764"/>
      <c r="K27" s="765"/>
    </row>
    <row r="28" spans="1:11" ht="16.5" customHeight="1">
      <c r="A28" s="766" t="str">
        <f t="shared" ca="1" si="2"/>
        <v/>
      </c>
      <c r="B28" s="760" t="str">
        <f ca="1">IF(ROWS($1:15)&gt;COUNT(Dong12),"",OFFSET(TH!E$1,SMALL(Dong12,ROWS($1:15)),))</f>
        <v/>
      </c>
      <c r="C28" s="975" t="str">
        <f ca="1">IF(ROWS($1:15)&gt;COUNT(Dong12),"",IF(MID(OFFSET(TH!D$1,SMALL(Dong12,ROWS($1:15)),),4,1)="N",OFFSET(TH!D$1,SMALL(Dong12,ROWS($1:15)),),""))</f>
        <v/>
      </c>
      <c r="D28" s="760" t="str">
        <f ca="1">IF(ROWS($1:15)&gt;COUNT(Dong12),"",IF(MID(OFFSET(TH!D$1,SMALL(Dong12,ROWS($1:15)),),4,1)="X",OFFSET(TH!D$1,SMALL(Dong12,ROWS($1:15)),),""))</f>
        <v/>
      </c>
      <c r="E28" s="761" t="str">
        <f ca="1">IF(ROWS($1:15)&gt;COUNT(Dong12),"",OFFSET(TH!F$1,SMALL(Dong12,ROWS($1:15)),)&amp;" - "&amp;OFFSET(TH!H$1,SMALL(Dong12,ROWS($1:15)),))</f>
        <v/>
      </c>
      <c r="F28" s="760" t="str">
        <f t="shared" ca="1" si="0"/>
        <v/>
      </c>
      <c r="G28" s="762">
        <f ca="1">IF(ROWS($1:15)&gt;COUNT(Dong12),0,IF(MID(OFFSET(TH!D$1,SMALL(Dong12,ROWS($1:15)),),4,1)="N",OFFSET(TH!I$1,SMALL(Dong12,ROWS($1:15)),),0))</f>
        <v>0</v>
      </c>
      <c r="H28" s="762">
        <f ca="1">IF(ROWS($1:15)&gt;COUNT(Dong12),0,IF(MID(OFFSET(TH!D$1,SMALL(Dong12,ROWS($1:15)),),4,1)="X",OFFSET(TH!I$1,SMALL(Dong12,ROWS($1:15)),),0))</f>
        <v>0</v>
      </c>
      <c r="I28" s="763">
        <f t="shared" ca="1" si="1"/>
        <v>0</v>
      </c>
      <c r="J28" s="764"/>
      <c r="K28" s="765"/>
    </row>
    <row r="29" spans="1:11" ht="16.5" customHeight="1">
      <c r="A29" s="766" t="str">
        <f t="shared" ca="1" si="2"/>
        <v/>
      </c>
      <c r="B29" s="760" t="str">
        <f ca="1">IF(ROWS($1:16)&gt;COUNT(Dong12),"",OFFSET(TH!E$1,SMALL(Dong12,ROWS($1:16)),))</f>
        <v/>
      </c>
      <c r="C29" s="975" t="str">
        <f ca="1">IF(ROWS($1:16)&gt;COUNT(Dong12),"",IF(MID(OFFSET(TH!D$1,SMALL(Dong12,ROWS($1:16)),),4,1)="N",OFFSET(TH!D$1,SMALL(Dong12,ROWS($1:16)),),""))</f>
        <v/>
      </c>
      <c r="D29" s="760" t="str">
        <f ca="1">IF(ROWS($1:16)&gt;COUNT(Dong12),"",IF(MID(OFFSET(TH!D$1,SMALL(Dong12,ROWS($1:16)),),4,1)="X",OFFSET(TH!D$1,SMALL(Dong12,ROWS($1:16)),),""))</f>
        <v/>
      </c>
      <c r="E29" s="761" t="str">
        <f ca="1">IF(ROWS($1:16)&gt;COUNT(Dong12),"",OFFSET(TH!F$1,SMALL(Dong12,ROWS($1:16)),)&amp;" - "&amp;OFFSET(TH!H$1,SMALL(Dong12,ROWS($1:16)),))</f>
        <v/>
      </c>
      <c r="F29" s="760" t="str">
        <f t="shared" ca="1" si="0"/>
        <v/>
      </c>
      <c r="G29" s="762">
        <f ca="1">IF(ROWS($1:16)&gt;COUNT(Dong12),0,IF(MID(OFFSET(TH!D$1,SMALL(Dong12,ROWS($1:16)),),4,1)="N",OFFSET(TH!I$1,SMALL(Dong12,ROWS($1:16)),),0))</f>
        <v>0</v>
      </c>
      <c r="H29" s="762">
        <f ca="1">IF(ROWS($1:16)&gt;COUNT(Dong12),0,IF(MID(OFFSET(TH!D$1,SMALL(Dong12,ROWS($1:16)),),4,1)="X",OFFSET(TH!I$1,SMALL(Dong12,ROWS($1:16)),),0))</f>
        <v>0</v>
      </c>
      <c r="I29" s="763">
        <f t="shared" ca="1" si="1"/>
        <v>0</v>
      </c>
      <c r="J29" s="764"/>
      <c r="K29" s="765"/>
    </row>
    <row r="30" spans="1:11" ht="16.5" customHeight="1">
      <c r="A30" s="766" t="str">
        <f t="shared" ca="1" si="2"/>
        <v/>
      </c>
      <c r="B30" s="760" t="str">
        <f ca="1">IF(ROWS($1:17)&gt;COUNT(Dong12),"",OFFSET(TH!E$1,SMALL(Dong12,ROWS($1:17)),))</f>
        <v/>
      </c>
      <c r="C30" s="975" t="str">
        <f ca="1">IF(ROWS($1:17)&gt;COUNT(Dong12),"",IF(MID(OFFSET(TH!D$1,SMALL(Dong12,ROWS($1:17)),),4,1)="N",OFFSET(TH!D$1,SMALL(Dong12,ROWS($1:17)),),""))</f>
        <v/>
      </c>
      <c r="D30" s="760" t="str">
        <f ca="1">IF(ROWS($1:17)&gt;COUNT(Dong12),"",IF(MID(OFFSET(TH!D$1,SMALL(Dong12,ROWS($1:17)),),4,1)="X",OFFSET(TH!D$1,SMALL(Dong12,ROWS($1:17)),),""))</f>
        <v/>
      </c>
      <c r="E30" s="761" t="str">
        <f ca="1">IF(ROWS($1:17)&gt;COUNT(Dong12),"",OFFSET(TH!F$1,SMALL(Dong12,ROWS($1:17)),)&amp;" - "&amp;OFFSET(TH!H$1,SMALL(Dong12,ROWS($1:17)),))</f>
        <v/>
      </c>
      <c r="F30" s="760" t="str">
        <f t="shared" ca="1" si="0"/>
        <v/>
      </c>
      <c r="G30" s="762">
        <f ca="1">IF(ROWS($1:17)&gt;COUNT(Dong12),0,IF(MID(OFFSET(TH!D$1,SMALL(Dong12,ROWS($1:17)),),4,1)="N",OFFSET(TH!I$1,SMALL(Dong12,ROWS($1:17)),),0))</f>
        <v>0</v>
      </c>
      <c r="H30" s="762">
        <f ca="1">IF(ROWS($1:17)&gt;COUNT(Dong12),0,IF(MID(OFFSET(TH!D$1,SMALL(Dong12,ROWS($1:17)),),4,1)="X",OFFSET(TH!I$1,SMALL(Dong12,ROWS($1:17)),),0))</f>
        <v>0</v>
      </c>
      <c r="I30" s="763">
        <f t="shared" ca="1" si="1"/>
        <v>0</v>
      </c>
      <c r="J30" s="764"/>
      <c r="K30" s="765"/>
    </row>
    <row r="31" spans="1:11" ht="16.5" customHeight="1">
      <c r="A31" s="767" t="str">
        <f>IF(D31&lt;&gt;"",A21+1,"")</f>
        <v/>
      </c>
      <c r="B31" s="768"/>
      <c r="C31" s="769"/>
      <c r="D31" s="769"/>
      <c r="E31" s="770"/>
      <c r="F31" s="768"/>
      <c r="G31" s="771"/>
      <c r="H31" s="771"/>
      <c r="I31" s="771"/>
      <c r="J31" s="772"/>
      <c r="K31" s="765"/>
    </row>
    <row r="32" spans="1:11" ht="16.5" customHeight="1">
      <c r="A32" s="754"/>
      <c r="B32" s="773"/>
      <c r="C32" s="754"/>
      <c r="D32" s="754"/>
      <c r="E32" s="755" t="s">
        <v>520</v>
      </c>
      <c r="F32" s="774" t="s">
        <v>21</v>
      </c>
      <c r="G32" s="775">
        <f ca="1">SUM(G14:G31)</f>
        <v>2000</v>
      </c>
      <c r="H32" s="775">
        <f ca="1">SUM(H14:H31)</f>
        <v>150</v>
      </c>
      <c r="I32" s="775">
        <f ca="1">I13+G32-H32</f>
        <v>2150</v>
      </c>
      <c r="J32" s="754" t="s">
        <v>21</v>
      </c>
      <c r="K32" s="776"/>
    </row>
    <row r="33" spans="1:11" ht="12.75" customHeight="1">
      <c r="A33" s="777"/>
      <c r="B33" s="731"/>
      <c r="C33" s="777"/>
      <c r="D33" s="777"/>
      <c r="E33" s="739"/>
      <c r="F33" s="731"/>
      <c r="G33" s="740"/>
      <c r="H33" s="740"/>
      <c r="I33" s="740"/>
      <c r="J33" s="726"/>
      <c r="K33" s="726"/>
    </row>
    <row r="34" spans="1:11" ht="15">
      <c r="A34" s="778" t="s">
        <v>521</v>
      </c>
      <c r="B34" s="778"/>
      <c r="C34" s="779"/>
      <c r="D34" s="779"/>
      <c r="E34" s="739"/>
      <c r="F34" s="731"/>
      <c r="G34" s="740"/>
      <c r="H34" s="740"/>
      <c r="I34" s="740"/>
      <c r="J34" s="726"/>
      <c r="K34" s="726"/>
    </row>
    <row r="35" spans="1:11" ht="15">
      <c r="A35" s="1235"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236"/>
      <c r="C35" s="1236"/>
      <c r="D35" s="1236"/>
      <c r="E35" s="1236"/>
      <c r="F35" s="731"/>
      <c r="G35" s="740"/>
      <c r="H35" s="740"/>
      <c r="I35" s="740"/>
      <c r="J35" s="726"/>
      <c r="K35" s="726"/>
    </row>
    <row r="36" spans="1:11" ht="15">
      <c r="A36" s="780"/>
      <c r="B36" s="781"/>
      <c r="C36" s="782"/>
      <c r="D36" s="777"/>
      <c r="E36" s="739"/>
      <c r="F36" s="731"/>
      <c r="G36" s="1201" t="s">
        <v>475</v>
      </c>
      <c r="H36" s="1201"/>
      <c r="I36" s="1201"/>
      <c r="J36" s="1201"/>
      <c r="K36" s="627"/>
    </row>
    <row r="37" spans="1:11" ht="15">
      <c r="A37" s="780"/>
      <c r="B37" s="783" t="s">
        <v>522</v>
      </c>
      <c r="C37" s="780"/>
      <c r="D37" s="777"/>
      <c r="E37" s="1237" t="s">
        <v>12</v>
      </c>
      <c r="F37" s="1237"/>
      <c r="G37" s="740"/>
      <c r="H37" s="1238" t="s">
        <v>132</v>
      </c>
      <c r="I37" s="1238"/>
      <c r="J37" s="1238"/>
      <c r="K37" s="780"/>
    </row>
    <row r="38" spans="1:11" ht="15">
      <c r="A38" s="784"/>
      <c r="B38" s="785" t="s">
        <v>13</v>
      </c>
      <c r="C38" s="784"/>
      <c r="D38" s="786"/>
      <c r="E38" s="1229" t="s">
        <v>13</v>
      </c>
      <c r="F38" s="1229"/>
      <c r="G38" s="740"/>
      <c r="H38" s="1230" t="s">
        <v>163</v>
      </c>
      <c r="I38" s="1230"/>
      <c r="J38" s="1230"/>
      <c r="K38" s="784"/>
    </row>
    <row r="39" spans="1:11" ht="15">
      <c r="A39" s="784"/>
      <c r="B39" s="785"/>
      <c r="C39" s="784"/>
      <c r="D39" s="777"/>
      <c r="E39" s="787"/>
      <c r="F39" s="788"/>
      <c r="G39" s="740"/>
      <c r="H39" s="784"/>
      <c r="I39" s="784"/>
      <c r="J39" s="784"/>
      <c r="K39" s="784"/>
    </row>
    <row r="40" spans="1:11" ht="15">
      <c r="A40" s="784"/>
      <c r="B40" s="785"/>
      <c r="C40" s="784"/>
      <c r="D40" s="777"/>
      <c r="E40" s="787"/>
      <c r="F40" s="788"/>
      <c r="G40" s="740"/>
      <c r="H40" s="784"/>
      <c r="I40" s="784"/>
      <c r="J40" s="784"/>
      <c r="K40" s="784"/>
    </row>
    <row r="41" spans="1:11" ht="15">
      <c r="A41" s="784"/>
      <c r="B41" s="785"/>
      <c r="C41" s="784"/>
      <c r="D41" s="777"/>
      <c r="E41" s="787"/>
      <c r="F41" s="788"/>
      <c r="G41" s="740"/>
      <c r="H41" s="784"/>
      <c r="I41" s="784"/>
      <c r="J41" s="784"/>
      <c r="K41" s="784"/>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5" customWidth="1"/>
    <col min="2" max="2" width="26.85546875" style="793" customWidth="1"/>
    <col min="3" max="3" width="5.85546875" style="793" customWidth="1"/>
    <col min="4" max="4" width="8" style="793" customWidth="1"/>
    <col min="5" max="5" width="25.42578125" style="793" customWidth="1"/>
    <col min="6" max="6" width="10.7109375" style="793" bestFit="1" customWidth="1"/>
    <col min="7" max="7" width="16.42578125" style="793" customWidth="1"/>
    <col min="8" max="8" width="7.85546875" style="797" customWidth="1"/>
    <col min="9" max="9" width="9" style="797" customWidth="1"/>
    <col min="10" max="10" width="13.140625" style="793" customWidth="1"/>
    <col min="11" max="12" width="6.7109375" style="793" customWidth="1"/>
    <col min="13" max="13" width="7.140625" style="794" customWidth="1"/>
    <col min="14" max="14" width="18.7109375" style="794" customWidth="1"/>
    <col min="15" max="85" width="10.28515625" style="794" customWidth="1"/>
    <col min="86" max="16384" width="9.140625" style="793"/>
  </cols>
  <sheetData>
    <row r="1" spans="1:86" ht="15.95" customHeight="1">
      <c r="A1" s="1252" t="s">
        <v>523</v>
      </c>
      <c r="B1" s="1252"/>
      <c r="C1" s="1252"/>
      <c r="D1" s="1252"/>
      <c r="E1" s="1252"/>
      <c r="F1" s="1252"/>
      <c r="G1" s="1252"/>
      <c r="H1" s="1252"/>
      <c r="I1" s="1252"/>
      <c r="J1" s="1253" t="s">
        <v>524</v>
      </c>
      <c r="K1" s="1254"/>
      <c r="M1" s="793"/>
      <c r="CH1" s="794"/>
    </row>
    <row r="2" spans="1:86" ht="15.95" customHeight="1">
      <c r="A2" s="1252"/>
      <c r="B2" s="1252"/>
      <c r="C2" s="1252"/>
      <c r="D2" s="1252"/>
      <c r="E2" s="1252"/>
      <c r="F2" s="1252"/>
      <c r="G2" s="1252"/>
      <c r="H2" s="1252"/>
      <c r="I2" s="1252"/>
      <c r="J2" s="1255"/>
      <c r="K2" s="1256"/>
      <c r="M2" s="793"/>
      <c r="CH2" s="794"/>
    </row>
    <row r="3" spans="1:86" ht="12.75" customHeight="1">
      <c r="A3" s="1252"/>
      <c r="B3" s="1252"/>
      <c r="C3" s="1252"/>
      <c r="D3" s="1252"/>
      <c r="E3" s="1252"/>
      <c r="F3" s="1252"/>
      <c r="G3" s="1252"/>
      <c r="H3" s="1252"/>
      <c r="I3" s="1252"/>
      <c r="J3" s="1255"/>
      <c r="K3" s="1256"/>
      <c r="M3" s="793"/>
      <c r="CH3" s="794"/>
    </row>
    <row r="4" spans="1:86" ht="18" customHeight="1">
      <c r="A4" s="1259" t="str">
        <f>"( " &amp; IF(OR($M$11=1,$M$11=4,$M$11=6,$M$11=9,$M$11=11),"Ngày  30  tháng  "&amp;$M$11&amp;"  năm 2016",IF(OR($M$11=3,$M$11=5,$M$11=7,$M$11=8,$M$11=10,$M$11=12),"Ngày  31  tháng  "&amp;$M$11&amp;"  năm 2016","Ngày  29  tháng  "&amp;$M$11&amp;"  năm 2016")) &amp; " ) "</f>
        <v xml:space="preserve">( Ngày  30  tháng  1  năm 2016 ) </v>
      </c>
      <c r="B4" s="1259"/>
      <c r="C4" s="1259"/>
      <c r="D4" s="1259"/>
      <c r="E4" s="1259"/>
      <c r="F4" s="1259"/>
      <c r="G4" s="1259"/>
      <c r="H4" s="1259"/>
      <c r="I4" s="1259"/>
      <c r="J4" s="1257"/>
      <c r="K4" s="1258"/>
      <c r="M4" s="793"/>
      <c r="CH4" s="794"/>
    </row>
    <row r="5" spans="1:86" ht="15" hidden="1" customHeight="1">
      <c r="E5" s="796"/>
      <c r="F5" s="796"/>
    </row>
    <row r="6" spans="1:86" ht="18" customHeight="1">
      <c r="A6" s="795" t="s">
        <v>525</v>
      </c>
      <c r="G6" s="793" t="s">
        <v>526</v>
      </c>
    </row>
    <row r="7" spans="1:86" ht="18" customHeight="1">
      <c r="A7" s="795" t="s">
        <v>527</v>
      </c>
    </row>
    <row r="8" spans="1:86" ht="18" hidden="1" customHeight="1">
      <c r="A8" s="795" t="s">
        <v>528</v>
      </c>
    </row>
    <row r="9" spans="1:86" ht="18" hidden="1" customHeight="1">
      <c r="A9" s="795" t="s">
        <v>529</v>
      </c>
    </row>
    <row r="10" spans="1:86" ht="10.5" hidden="1" customHeight="1">
      <c r="M10" s="798"/>
    </row>
    <row r="11" spans="1:86" s="799" customFormat="1" ht="17.25" customHeight="1">
      <c r="A11" s="1260" t="s">
        <v>597</v>
      </c>
      <c r="B11" s="1262" t="s">
        <v>530</v>
      </c>
      <c r="C11" s="1263"/>
      <c r="D11" s="1263"/>
      <c r="E11" s="1263"/>
      <c r="F11" s="1264"/>
      <c r="G11" s="1265" t="s">
        <v>531</v>
      </c>
      <c r="H11" s="1265"/>
      <c r="I11" s="1265"/>
      <c r="J11" s="1265"/>
      <c r="K11" s="1266" t="s">
        <v>154</v>
      </c>
      <c r="M11" s="800">
        <v>1</v>
      </c>
      <c r="N11" s="801"/>
      <c r="O11" s="801"/>
      <c r="P11" s="801"/>
      <c r="Q11" s="801"/>
      <c r="R11" s="801"/>
      <c r="S11" s="801"/>
      <c r="T11" s="801"/>
      <c r="U11" s="801"/>
      <c r="V11" s="801"/>
      <c r="W11" s="801"/>
      <c r="X11" s="801"/>
      <c r="Y11" s="801"/>
      <c r="Z11" s="801"/>
      <c r="AA11" s="801"/>
      <c r="AB11" s="801"/>
      <c r="AC11" s="801"/>
      <c r="AD11" s="801"/>
      <c r="AE11" s="801"/>
      <c r="AF11" s="801"/>
      <c r="AG11" s="801"/>
      <c r="AH11" s="801"/>
      <c r="AI11" s="801"/>
      <c r="AJ11" s="801"/>
      <c r="AK11" s="801"/>
      <c r="AL11" s="801"/>
      <c r="AM11" s="801"/>
      <c r="AN11" s="801"/>
      <c r="AO11" s="801"/>
      <c r="AP11" s="801"/>
      <c r="AQ11" s="801"/>
      <c r="AR11" s="801"/>
      <c r="AS11" s="801"/>
      <c r="AT11" s="801"/>
      <c r="AU11" s="801"/>
      <c r="AV11" s="801"/>
      <c r="AW11" s="801"/>
      <c r="AX11" s="801"/>
      <c r="AY11" s="801"/>
      <c r="AZ11" s="801"/>
      <c r="BA11" s="801"/>
      <c r="BB11" s="801"/>
      <c r="BC11" s="801"/>
      <c r="BD11" s="801"/>
      <c r="BE11" s="801"/>
      <c r="BF11" s="801"/>
      <c r="BG11" s="801"/>
      <c r="BH11" s="801"/>
      <c r="BI11" s="801"/>
      <c r="BJ11" s="801"/>
      <c r="BK11" s="801"/>
      <c r="BL11" s="801"/>
      <c r="BM11" s="801"/>
      <c r="BN11" s="801"/>
      <c r="BO11" s="801"/>
      <c r="BP11" s="801"/>
      <c r="BQ11" s="801"/>
      <c r="BR11" s="801"/>
      <c r="BS11" s="801"/>
      <c r="BT11" s="801"/>
      <c r="BU11" s="801"/>
      <c r="BV11" s="801"/>
      <c r="BW11" s="801"/>
      <c r="BX11" s="801"/>
      <c r="BY11" s="801"/>
      <c r="BZ11" s="801"/>
      <c r="CA11" s="801"/>
      <c r="CB11" s="801"/>
      <c r="CC11" s="801"/>
      <c r="CD11" s="801"/>
      <c r="CE11" s="801"/>
      <c r="CF11" s="801"/>
      <c r="CG11" s="801"/>
    </row>
    <row r="12" spans="1:86" s="804" customFormat="1" ht="36" customHeight="1">
      <c r="A12" s="1261"/>
      <c r="B12" s="802" t="s">
        <v>532</v>
      </c>
      <c r="C12" s="802"/>
      <c r="D12" s="802" t="s">
        <v>533</v>
      </c>
      <c r="E12" s="802" t="s">
        <v>534</v>
      </c>
      <c r="F12" s="802" t="s">
        <v>535</v>
      </c>
      <c r="G12" s="802" t="s">
        <v>536</v>
      </c>
      <c r="H12" s="803" t="s">
        <v>486</v>
      </c>
      <c r="I12" s="803" t="s">
        <v>487</v>
      </c>
      <c r="J12" s="802" t="s">
        <v>537</v>
      </c>
      <c r="K12" s="1267"/>
      <c r="M12" s="805"/>
      <c r="N12" s="805"/>
      <c r="O12" s="805"/>
      <c r="P12" s="805"/>
      <c r="Q12" s="805"/>
      <c r="R12" s="805"/>
      <c r="S12" s="805"/>
      <c r="T12" s="805"/>
      <c r="U12" s="805"/>
      <c r="V12" s="805"/>
      <c r="W12" s="805"/>
      <c r="X12" s="805"/>
      <c r="Y12" s="805"/>
      <c r="Z12" s="805"/>
      <c r="AA12" s="805"/>
      <c r="AB12" s="805"/>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c r="BC12" s="805"/>
      <c r="BD12" s="805"/>
      <c r="BE12" s="805"/>
      <c r="BF12" s="805"/>
      <c r="BG12" s="805"/>
      <c r="BH12" s="805"/>
      <c r="BI12" s="805"/>
      <c r="BJ12" s="805"/>
      <c r="BK12" s="805"/>
      <c r="BL12" s="805"/>
      <c r="BM12" s="805"/>
      <c r="BN12" s="805"/>
      <c r="BO12" s="805"/>
      <c r="BP12" s="805"/>
      <c r="BQ12" s="805"/>
      <c r="BR12" s="805"/>
      <c r="BS12" s="805"/>
      <c r="BT12" s="805"/>
      <c r="BU12" s="805"/>
      <c r="BV12" s="805"/>
      <c r="BW12" s="805"/>
      <c r="BX12" s="805"/>
      <c r="BY12" s="805"/>
      <c r="BZ12" s="805"/>
      <c r="CA12" s="805"/>
      <c r="CB12" s="805"/>
      <c r="CC12" s="805"/>
      <c r="CD12" s="805"/>
      <c r="CE12" s="805"/>
      <c r="CF12" s="805"/>
      <c r="CG12" s="805"/>
    </row>
    <row r="13" spans="1:86" s="810" customFormat="1" ht="9.75" customHeight="1">
      <c r="A13" s="806" t="s">
        <v>182</v>
      </c>
      <c r="B13" s="807">
        <v>2</v>
      </c>
      <c r="C13" s="807"/>
      <c r="D13" s="807"/>
      <c r="E13" s="807">
        <v>3</v>
      </c>
      <c r="F13" s="807">
        <v>4</v>
      </c>
      <c r="G13" s="807">
        <v>5</v>
      </c>
      <c r="H13" s="808" t="s">
        <v>538</v>
      </c>
      <c r="I13" s="808" t="s">
        <v>539</v>
      </c>
      <c r="J13" s="807">
        <v>8</v>
      </c>
      <c r="K13" s="807">
        <v>9</v>
      </c>
      <c r="L13" s="809"/>
      <c r="M13" s="809"/>
      <c r="N13" s="809"/>
      <c r="O13" s="809"/>
      <c r="P13" s="809"/>
      <c r="Q13" s="809"/>
      <c r="R13" s="809"/>
      <c r="S13" s="809"/>
      <c r="T13" s="809"/>
      <c r="U13" s="809"/>
      <c r="V13" s="809"/>
      <c r="W13" s="809"/>
      <c r="X13" s="809"/>
      <c r="Y13" s="809"/>
      <c r="Z13" s="809"/>
      <c r="AA13" s="809"/>
      <c r="AB13" s="809"/>
      <c r="AC13" s="809"/>
      <c r="AD13" s="809"/>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c r="BC13" s="809"/>
      <c r="BD13" s="809"/>
      <c r="BE13" s="809"/>
      <c r="BF13" s="809"/>
      <c r="BG13" s="809"/>
      <c r="BH13" s="809"/>
      <c r="BI13" s="809"/>
      <c r="BJ13" s="809"/>
      <c r="BK13" s="809"/>
      <c r="BL13" s="809"/>
      <c r="BM13" s="809"/>
      <c r="BN13" s="809"/>
      <c r="BO13" s="809"/>
      <c r="BP13" s="809"/>
      <c r="BQ13" s="809"/>
      <c r="BR13" s="809"/>
      <c r="BS13" s="809"/>
      <c r="BT13" s="809"/>
      <c r="BU13" s="809"/>
      <c r="BV13" s="809"/>
      <c r="BW13" s="809"/>
      <c r="BX13" s="809"/>
      <c r="BY13" s="809"/>
      <c r="BZ13" s="809"/>
      <c r="CA13" s="809"/>
      <c r="CB13" s="809"/>
      <c r="CC13" s="809"/>
      <c r="CD13" s="809"/>
      <c r="CE13" s="809"/>
      <c r="CF13" s="809"/>
      <c r="CG13" s="809"/>
    </row>
    <row r="14" spans="1:86" s="817" customFormat="1" ht="21.75" customHeight="1">
      <c r="A14" s="255" t="str">
        <f ca="1">IF(ROWS($1:1)&gt;COUNT(Dong13),"",OFFSET(TH!E$1,SMALL(Dong13,ROWS($1:1)),))</f>
        <v/>
      </c>
      <c r="B14" s="265" t="str">
        <f ca="1">IF(ROWS($1:1)&gt;COUNT(Dong13),"",OFFSET(TH!H$1,SMALL(Dong13,ROWS($1:1)),))</f>
        <v/>
      </c>
      <c r="C14" s="811" t="str">
        <f t="shared" ref="C14:C40" ca="1" si="0">IF(ISNA(VLOOKUP($B14,DSNL,6,0)),"",VLOOKUP($B14,DSNL,6,0))</f>
        <v/>
      </c>
      <c r="D14" s="811" t="str">
        <f ca="1">IF(ROWS($1:1)&gt;COUNT(Dong13),"",OFFSET(TH!D$1,SMALL(Dong13,ROWS($1:1)),))</f>
        <v/>
      </c>
      <c r="E14" s="812" t="str">
        <f t="shared" ref="E14:E40" ca="1" si="1">IF(ISNA(VLOOKUP($B14,DSNL,4,0)),"",VLOOKUP($B14,DSNL,4,0))</f>
        <v/>
      </c>
      <c r="F14" s="812" t="str">
        <f t="shared" ref="F14:F40" ca="1" si="2">IF(ISNA(VLOOKUP($B14,DSNL,3,0)),"",VLOOKUP($B14,DSNL,3,0))</f>
        <v/>
      </c>
      <c r="G14" s="813" t="str">
        <f ca="1">IF(ROWS($1:1)&gt;COUNT(Dong13),"",OFFSET(TH!F$1,SMALL(Dong13,ROWS($1:1)),))</f>
        <v/>
      </c>
      <c r="H14" s="814" t="str">
        <f ca="1">IF(ROWS($1:1)&gt;COUNT(Dong13),"",OFFSET(TH!I$1,SMALL(Dong13,ROWS($1:1)),))</f>
        <v/>
      </c>
      <c r="I14" s="814" t="str">
        <f ca="1">IF(ROWS($1:1)&gt;COUNT(Dong13),"",OFFSET(TH!J$1,SMALL(Dong13,ROWS($1:1)),))</f>
        <v/>
      </c>
      <c r="J14" s="815">
        <f ca="1">IF(B14&lt;&gt;"",H14*I14,0)</f>
        <v>0</v>
      </c>
      <c r="K14" s="815"/>
      <c r="L14" s="816"/>
      <c r="M14" s="794"/>
      <c r="N14" s="794"/>
      <c r="O14" s="794"/>
      <c r="P14" s="794"/>
      <c r="Q14" s="794"/>
      <c r="R14" s="794"/>
      <c r="S14" s="794"/>
      <c r="T14" s="794"/>
      <c r="U14" s="794"/>
      <c r="V14" s="794"/>
      <c r="W14" s="794"/>
      <c r="X14" s="794"/>
      <c r="Y14" s="794"/>
      <c r="Z14" s="794"/>
      <c r="AA14" s="794"/>
      <c r="AB14" s="794"/>
      <c r="AC14" s="794"/>
      <c r="AD14" s="794"/>
      <c r="AE14" s="794"/>
      <c r="AF14" s="794"/>
      <c r="AG14" s="794"/>
      <c r="AH14" s="794"/>
      <c r="AI14" s="794"/>
      <c r="AJ14" s="794"/>
      <c r="AK14" s="794"/>
      <c r="AL14" s="794"/>
      <c r="AM14" s="794"/>
      <c r="AN14" s="794"/>
      <c r="AO14" s="794"/>
      <c r="AP14" s="794"/>
      <c r="AQ14" s="794"/>
      <c r="AR14" s="794"/>
      <c r="AS14" s="794"/>
      <c r="AT14" s="794"/>
      <c r="AU14" s="794"/>
      <c r="AV14" s="794"/>
      <c r="AW14" s="794"/>
      <c r="AX14" s="794"/>
      <c r="AY14" s="794"/>
      <c r="AZ14" s="794"/>
      <c r="BA14" s="794"/>
      <c r="BB14" s="794"/>
      <c r="BC14" s="794"/>
      <c r="BD14" s="794"/>
      <c r="BE14" s="794"/>
      <c r="BF14" s="794"/>
      <c r="BG14" s="794"/>
      <c r="BH14" s="794"/>
      <c r="BI14" s="794"/>
      <c r="BJ14" s="794"/>
      <c r="BK14" s="794"/>
      <c r="BL14" s="794"/>
      <c r="BM14" s="794"/>
      <c r="BN14" s="794"/>
      <c r="BO14" s="794"/>
      <c r="BP14" s="794"/>
      <c r="BQ14" s="794"/>
      <c r="BR14" s="794"/>
      <c r="BS14" s="794"/>
      <c r="BT14" s="794"/>
      <c r="BU14" s="794"/>
      <c r="BV14" s="794"/>
      <c r="BW14" s="794"/>
      <c r="BX14" s="794"/>
      <c r="BY14" s="794"/>
      <c r="BZ14" s="794"/>
      <c r="CA14" s="794"/>
      <c r="CB14" s="794"/>
      <c r="CC14" s="794"/>
      <c r="CD14" s="794"/>
      <c r="CE14" s="794"/>
      <c r="CF14" s="794"/>
      <c r="CG14" s="794"/>
    </row>
    <row r="15" spans="1:86" s="817" customFormat="1" ht="21.75" customHeight="1">
      <c r="A15" s="255" t="str">
        <f ca="1">IF(ROWS($1:2)&gt;COUNT(Dong13),"",OFFSET(TH!E$1,SMALL(Dong13,ROWS($1:2)),))</f>
        <v/>
      </c>
      <c r="B15" s="265" t="str">
        <f ca="1">IF(ROWS($1:2)&gt;COUNT(Dong13),"",OFFSET(TH!H$1,SMALL(Dong13,ROWS($1:2)),))</f>
        <v/>
      </c>
      <c r="C15" s="811" t="str">
        <f t="shared" ca="1" si="0"/>
        <v/>
      </c>
      <c r="D15" s="811" t="str">
        <f ca="1">IF(ROWS($1:2)&gt;COUNT(Dong13),"",OFFSET(TH!D$1,SMALL(Dong13,ROWS($1:2)),))</f>
        <v/>
      </c>
      <c r="E15" s="812" t="str">
        <f t="shared" ca="1" si="1"/>
        <v/>
      </c>
      <c r="F15" s="812" t="str">
        <f t="shared" ca="1" si="2"/>
        <v/>
      </c>
      <c r="G15" s="813" t="str">
        <f ca="1">IF(ROWS($1:2)&gt;COUNT(Dong13),"",OFFSET(TH!F$1,SMALL(Dong13,ROWS($1:2)),))</f>
        <v/>
      </c>
      <c r="H15" s="814" t="str">
        <f ca="1">IF(ROWS($1:2)&gt;COUNT(Dong13),"",OFFSET(TH!I$1,SMALL(Dong13,ROWS($1:2)),))</f>
        <v/>
      </c>
      <c r="I15" s="814" t="str">
        <f ca="1">IF(ROWS($1:2)&gt;COUNT(Dong13),"",OFFSET(TH!J$1,SMALL(Dong13,ROWS($1:2)),))</f>
        <v/>
      </c>
      <c r="J15" s="815">
        <f t="shared" ref="J15:J40" ca="1" si="3">IF(B15&lt;&gt;"",H15*I15,0)</f>
        <v>0</v>
      </c>
      <c r="K15" s="818"/>
      <c r="L15" s="816"/>
      <c r="M15" s="794"/>
      <c r="N15" s="794"/>
      <c r="O15" s="794"/>
      <c r="P15" s="794"/>
      <c r="Q15" s="794"/>
      <c r="R15" s="794"/>
      <c r="S15" s="794"/>
      <c r="T15" s="794"/>
      <c r="U15" s="794"/>
      <c r="V15" s="794"/>
      <c r="W15" s="794"/>
      <c r="X15" s="794"/>
      <c r="Y15" s="794"/>
      <c r="Z15" s="794"/>
      <c r="AA15" s="794"/>
      <c r="AB15" s="794"/>
      <c r="AC15" s="794"/>
      <c r="AD15" s="794"/>
      <c r="AE15" s="794"/>
      <c r="AF15" s="794"/>
      <c r="AG15" s="794"/>
      <c r="AH15" s="794"/>
      <c r="AI15" s="794"/>
      <c r="AJ15" s="794"/>
      <c r="AK15" s="794"/>
      <c r="AL15" s="794"/>
      <c r="AM15" s="794"/>
      <c r="AN15" s="794"/>
      <c r="AO15" s="794"/>
      <c r="AP15" s="794"/>
      <c r="AQ15" s="794"/>
      <c r="AR15" s="794"/>
      <c r="AS15" s="794"/>
      <c r="AT15" s="794"/>
      <c r="AU15" s="794"/>
      <c r="AV15" s="794"/>
      <c r="AW15" s="794"/>
      <c r="AX15" s="794"/>
      <c r="AY15" s="794"/>
      <c r="AZ15" s="794"/>
      <c r="BA15" s="794"/>
      <c r="BB15" s="794"/>
      <c r="BC15" s="794"/>
      <c r="BD15" s="794"/>
      <c r="BE15" s="794"/>
      <c r="BF15" s="794"/>
      <c r="BG15" s="794"/>
      <c r="BH15" s="794"/>
      <c r="BI15" s="794"/>
      <c r="BJ15" s="794"/>
      <c r="BK15" s="794"/>
      <c r="BL15" s="794"/>
      <c r="BM15" s="794"/>
      <c r="BN15" s="794"/>
      <c r="BO15" s="794"/>
      <c r="BP15" s="794"/>
      <c r="BQ15" s="794"/>
      <c r="BR15" s="794"/>
      <c r="BS15" s="794"/>
      <c r="BT15" s="794"/>
      <c r="BU15" s="794"/>
      <c r="BV15" s="794"/>
      <c r="BW15" s="794"/>
      <c r="BX15" s="794"/>
      <c r="BY15" s="794"/>
      <c r="BZ15" s="794"/>
      <c r="CA15" s="794"/>
      <c r="CB15" s="794"/>
      <c r="CC15" s="794"/>
      <c r="CD15" s="794"/>
      <c r="CE15" s="794"/>
      <c r="CF15" s="794"/>
      <c r="CG15" s="794"/>
    </row>
    <row r="16" spans="1:86" s="817" customFormat="1" ht="21.75" customHeight="1">
      <c r="A16" s="255" t="str">
        <f ca="1">IF(ROWS($1:3)&gt;COUNT(Dong13),"",OFFSET(TH!E$1,SMALL(Dong13,ROWS($1:3)),))</f>
        <v/>
      </c>
      <c r="B16" s="265" t="str">
        <f ca="1">IF(ROWS($1:3)&gt;COUNT(Dong13),"",OFFSET(TH!H$1,SMALL(Dong13,ROWS($1:3)),))</f>
        <v/>
      </c>
      <c r="C16" s="811" t="str">
        <f t="shared" ca="1" si="0"/>
        <v/>
      </c>
      <c r="D16" s="811" t="str">
        <f ca="1">IF(ROWS($1:3)&gt;COUNT(Dong13),"",OFFSET(TH!D$1,SMALL(Dong13,ROWS($1:3)),))</f>
        <v/>
      </c>
      <c r="E16" s="812" t="str">
        <f t="shared" ca="1" si="1"/>
        <v/>
      </c>
      <c r="F16" s="812" t="str">
        <f t="shared" ca="1" si="2"/>
        <v/>
      </c>
      <c r="G16" s="813" t="str">
        <f ca="1">IF(ROWS($1:3)&gt;COUNT(Dong13),"",OFFSET(TH!F$1,SMALL(Dong13,ROWS($1:3)),))</f>
        <v/>
      </c>
      <c r="H16" s="814" t="str">
        <f ca="1">IF(ROWS($1:3)&gt;COUNT(Dong13),"",OFFSET(TH!I$1,SMALL(Dong13,ROWS($1:3)),))</f>
        <v/>
      </c>
      <c r="I16" s="814" t="str">
        <f ca="1">IF(ROWS($1:3)&gt;COUNT(Dong13),"",OFFSET(TH!J$1,SMALL(Dong13,ROWS($1:3)),))</f>
        <v/>
      </c>
      <c r="J16" s="815">
        <f t="shared" ca="1" si="3"/>
        <v>0</v>
      </c>
      <c r="K16" s="818"/>
      <c r="L16" s="816"/>
      <c r="M16" s="794"/>
      <c r="N16" s="794"/>
      <c r="O16" s="794"/>
      <c r="P16" s="794"/>
      <c r="Q16" s="794"/>
      <c r="R16" s="794"/>
      <c r="S16" s="794"/>
      <c r="T16" s="794"/>
      <c r="U16" s="794"/>
      <c r="V16" s="794"/>
      <c r="W16" s="794"/>
      <c r="X16" s="794"/>
      <c r="Y16" s="794"/>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c r="BC16" s="794"/>
      <c r="BD16" s="794"/>
      <c r="BE16" s="794"/>
      <c r="BF16" s="794"/>
      <c r="BG16" s="794"/>
      <c r="BH16" s="794"/>
      <c r="BI16" s="794"/>
      <c r="BJ16" s="794"/>
      <c r="BK16" s="794"/>
      <c r="BL16" s="794"/>
      <c r="BM16" s="794"/>
      <c r="BN16" s="794"/>
      <c r="BO16" s="794"/>
      <c r="BP16" s="794"/>
      <c r="BQ16" s="794"/>
      <c r="BR16" s="794"/>
      <c r="BS16" s="794"/>
      <c r="BT16" s="794"/>
      <c r="BU16" s="794"/>
      <c r="BV16" s="794"/>
      <c r="BW16" s="794"/>
      <c r="BX16" s="794"/>
      <c r="BY16" s="794"/>
      <c r="BZ16" s="794"/>
      <c r="CA16" s="794"/>
      <c r="CB16" s="794"/>
      <c r="CC16" s="794"/>
      <c r="CD16" s="794"/>
      <c r="CE16" s="794"/>
      <c r="CF16" s="794"/>
      <c r="CG16" s="794"/>
    </row>
    <row r="17" spans="1:85" s="817" customFormat="1" ht="21.75" customHeight="1">
      <c r="A17" s="255" t="str">
        <f ca="1">IF(ROWS($1:4)&gt;COUNT(Dong13),"",OFFSET(TH!E$1,SMALL(Dong13,ROWS($1:4)),))</f>
        <v/>
      </c>
      <c r="B17" s="265" t="str">
        <f ca="1">IF(ROWS($1:4)&gt;COUNT(Dong13),"",OFFSET(TH!H$1,SMALL(Dong13,ROWS($1:4)),))</f>
        <v/>
      </c>
      <c r="C17" s="811" t="str">
        <f t="shared" ca="1" si="0"/>
        <v/>
      </c>
      <c r="D17" s="811" t="str">
        <f ca="1">IF(ROWS($1:4)&gt;COUNT(Dong13),"",OFFSET(TH!D$1,SMALL(Dong13,ROWS($1:4)),))</f>
        <v/>
      </c>
      <c r="E17" s="812" t="str">
        <f t="shared" ca="1" si="1"/>
        <v/>
      </c>
      <c r="F17" s="812" t="str">
        <f t="shared" ca="1" si="2"/>
        <v/>
      </c>
      <c r="G17" s="813" t="str">
        <f ca="1">IF(ROWS($1:4)&gt;COUNT(Dong13),"",OFFSET(TH!F$1,SMALL(Dong13,ROWS($1:4)),))</f>
        <v/>
      </c>
      <c r="H17" s="814" t="str">
        <f ca="1">IF(ROWS($1:4)&gt;COUNT(Dong13),"",OFFSET(TH!I$1,SMALL(Dong13,ROWS($1:4)),))</f>
        <v/>
      </c>
      <c r="I17" s="814" t="str">
        <f ca="1">IF(ROWS($1:4)&gt;COUNT(Dong13),"",OFFSET(TH!J$1,SMALL(Dong13,ROWS($1:4)),))</f>
        <v/>
      </c>
      <c r="J17" s="815">
        <f t="shared" ca="1" si="3"/>
        <v>0</v>
      </c>
      <c r="K17" s="818"/>
      <c r="L17" s="816"/>
      <c r="M17" s="794"/>
      <c r="N17" s="794"/>
      <c r="O17" s="794"/>
      <c r="P17" s="794"/>
      <c r="Q17" s="794"/>
      <c r="R17" s="794"/>
      <c r="S17" s="794"/>
      <c r="T17" s="794"/>
      <c r="U17" s="794"/>
      <c r="V17" s="794"/>
      <c r="W17" s="794"/>
      <c r="X17" s="794"/>
      <c r="Y17" s="794"/>
      <c r="Z17" s="794"/>
      <c r="AA17" s="794"/>
      <c r="AB17" s="794"/>
      <c r="AC17" s="794"/>
      <c r="AD17" s="794"/>
      <c r="AE17" s="794"/>
      <c r="AF17" s="794"/>
      <c r="AG17" s="794"/>
      <c r="AH17" s="794"/>
      <c r="AI17" s="794"/>
      <c r="AJ17" s="794"/>
      <c r="AK17" s="794"/>
      <c r="AL17" s="794"/>
      <c r="AM17" s="794"/>
      <c r="AN17" s="794"/>
      <c r="AO17" s="794"/>
      <c r="AP17" s="794"/>
      <c r="AQ17" s="794"/>
      <c r="AR17" s="794"/>
      <c r="AS17" s="794"/>
      <c r="AT17" s="794"/>
      <c r="AU17" s="794"/>
      <c r="AV17" s="794"/>
      <c r="AW17" s="794"/>
      <c r="AX17" s="794"/>
      <c r="AY17" s="794"/>
      <c r="AZ17" s="794"/>
      <c r="BA17" s="794"/>
      <c r="BB17" s="794"/>
      <c r="BC17" s="794"/>
      <c r="BD17" s="794"/>
      <c r="BE17" s="794"/>
      <c r="BF17" s="794"/>
      <c r="BG17" s="794"/>
      <c r="BH17" s="794"/>
      <c r="BI17" s="794"/>
      <c r="BJ17" s="794"/>
      <c r="BK17" s="794"/>
      <c r="BL17" s="794"/>
      <c r="BM17" s="794"/>
      <c r="BN17" s="794"/>
      <c r="BO17" s="794"/>
      <c r="BP17" s="794"/>
      <c r="BQ17" s="794"/>
      <c r="BR17" s="794"/>
      <c r="BS17" s="794"/>
      <c r="BT17" s="794"/>
      <c r="BU17" s="794"/>
      <c r="BV17" s="794"/>
      <c r="BW17" s="794"/>
      <c r="BX17" s="794"/>
      <c r="BY17" s="794"/>
      <c r="BZ17" s="794"/>
      <c r="CA17" s="794"/>
      <c r="CB17" s="794"/>
      <c r="CC17" s="794"/>
      <c r="CD17" s="794"/>
      <c r="CE17" s="794"/>
      <c r="CF17" s="794"/>
      <c r="CG17" s="794"/>
    </row>
    <row r="18" spans="1:85" s="817" customFormat="1" ht="21.75" customHeight="1">
      <c r="A18" s="255" t="str">
        <f ca="1">IF(ROWS($1:5)&gt;COUNT(Dong13),"",OFFSET(TH!E$1,SMALL(Dong13,ROWS($1:5)),))</f>
        <v/>
      </c>
      <c r="B18" s="265" t="str">
        <f ca="1">IF(ROWS($1:5)&gt;COUNT(Dong13),"",OFFSET(TH!H$1,SMALL(Dong13,ROWS($1:5)),))</f>
        <v/>
      </c>
      <c r="C18" s="811" t="str">
        <f t="shared" ca="1" si="0"/>
        <v/>
      </c>
      <c r="D18" s="811" t="str">
        <f ca="1">IF(ROWS($1:5)&gt;COUNT(Dong13),"",OFFSET(TH!D$1,SMALL(Dong13,ROWS($1:5)),))</f>
        <v/>
      </c>
      <c r="E18" s="812" t="str">
        <f t="shared" ca="1" si="1"/>
        <v/>
      </c>
      <c r="F18" s="812" t="str">
        <f t="shared" ca="1" si="2"/>
        <v/>
      </c>
      <c r="G18" s="813" t="str">
        <f ca="1">IF(ROWS($1:5)&gt;COUNT(Dong13),"",OFFSET(TH!F$1,SMALL(Dong13,ROWS($1:5)),))</f>
        <v/>
      </c>
      <c r="H18" s="814" t="str">
        <f ca="1">IF(ROWS($1:5)&gt;COUNT(Dong13),"",OFFSET(TH!I$1,SMALL(Dong13,ROWS($1:5)),))</f>
        <v/>
      </c>
      <c r="I18" s="814" t="str">
        <f ca="1">IF(ROWS($1:5)&gt;COUNT(Dong13),"",OFFSET(TH!J$1,SMALL(Dong13,ROWS($1:5)),))</f>
        <v/>
      </c>
      <c r="J18" s="815">
        <f t="shared" ca="1" si="3"/>
        <v>0</v>
      </c>
      <c r="K18" s="818"/>
      <c r="L18" s="816"/>
      <c r="M18" s="794"/>
      <c r="N18" s="794"/>
      <c r="O18" s="794"/>
      <c r="P18" s="794"/>
      <c r="Q18" s="794"/>
      <c r="R18" s="794"/>
      <c r="S18" s="794"/>
      <c r="T18" s="794"/>
      <c r="U18" s="794"/>
      <c r="V18" s="794"/>
      <c r="W18" s="794"/>
      <c r="X18" s="794"/>
      <c r="Y18" s="794"/>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c r="BC18" s="794"/>
      <c r="BD18" s="794"/>
      <c r="BE18" s="794"/>
      <c r="BF18" s="794"/>
      <c r="BG18" s="794"/>
      <c r="BH18" s="794"/>
      <c r="BI18" s="794"/>
      <c r="BJ18" s="794"/>
      <c r="BK18" s="794"/>
      <c r="BL18" s="794"/>
      <c r="BM18" s="794"/>
      <c r="BN18" s="794"/>
      <c r="BO18" s="794"/>
      <c r="BP18" s="794"/>
      <c r="BQ18" s="794"/>
      <c r="BR18" s="794"/>
      <c r="BS18" s="794"/>
      <c r="BT18" s="794"/>
      <c r="BU18" s="794"/>
      <c r="BV18" s="794"/>
      <c r="BW18" s="794"/>
      <c r="BX18" s="794"/>
      <c r="BY18" s="794"/>
      <c r="BZ18" s="794"/>
      <c r="CA18" s="794"/>
      <c r="CB18" s="794"/>
      <c r="CC18" s="794"/>
      <c r="CD18" s="794"/>
      <c r="CE18" s="794"/>
      <c r="CF18" s="794"/>
      <c r="CG18" s="794"/>
    </row>
    <row r="19" spans="1:85" s="817" customFormat="1" ht="21.75" customHeight="1">
      <c r="A19" s="255" t="str">
        <f ca="1">IF(ROWS($1:6)&gt;COUNT(Dong13),"",OFFSET(TH!E$1,SMALL(Dong13,ROWS($1:6)),))</f>
        <v/>
      </c>
      <c r="B19" s="265" t="str">
        <f ca="1">IF(ROWS($1:6)&gt;COUNT(Dong13),"",OFFSET(TH!H$1,SMALL(Dong13,ROWS($1:6)),))</f>
        <v/>
      </c>
      <c r="C19" s="811" t="str">
        <f t="shared" ca="1" si="0"/>
        <v/>
      </c>
      <c r="D19" s="811" t="str">
        <f ca="1">IF(ROWS($1:6)&gt;COUNT(Dong13),"",OFFSET(TH!D$1,SMALL(Dong13,ROWS($1:6)),))</f>
        <v/>
      </c>
      <c r="E19" s="812" t="str">
        <f t="shared" ca="1" si="1"/>
        <v/>
      </c>
      <c r="F19" s="812" t="str">
        <f t="shared" ca="1" si="2"/>
        <v/>
      </c>
      <c r="G19" s="813" t="str">
        <f ca="1">IF(ROWS($1:6)&gt;COUNT(Dong13),"",OFFSET(TH!F$1,SMALL(Dong13,ROWS($1:6)),))</f>
        <v/>
      </c>
      <c r="H19" s="814" t="str">
        <f ca="1">IF(ROWS($1:6)&gt;COUNT(Dong13),"",OFFSET(TH!I$1,SMALL(Dong13,ROWS($1:6)),))</f>
        <v/>
      </c>
      <c r="I19" s="814" t="str">
        <f ca="1">IF(ROWS($1:6)&gt;COUNT(Dong13),"",OFFSET(TH!J$1,SMALL(Dong13,ROWS($1:6)),))</f>
        <v/>
      </c>
      <c r="J19" s="815">
        <f t="shared" ca="1" si="3"/>
        <v>0</v>
      </c>
      <c r="K19" s="818"/>
      <c r="L19" s="816"/>
      <c r="M19" s="794"/>
      <c r="N19" s="794"/>
      <c r="O19" s="794"/>
      <c r="P19" s="794"/>
      <c r="Q19" s="794"/>
      <c r="R19" s="794"/>
      <c r="S19" s="794"/>
      <c r="T19" s="794"/>
      <c r="U19" s="794"/>
      <c r="V19" s="794"/>
      <c r="W19" s="794"/>
      <c r="X19" s="794"/>
      <c r="Y19" s="794"/>
      <c r="Z19" s="794"/>
      <c r="AA19" s="794"/>
      <c r="AB19" s="794"/>
      <c r="AC19" s="794"/>
      <c r="AD19" s="794"/>
      <c r="AE19" s="794"/>
      <c r="AF19" s="794"/>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c r="BC19" s="794"/>
      <c r="BD19" s="794"/>
      <c r="BE19" s="794"/>
      <c r="BF19" s="794"/>
      <c r="BG19" s="794"/>
      <c r="BH19" s="794"/>
      <c r="BI19" s="794"/>
      <c r="BJ19" s="794"/>
      <c r="BK19" s="794"/>
      <c r="BL19" s="794"/>
      <c r="BM19" s="794"/>
      <c r="BN19" s="794"/>
      <c r="BO19" s="794"/>
      <c r="BP19" s="794"/>
      <c r="BQ19" s="794"/>
      <c r="BR19" s="794"/>
      <c r="BS19" s="794"/>
      <c r="BT19" s="794"/>
      <c r="BU19" s="794"/>
      <c r="BV19" s="794"/>
      <c r="BW19" s="794"/>
      <c r="BX19" s="794"/>
      <c r="BY19" s="794"/>
      <c r="BZ19" s="794"/>
      <c r="CA19" s="794"/>
      <c r="CB19" s="794"/>
      <c r="CC19" s="794"/>
      <c r="CD19" s="794"/>
      <c r="CE19" s="794"/>
      <c r="CF19" s="794"/>
      <c r="CG19" s="794"/>
    </row>
    <row r="20" spans="1:85" s="817" customFormat="1" ht="21.75" customHeight="1">
      <c r="A20" s="255" t="str">
        <f ca="1">IF(ROWS($1:7)&gt;COUNT(Dong13),"",OFFSET(TH!E$1,SMALL(Dong13,ROWS($1:7)),))</f>
        <v/>
      </c>
      <c r="B20" s="265" t="str">
        <f ca="1">IF(ROWS($1:7)&gt;COUNT(Dong13),"",OFFSET(TH!H$1,SMALL(Dong13,ROWS($1:7)),))</f>
        <v/>
      </c>
      <c r="C20" s="811" t="str">
        <f t="shared" ca="1" si="0"/>
        <v/>
      </c>
      <c r="D20" s="811" t="str">
        <f ca="1">IF(ROWS($1:7)&gt;COUNT(Dong13),"",OFFSET(TH!D$1,SMALL(Dong13,ROWS($1:7)),))</f>
        <v/>
      </c>
      <c r="E20" s="812" t="str">
        <f t="shared" ca="1" si="1"/>
        <v/>
      </c>
      <c r="F20" s="812" t="str">
        <f t="shared" ca="1" si="2"/>
        <v/>
      </c>
      <c r="G20" s="813" t="str">
        <f ca="1">IF(ROWS($1:7)&gt;COUNT(Dong13),"",OFFSET(TH!F$1,SMALL(Dong13,ROWS($1:7)),))</f>
        <v/>
      </c>
      <c r="H20" s="814" t="str">
        <f ca="1">IF(ROWS($1:7)&gt;COUNT(Dong13),"",OFFSET(TH!I$1,SMALL(Dong13,ROWS($1:7)),))</f>
        <v/>
      </c>
      <c r="I20" s="814" t="str">
        <f ca="1">IF(ROWS($1:7)&gt;COUNT(Dong13),"",OFFSET(TH!J$1,SMALL(Dong13,ROWS($1:7)),))</f>
        <v/>
      </c>
      <c r="J20" s="815">
        <f t="shared" ca="1" si="3"/>
        <v>0</v>
      </c>
      <c r="K20" s="818"/>
      <c r="L20" s="816"/>
      <c r="M20" s="794"/>
      <c r="N20" s="794"/>
      <c r="O20" s="794"/>
      <c r="P20" s="794"/>
      <c r="Q20" s="794"/>
      <c r="R20" s="794"/>
      <c r="S20" s="794"/>
      <c r="T20" s="794"/>
      <c r="U20" s="794"/>
      <c r="V20" s="794"/>
      <c r="W20" s="794"/>
      <c r="X20" s="794"/>
      <c r="Y20" s="794"/>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c r="BC20" s="794"/>
      <c r="BD20" s="794"/>
      <c r="BE20" s="794"/>
      <c r="BF20" s="794"/>
      <c r="BG20" s="794"/>
      <c r="BH20" s="794"/>
      <c r="BI20" s="794"/>
      <c r="BJ20" s="794"/>
      <c r="BK20" s="794"/>
      <c r="BL20" s="794"/>
      <c r="BM20" s="794"/>
      <c r="BN20" s="794"/>
      <c r="BO20" s="794"/>
      <c r="BP20" s="794"/>
      <c r="BQ20" s="794"/>
      <c r="BR20" s="794"/>
      <c r="BS20" s="794"/>
      <c r="BT20" s="794"/>
      <c r="BU20" s="794"/>
      <c r="BV20" s="794"/>
      <c r="BW20" s="794"/>
      <c r="BX20" s="794"/>
      <c r="BY20" s="794"/>
      <c r="BZ20" s="794"/>
      <c r="CA20" s="794"/>
      <c r="CB20" s="794"/>
      <c r="CC20" s="794"/>
      <c r="CD20" s="794"/>
      <c r="CE20" s="794"/>
      <c r="CF20" s="794"/>
      <c r="CG20" s="794"/>
    </row>
    <row r="21" spans="1:85" s="817" customFormat="1" ht="21.75" customHeight="1">
      <c r="A21" s="255" t="str">
        <f ca="1">IF(ROWS($1:8)&gt;COUNT(Dong13),"",OFFSET(TH!E$1,SMALL(Dong13,ROWS($1:8)),))</f>
        <v/>
      </c>
      <c r="B21" s="265" t="str">
        <f ca="1">IF(ROWS($1:8)&gt;COUNT(Dong13),"",OFFSET(TH!H$1,SMALL(Dong13,ROWS($1:8)),))</f>
        <v/>
      </c>
      <c r="C21" s="811" t="str">
        <f t="shared" ca="1" si="0"/>
        <v/>
      </c>
      <c r="D21" s="811" t="str">
        <f ca="1">IF(ROWS($1:8)&gt;COUNT(Dong13),"",OFFSET(TH!D$1,SMALL(Dong13,ROWS($1:8)),))</f>
        <v/>
      </c>
      <c r="E21" s="812" t="str">
        <f t="shared" ca="1" si="1"/>
        <v/>
      </c>
      <c r="F21" s="812" t="str">
        <f t="shared" ca="1" si="2"/>
        <v/>
      </c>
      <c r="G21" s="813" t="str">
        <f ca="1">IF(ROWS($1:8)&gt;COUNT(Dong13),"",OFFSET(TH!F$1,SMALL(Dong13,ROWS($1:8)),))</f>
        <v/>
      </c>
      <c r="H21" s="814" t="str">
        <f ca="1">IF(ROWS($1:8)&gt;COUNT(Dong13),"",OFFSET(TH!I$1,SMALL(Dong13,ROWS($1:8)),))</f>
        <v/>
      </c>
      <c r="I21" s="814" t="str">
        <f ca="1">IF(ROWS($1:8)&gt;COUNT(Dong13),"",OFFSET(TH!J$1,SMALL(Dong13,ROWS($1:8)),))</f>
        <v/>
      </c>
      <c r="J21" s="815">
        <f t="shared" ca="1" si="3"/>
        <v>0</v>
      </c>
      <c r="K21" s="818"/>
      <c r="L21" s="816"/>
      <c r="M21" s="794"/>
      <c r="N21" s="794"/>
      <c r="O21" s="794"/>
      <c r="P21" s="794"/>
      <c r="Q21" s="794"/>
      <c r="R21" s="794"/>
      <c r="S21" s="794"/>
      <c r="T21" s="794"/>
      <c r="U21" s="794"/>
      <c r="V21" s="794"/>
      <c r="W21" s="794"/>
      <c r="X21" s="794"/>
      <c r="Y21" s="794"/>
      <c r="Z21" s="794"/>
      <c r="AA21" s="794"/>
      <c r="AB21" s="794"/>
      <c r="AC21" s="794"/>
      <c r="AD21" s="794"/>
      <c r="AE21" s="794"/>
      <c r="AF21" s="794"/>
      <c r="AG21" s="794"/>
      <c r="AH21" s="794"/>
      <c r="AI21" s="794"/>
      <c r="AJ21" s="794"/>
      <c r="AK21" s="794"/>
      <c r="AL21" s="794"/>
      <c r="AM21" s="794"/>
      <c r="AN21" s="794"/>
      <c r="AO21" s="794"/>
      <c r="AP21" s="794"/>
      <c r="AQ21" s="794"/>
      <c r="AR21" s="794"/>
      <c r="AS21" s="794"/>
      <c r="AT21" s="794"/>
      <c r="AU21" s="794"/>
      <c r="AV21" s="794"/>
      <c r="AW21" s="794"/>
      <c r="AX21" s="794"/>
      <c r="AY21" s="794"/>
      <c r="AZ21" s="794"/>
      <c r="BA21" s="794"/>
      <c r="BB21" s="794"/>
      <c r="BC21" s="794"/>
      <c r="BD21" s="794"/>
      <c r="BE21" s="794"/>
      <c r="BF21" s="794"/>
      <c r="BG21" s="794"/>
      <c r="BH21" s="794"/>
      <c r="BI21" s="794"/>
      <c r="BJ21" s="794"/>
      <c r="BK21" s="794"/>
      <c r="BL21" s="794"/>
      <c r="BM21" s="794"/>
      <c r="BN21" s="794"/>
      <c r="BO21" s="794"/>
      <c r="BP21" s="794"/>
      <c r="BQ21" s="794"/>
      <c r="BR21" s="794"/>
      <c r="BS21" s="794"/>
      <c r="BT21" s="794"/>
      <c r="BU21" s="794"/>
      <c r="BV21" s="794"/>
      <c r="BW21" s="794"/>
      <c r="BX21" s="794"/>
      <c r="BY21" s="794"/>
      <c r="BZ21" s="794"/>
      <c r="CA21" s="794"/>
      <c r="CB21" s="794"/>
      <c r="CC21" s="794"/>
      <c r="CD21" s="794"/>
      <c r="CE21" s="794"/>
      <c r="CF21" s="794"/>
      <c r="CG21" s="794"/>
    </row>
    <row r="22" spans="1:85" s="817" customFormat="1" ht="21.75" customHeight="1">
      <c r="A22" s="255" t="str">
        <f ca="1">IF(ROWS($1:9)&gt;COUNT(Dong13),"",OFFSET(TH!E$1,SMALL(Dong13,ROWS($1:9)),))</f>
        <v/>
      </c>
      <c r="B22" s="265" t="str">
        <f ca="1">IF(ROWS($1:9)&gt;COUNT(Dong13),"",OFFSET(TH!H$1,SMALL(Dong13,ROWS($1:9)),))</f>
        <v/>
      </c>
      <c r="C22" s="811" t="str">
        <f t="shared" ca="1" si="0"/>
        <v/>
      </c>
      <c r="D22" s="811" t="str">
        <f ca="1">IF(ROWS($1:9)&gt;COUNT(Dong13),"",OFFSET(TH!D$1,SMALL(Dong13,ROWS($1:9)),))</f>
        <v/>
      </c>
      <c r="E22" s="812" t="str">
        <f t="shared" ca="1" si="1"/>
        <v/>
      </c>
      <c r="F22" s="812" t="str">
        <f t="shared" ca="1" si="2"/>
        <v/>
      </c>
      <c r="G22" s="813" t="str">
        <f ca="1">IF(ROWS($1:9)&gt;COUNT(Dong13),"",OFFSET(TH!F$1,SMALL(Dong13,ROWS($1:9)),))</f>
        <v/>
      </c>
      <c r="H22" s="814" t="str">
        <f ca="1">IF(ROWS($1:9)&gt;COUNT(Dong13),"",OFFSET(TH!I$1,SMALL(Dong13,ROWS($1:9)),))</f>
        <v/>
      </c>
      <c r="I22" s="814" t="str">
        <f ca="1">IF(ROWS($1:9)&gt;COUNT(Dong13),"",OFFSET(TH!J$1,SMALL(Dong13,ROWS($1:9)),))</f>
        <v/>
      </c>
      <c r="J22" s="815">
        <f t="shared" ca="1" si="3"/>
        <v>0</v>
      </c>
      <c r="K22" s="818"/>
      <c r="L22" s="816"/>
      <c r="M22" s="794"/>
      <c r="N22" s="794"/>
      <c r="O22" s="794"/>
      <c r="P22" s="794"/>
      <c r="Q22" s="794"/>
      <c r="R22" s="794"/>
      <c r="S22" s="794"/>
      <c r="T22" s="794"/>
      <c r="U22" s="794"/>
      <c r="V22" s="794"/>
      <c r="W22" s="794"/>
      <c r="X22" s="794"/>
      <c r="Y22" s="794"/>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c r="BC22" s="794"/>
      <c r="BD22" s="794"/>
      <c r="BE22" s="794"/>
      <c r="BF22" s="794"/>
      <c r="BG22" s="794"/>
      <c r="BH22" s="794"/>
      <c r="BI22" s="794"/>
      <c r="BJ22" s="794"/>
      <c r="BK22" s="794"/>
      <c r="BL22" s="794"/>
      <c r="BM22" s="794"/>
      <c r="BN22" s="794"/>
      <c r="BO22" s="794"/>
      <c r="BP22" s="794"/>
      <c r="BQ22" s="794"/>
      <c r="BR22" s="794"/>
      <c r="BS22" s="794"/>
      <c r="BT22" s="794"/>
      <c r="BU22" s="794"/>
      <c r="BV22" s="794"/>
      <c r="BW22" s="794"/>
      <c r="BX22" s="794"/>
      <c r="BY22" s="794"/>
      <c r="BZ22" s="794"/>
      <c r="CA22" s="794"/>
      <c r="CB22" s="794"/>
      <c r="CC22" s="794"/>
      <c r="CD22" s="794"/>
      <c r="CE22" s="794"/>
      <c r="CF22" s="794"/>
      <c r="CG22" s="794"/>
    </row>
    <row r="23" spans="1:85" s="817" customFormat="1" ht="21.75" customHeight="1">
      <c r="A23" s="255" t="str">
        <f ca="1">IF(ROWS($1:10)&gt;COUNT(Dong13),"",OFFSET(TH!E$1,SMALL(Dong13,ROWS($1:10)),))</f>
        <v/>
      </c>
      <c r="B23" s="265" t="str">
        <f ca="1">IF(ROWS($1:10)&gt;COUNT(Dong13),"",OFFSET(TH!H$1,SMALL(Dong13,ROWS($1:10)),))</f>
        <v/>
      </c>
      <c r="C23" s="811" t="str">
        <f t="shared" ca="1" si="0"/>
        <v/>
      </c>
      <c r="D23" s="811" t="str">
        <f ca="1">IF(ROWS($1:10)&gt;COUNT(Dong13),"",OFFSET(TH!D$1,SMALL(Dong13,ROWS($1:10)),))</f>
        <v/>
      </c>
      <c r="E23" s="812" t="str">
        <f t="shared" ca="1" si="1"/>
        <v/>
      </c>
      <c r="F23" s="812" t="str">
        <f t="shared" ca="1" si="2"/>
        <v/>
      </c>
      <c r="G23" s="813" t="str">
        <f ca="1">IF(ROWS($1:10)&gt;COUNT(Dong13),"",OFFSET(TH!F$1,SMALL(Dong13,ROWS($1:10)),))</f>
        <v/>
      </c>
      <c r="H23" s="814" t="str">
        <f ca="1">IF(ROWS($1:10)&gt;COUNT(Dong13),"",OFFSET(TH!I$1,SMALL(Dong13,ROWS($1:10)),))</f>
        <v/>
      </c>
      <c r="I23" s="814" t="str">
        <f ca="1">IF(ROWS($1:10)&gt;COUNT(Dong13),"",OFFSET(TH!J$1,SMALL(Dong13,ROWS($1:10)),))</f>
        <v/>
      </c>
      <c r="J23" s="815">
        <f t="shared" ca="1" si="3"/>
        <v>0</v>
      </c>
      <c r="K23" s="818"/>
      <c r="L23" s="816"/>
      <c r="M23" s="794"/>
      <c r="N23" s="794"/>
      <c r="O23" s="794"/>
      <c r="P23" s="794"/>
      <c r="Q23" s="794"/>
      <c r="R23" s="794"/>
      <c r="S23" s="794"/>
      <c r="T23" s="794"/>
      <c r="U23" s="794"/>
      <c r="V23" s="794"/>
      <c r="W23" s="794"/>
      <c r="X23" s="794"/>
      <c r="Y23" s="794"/>
      <c r="Z23" s="794"/>
      <c r="AA23" s="794"/>
      <c r="AB23" s="794"/>
      <c r="AC23" s="794"/>
      <c r="AD23" s="794"/>
      <c r="AE23" s="794"/>
      <c r="AF23" s="794"/>
      <c r="AG23" s="794"/>
      <c r="AH23" s="794"/>
      <c r="AI23" s="794"/>
      <c r="AJ23" s="794"/>
      <c r="AK23" s="794"/>
      <c r="AL23" s="794"/>
      <c r="AM23" s="794"/>
      <c r="AN23" s="794"/>
      <c r="AO23" s="794"/>
      <c r="AP23" s="794"/>
      <c r="AQ23" s="794"/>
      <c r="AR23" s="794"/>
      <c r="AS23" s="794"/>
      <c r="AT23" s="794"/>
      <c r="AU23" s="794"/>
      <c r="AV23" s="794"/>
      <c r="AW23" s="794"/>
      <c r="AX23" s="794"/>
      <c r="AY23" s="794"/>
      <c r="AZ23" s="794"/>
      <c r="BA23" s="794"/>
      <c r="BB23" s="794"/>
      <c r="BC23" s="794"/>
      <c r="BD23" s="794"/>
      <c r="BE23" s="794"/>
      <c r="BF23" s="794"/>
      <c r="BG23" s="794"/>
      <c r="BH23" s="794"/>
      <c r="BI23" s="794"/>
      <c r="BJ23" s="794"/>
      <c r="BK23" s="794"/>
      <c r="BL23" s="794"/>
      <c r="BM23" s="794"/>
      <c r="BN23" s="794"/>
      <c r="BO23" s="794"/>
      <c r="BP23" s="794"/>
      <c r="BQ23" s="794"/>
      <c r="BR23" s="794"/>
      <c r="BS23" s="794"/>
      <c r="BT23" s="794"/>
      <c r="BU23" s="794"/>
      <c r="BV23" s="794"/>
      <c r="BW23" s="794"/>
      <c r="BX23" s="794"/>
      <c r="BY23" s="794"/>
      <c r="BZ23" s="794"/>
      <c r="CA23" s="794"/>
      <c r="CB23" s="794"/>
      <c r="CC23" s="794"/>
      <c r="CD23" s="794"/>
      <c r="CE23" s="794"/>
      <c r="CF23" s="794"/>
      <c r="CG23" s="794"/>
    </row>
    <row r="24" spans="1:85" s="817" customFormat="1" ht="21.75" customHeight="1">
      <c r="A24" s="255" t="str">
        <f ca="1">IF(ROWS($1:11)&gt;COUNT(Dong13),"",OFFSET(TH!E$1,SMALL(Dong13,ROWS($1:11)),))</f>
        <v/>
      </c>
      <c r="B24" s="265" t="str">
        <f ca="1">IF(ROWS($1:11)&gt;COUNT(Dong13),"",OFFSET(TH!H$1,SMALL(Dong13,ROWS($1:11)),))</f>
        <v/>
      </c>
      <c r="C24" s="811" t="str">
        <f t="shared" ca="1" si="0"/>
        <v/>
      </c>
      <c r="D24" s="811" t="str">
        <f ca="1">IF(ROWS($1:11)&gt;COUNT(Dong13),"",OFFSET(TH!D$1,SMALL(Dong13,ROWS($1:11)),))</f>
        <v/>
      </c>
      <c r="E24" s="812" t="str">
        <f t="shared" ca="1" si="1"/>
        <v/>
      </c>
      <c r="F24" s="812" t="str">
        <f t="shared" ca="1" si="2"/>
        <v/>
      </c>
      <c r="G24" s="813" t="str">
        <f ca="1">IF(ROWS($1:11)&gt;COUNT(Dong13),"",OFFSET(TH!F$1,SMALL(Dong13,ROWS($1:11)),))</f>
        <v/>
      </c>
      <c r="H24" s="814" t="str">
        <f ca="1">IF(ROWS($1:11)&gt;COUNT(Dong13),"",OFFSET(TH!I$1,SMALL(Dong13,ROWS($1:11)),))</f>
        <v/>
      </c>
      <c r="I24" s="814" t="str">
        <f ca="1">IF(ROWS($1:11)&gt;COUNT(Dong13),"",OFFSET(TH!J$1,SMALL(Dong13,ROWS($1:11)),))</f>
        <v/>
      </c>
      <c r="J24" s="815">
        <f t="shared" ca="1" si="3"/>
        <v>0</v>
      </c>
      <c r="K24" s="818"/>
      <c r="L24" s="816"/>
      <c r="M24" s="794"/>
      <c r="N24" s="794"/>
      <c r="O24" s="794"/>
      <c r="P24" s="794"/>
      <c r="Q24" s="794"/>
      <c r="R24" s="794"/>
      <c r="S24" s="794"/>
      <c r="T24" s="794"/>
      <c r="U24" s="794"/>
      <c r="V24" s="794"/>
      <c r="W24" s="794"/>
      <c r="X24" s="794"/>
      <c r="Y24" s="794"/>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c r="BC24" s="794"/>
      <c r="BD24" s="794"/>
      <c r="BE24" s="794"/>
      <c r="BF24" s="794"/>
      <c r="BG24" s="794"/>
      <c r="BH24" s="794"/>
      <c r="BI24" s="794"/>
      <c r="BJ24" s="794"/>
      <c r="BK24" s="794"/>
      <c r="BL24" s="794"/>
      <c r="BM24" s="794"/>
      <c r="BN24" s="794"/>
      <c r="BO24" s="794"/>
      <c r="BP24" s="794"/>
      <c r="BQ24" s="794"/>
      <c r="BR24" s="794"/>
      <c r="BS24" s="794"/>
      <c r="BT24" s="794"/>
      <c r="BU24" s="794"/>
      <c r="BV24" s="794"/>
      <c r="BW24" s="794"/>
      <c r="BX24" s="794"/>
      <c r="BY24" s="794"/>
      <c r="BZ24" s="794"/>
      <c r="CA24" s="794"/>
      <c r="CB24" s="794"/>
      <c r="CC24" s="794"/>
      <c r="CD24" s="794"/>
      <c r="CE24" s="794"/>
      <c r="CF24" s="794"/>
      <c r="CG24" s="794"/>
    </row>
    <row r="25" spans="1:85" s="817" customFormat="1" ht="21.75" customHeight="1">
      <c r="A25" s="255" t="str">
        <f ca="1">IF(ROWS($1:12)&gt;COUNT(Dong13),"",OFFSET(TH!E$1,SMALL(Dong13,ROWS($1:12)),))</f>
        <v/>
      </c>
      <c r="B25" s="265" t="str">
        <f ca="1">IF(ROWS($1:12)&gt;COUNT(Dong13),"",OFFSET(TH!H$1,SMALL(Dong13,ROWS($1:12)),))</f>
        <v/>
      </c>
      <c r="C25" s="811" t="str">
        <f t="shared" ca="1" si="0"/>
        <v/>
      </c>
      <c r="D25" s="811" t="str">
        <f ca="1">IF(ROWS($1:12)&gt;COUNT(Dong13),"",OFFSET(TH!D$1,SMALL(Dong13,ROWS($1:12)),))</f>
        <v/>
      </c>
      <c r="E25" s="812" t="str">
        <f t="shared" ca="1" si="1"/>
        <v/>
      </c>
      <c r="F25" s="812" t="str">
        <f t="shared" ca="1" si="2"/>
        <v/>
      </c>
      <c r="G25" s="813" t="str">
        <f ca="1">IF(ROWS($1:12)&gt;COUNT(Dong13),"",OFFSET(TH!F$1,SMALL(Dong13,ROWS($1:12)),))</f>
        <v/>
      </c>
      <c r="H25" s="814" t="str">
        <f ca="1">IF(ROWS($1:12)&gt;COUNT(Dong13),"",OFFSET(TH!I$1,SMALL(Dong13,ROWS($1:12)),))</f>
        <v/>
      </c>
      <c r="I25" s="814" t="str">
        <f ca="1">IF(ROWS($1:12)&gt;COUNT(Dong13),"",OFFSET(TH!J$1,SMALL(Dong13,ROWS($1:12)),))</f>
        <v/>
      </c>
      <c r="J25" s="815">
        <f t="shared" ca="1" si="3"/>
        <v>0</v>
      </c>
      <c r="K25" s="818"/>
      <c r="L25" s="816"/>
      <c r="M25" s="794"/>
      <c r="N25" s="794"/>
      <c r="O25" s="794"/>
      <c r="P25" s="794"/>
      <c r="Q25" s="794"/>
      <c r="R25" s="794"/>
      <c r="S25" s="794"/>
      <c r="T25" s="794"/>
      <c r="U25" s="794"/>
      <c r="V25" s="794"/>
      <c r="W25" s="794"/>
      <c r="X25" s="794"/>
      <c r="Y25" s="794"/>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c r="BC25" s="794"/>
      <c r="BD25" s="794"/>
      <c r="BE25" s="794"/>
      <c r="BF25" s="794"/>
      <c r="BG25" s="794"/>
      <c r="BH25" s="794"/>
      <c r="BI25" s="794"/>
      <c r="BJ25" s="794"/>
      <c r="BK25" s="794"/>
      <c r="BL25" s="794"/>
      <c r="BM25" s="794"/>
      <c r="BN25" s="794"/>
      <c r="BO25" s="794"/>
      <c r="BP25" s="794"/>
      <c r="BQ25" s="794"/>
      <c r="BR25" s="794"/>
      <c r="BS25" s="794"/>
      <c r="BT25" s="794"/>
      <c r="BU25" s="794"/>
      <c r="BV25" s="794"/>
      <c r="BW25" s="794"/>
      <c r="BX25" s="794"/>
      <c r="BY25" s="794"/>
      <c r="BZ25" s="794"/>
      <c r="CA25" s="794"/>
      <c r="CB25" s="794"/>
      <c r="CC25" s="794"/>
      <c r="CD25" s="794"/>
      <c r="CE25" s="794"/>
      <c r="CF25" s="794"/>
      <c r="CG25" s="794"/>
    </row>
    <row r="26" spans="1:85" s="817" customFormat="1" ht="21.75" customHeight="1">
      <c r="A26" s="255" t="str">
        <f ca="1">IF(ROWS($1:13)&gt;COUNT(Dong13),"",OFFSET(TH!E$1,SMALL(Dong13,ROWS($1:13)),))</f>
        <v/>
      </c>
      <c r="B26" s="265" t="str">
        <f ca="1">IF(ROWS($1:13)&gt;COUNT(Dong13),"",OFFSET(TH!H$1,SMALL(Dong13,ROWS($1:13)),))</f>
        <v/>
      </c>
      <c r="C26" s="811" t="str">
        <f t="shared" ca="1" si="0"/>
        <v/>
      </c>
      <c r="D26" s="811" t="str">
        <f ca="1">IF(ROWS($1:13)&gt;COUNT(Dong13),"",OFFSET(TH!D$1,SMALL(Dong13,ROWS($1:13)),))</f>
        <v/>
      </c>
      <c r="E26" s="812" t="str">
        <f t="shared" ca="1" si="1"/>
        <v/>
      </c>
      <c r="F26" s="812" t="str">
        <f t="shared" ca="1" si="2"/>
        <v/>
      </c>
      <c r="G26" s="813" t="str">
        <f ca="1">IF(ROWS($1:13)&gt;COUNT(Dong13),"",OFFSET(TH!F$1,SMALL(Dong13,ROWS($1:13)),))</f>
        <v/>
      </c>
      <c r="H26" s="814" t="str">
        <f ca="1">IF(ROWS($1:13)&gt;COUNT(Dong13),"",OFFSET(TH!I$1,SMALL(Dong13,ROWS($1:13)),))</f>
        <v/>
      </c>
      <c r="I26" s="814" t="str">
        <f ca="1">IF(ROWS($1:13)&gt;COUNT(Dong13),"",OFFSET(TH!J$1,SMALL(Dong13,ROWS($1:13)),))</f>
        <v/>
      </c>
      <c r="J26" s="815">
        <f t="shared" ca="1" si="3"/>
        <v>0</v>
      </c>
      <c r="K26" s="818"/>
      <c r="L26" s="816"/>
      <c r="M26" s="794"/>
      <c r="N26" s="794"/>
      <c r="O26" s="794"/>
      <c r="P26" s="794"/>
      <c r="Q26" s="794"/>
      <c r="R26" s="794"/>
      <c r="S26" s="794"/>
      <c r="T26" s="794"/>
      <c r="U26" s="794"/>
      <c r="V26" s="794"/>
      <c r="W26" s="794"/>
      <c r="X26" s="794"/>
      <c r="Y26" s="794"/>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c r="BC26" s="794"/>
      <c r="BD26" s="794"/>
      <c r="BE26" s="794"/>
      <c r="BF26" s="794"/>
      <c r="BG26" s="794"/>
      <c r="BH26" s="794"/>
      <c r="BI26" s="794"/>
      <c r="BJ26" s="794"/>
      <c r="BK26" s="794"/>
      <c r="BL26" s="794"/>
      <c r="BM26" s="794"/>
      <c r="BN26" s="794"/>
      <c r="BO26" s="794"/>
      <c r="BP26" s="794"/>
      <c r="BQ26" s="794"/>
      <c r="BR26" s="794"/>
      <c r="BS26" s="794"/>
      <c r="BT26" s="794"/>
      <c r="BU26" s="794"/>
      <c r="BV26" s="794"/>
      <c r="BW26" s="794"/>
      <c r="BX26" s="794"/>
      <c r="BY26" s="794"/>
      <c r="BZ26" s="794"/>
      <c r="CA26" s="794"/>
      <c r="CB26" s="794"/>
      <c r="CC26" s="794"/>
      <c r="CD26" s="794"/>
      <c r="CE26" s="794"/>
      <c r="CF26" s="794"/>
      <c r="CG26" s="794"/>
    </row>
    <row r="27" spans="1:85" s="817" customFormat="1" ht="21.75" customHeight="1">
      <c r="A27" s="255" t="str">
        <f ca="1">IF(ROWS($1:14)&gt;COUNT(Dong13),"",OFFSET(TH!E$1,SMALL(Dong13,ROWS($1:14)),))</f>
        <v/>
      </c>
      <c r="B27" s="265" t="str">
        <f ca="1">IF(ROWS($1:14)&gt;COUNT(Dong13),"",OFFSET(TH!H$1,SMALL(Dong13,ROWS($1:14)),))</f>
        <v/>
      </c>
      <c r="C27" s="811" t="str">
        <f t="shared" ca="1" si="0"/>
        <v/>
      </c>
      <c r="D27" s="811" t="str">
        <f ca="1">IF(ROWS($1:14)&gt;COUNT(Dong13),"",OFFSET(TH!D$1,SMALL(Dong13,ROWS($1:14)),))</f>
        <v/>
      </c>
      <c r="E27" s="812" t="str">
        <f t="shared" ca="1" si="1"/>
        <v/>
      </c>
      <c r="F27" s="812" t="str">
        <f t="shared" ca="1" si="2"/>
        <v/>
      </c>
      <c r="G27" s="813" t="str">
        <f ca="1">IF(ROWS($1:14)&gt;COUNT(Dong13),"",OFFSET(TH!F$1,SMALL(Dong13,ROWS($1:14)),))</f>
        <v/>
      </c>
      <c r="H27" s="814" t="str">
        <f ca="1">IF(ROWS($1:14)&gt;COUNT(Dong13),"",OFFSET(TH!I$1,SMALL(Dong13,ROWS($1:14)),))</f>
        <v/>
      </c>
      <c r="I27" s="814" t="str">
        <f ca="1">IF(ROWS($1:14)&gt;COUNT(Dong13),"",OFFSET(TH!J$1,SMALL(Dong13,ROWS($1:14)),))</f>
        <v/>
      </c>
      <c r="J27" s="815">
        <f t="shared" ca="1" si="3"/>
        <v>0</v>
      </c>
      <c r="K27" s="818"/>
      <c r="L27" s="816"/>
      <c r="M27" s="794"/>
      <c r="N27" s="794"/>
      <c r="O27" s="794"/>
      <c r="P27" s="794"/>
      <c r="Q27" s="794"/>
      <c r="R27" s="794"/>
      <c r="S27" s="794"/>
      <c r="T27" s="794"/>
      <c r="U27" s="794"/>
      <c r="V27" s="794"/>
      <c r="W27" s="794"/>
      <c r="X27" s="794"/>
      <c r="Y27" s="794"/>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c r="BC27" s="794"/>
      <c r="BD27" s="794"/>
      <c r="BE27" s="794"/>
      <c r="BF27" s="794"/>
      <c r="BG27" s="794"/>
      <c r="BH27" s="794"/>
      <c r="BI27" s="794"/>
      <c r="BJ27" s="794"/>
      <c r="BK27" s="794"/>
      <c r="BL27" s="794"/>
      <c r="BM27" s="794"/>
      <c r="BN27" s="794"/>
      <c r="BO27" s="794"/>
      <c r="BP27" s="794"/>
      <c r="BQ27" s="794"/>
      <c r="BR27" s="794"/>
      <c r="BS27" s="794"/>
      <c r="BT27" s="794"/>
      <c r="BU27" s="794"/>
      <c r="BV27" s="794"/>
      <c r="BW27" s="794"/>
      <c r="BX27" s="794"/>
      <c r="BY27" s="794"/>
      <c r="BZ27" s="794"/>
      <c r="CA27" s="794"/>
      <c r="CB27" s="794"/>
      <c r="CC27" s="794"/>
      <c r="CD27" s="794"/>
      <c r="CE27" s="794"/>
      <c r="CF27" s="794"/>
      <c r="CG27" s="794"/>
    </row>
    <row r="28" spans="1:85" s="817" customFormat="1" ht="21.75" customHeight="1">
      <c r="A28" s="255" t="str">
        <f ca="1">IF(ROWS($1:15)&gt;COUNT(Dong13),"",OFFSET(TH!E$1,SMALL(Dong13,ROWS($1:15)),))</f>
        <v/>
      </c>
      <c r="B28" s="265" t="str">
        <f ca="1">IF(ROWS($1:15)&gt;COUNT(Dong13),"",OFFSET(TH!H$1,SMALL(Dong13,ROWS($1:15)),))</f>
        <v/>
      </c>
      <c r="C28" s="811" t="str">
        <f t="shared" ca="1" si="0"/>
        <v/>
      </c>
      <c r="D28" s="811" t="str">
        <f ca="1">IF(ROWS($1:15)&gt;COUNT(Dong13),"",OFFSET(TH!D$1,SMALL(Dong13,ROWS($1:15)),))</f>
        <v/>
      </c>
      <c r="E28" s="812" t="str">
        <f t="shared" ca="1" si="1"/>
        <v/>
      </c>
      <c r="F28" s="812" t="str">
        <f t="shared" ca="1" si="2"/>
        <v/>
      </c>
      <c r="G28" s="813" t="str">
        <f ca="1">IF(ROWS($1:15)&gt;COUNT(Dong13),"",OFFSET(TH!F$1,SMALL(Dong13,ROWS($1:15)),))</f>
        <v/>
      </c>
      <c r="H28" s="814" t="str">
        <f ca="1">IF(ROWS($1:15)&gt;COUNT(Dong13),"",OFFSET(TH!I$1,SMALL(Dong13,ROWS($1:15)),))</f>
        <v/>
      </c>
      <c r="I28" s="814" t="str">
        <f ca="1">IF(ROWS($1:15)&gt;COUNT(Dong13),"",OFFSET(TH!J$1,SMALL(Dong13,ROWS($1:15)),))</f>
        <v/>
      </c>
      <c r="J28" s="815">
        <f t="shared" ca="1" si="3"/>
        <v>0</v>
      </c>
      <c r="K28" s="818"/>
      <c r="L28" s="816"/>
      <c r="M28" s="794"/>
      <c r="N28" s="794"/>
      <c r="O28" s="794"/>
      <c r="P28" s="794"/>
      <c r="Q28" s="794"/>
      <c r="R28" s="794"/>
      <c r="S28" s="794"/>
      <c r="T28" s="794"/>
      <c r="U28" s="794"/>
      <c r="V28" s="794"/>
      <c r="W28" s="794"/>
      <c r="X28" s="794"/>
      <c r="Y28" s="794"/>
      <c r="Z28" s="794"/>
      <c r="AA28" s="794"/>
      <c r="AB28" s="794"/>
      <c r="AC28" s="794"/>
      <c r="AD28" s="794"/>
      <c r="AE28" s="794"/>
      <c r="AF28" s="794"/>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c r="BC28" s="794"/>
      <c r="BD28" s="794"/>
      <c r="BE28" s="794"/>
      <c r="BF28" s="794"/>
      <c r="BG28" s="794"/>
      <c r="BH28" s="794"/>
      <c r="BI28" s="794"/>
      <c r="BJ28" s="794"/>
      <c r="BK28" s="794"/>
      <c r="BL28" s="794"/>
      <c r="BM28" s="794"/>
      <c r="BN28" s="794"/>
      <c r="BO28" s="794"/>
      <c r="BP28" s="794"/>
      <c r="BQ28" s="794"/>
      <c r="BR28" s="794"/>
      <c r="BS28" s="794"/>
      <c r="BT28" s="794"/>
      <c r="BU28" s="794"/>
      <c r="BV28" s="794"/>
      <c r="BW28" s="794"/>
      <c r="BX28" s="794"/>
      <c r="BY28" s="794"/>
      <c r="BZ28" s="794"/>
      <c r="CA28" s="794"/>
      <c r="CB28" s="794"/>
      <c r="CC28" s="794"/>
      <c r="CD28" s="794"/>
      <c r="CE28" s="794"/>
      <c r="CF28" s="794"/>
      <c r="CG28" s="794"/>
    </row>
    <row r="29" spans="1:85" s="817" customFormat="1" ht="21.75" customHeight="1">
      <c r="A29" s="255" t="str">
        <f ca="1">IF(ROWS($1:16)&gt;COUNT(Dong13),"",OFFSET(TH!E$1,SMALL(Dong13,ROWS($1:16)),))</f>
        <v/>
      </c>
      <c r="B29" s="265" t="str">
        <f ca="1">IF(ROWS($1:16)&gt;COUNT(Dong13),"",OFFSET(TH!H$1,SMALL(Dong13,ROWS($1:16)),))</f>
        <v/>
      </c>
      <c r="C29" s="811" t="str">
        <f t="shared" ca="1" si="0"/>
        <v/>
      </c>
      <c r="D29" s="811" t="str">
        <f ca="1">IF(ROWS($1:16)&gt;COUNT(Dong13),"",OFFSET(TH!D$1,SMALL(Dong13,ROWS($1:16)),))</f>
        <v/>
      </c>
      <c r="E29" s="812" t="str">
        <f t="shared" ca="1" si="1"/>
        <v/>
      </c>
      <c r="F29" s="812" t="str">
        <f t="shared" ca="1" si="2"/>
        <v/>
      </c>
      <c r="G29" s="813" t="str">
        <f ca="1">IF(ROWS($1:16)&gt;COUNT(Dong13),"",OFFSET(TH!F$1,SMALL(Dong13,ROWS($1:16)),))</f>
        <v/>
      </c>
      <c r="H29" s="814" t="str">
        <f ca="1">IF(ROWS($1:16)&gt;COUNT(Dong13),"",OFFSET(TH!I$1,SMALL(Dong13,ROWS($1:16)),))</f>
        <v/>
      </c>
      <c r="I29" s="814" t="str">
        <f ca="1">IF(ROWS($1:16)&gt;COUNT(Dong13),"",OFFSET(TH!J$1,SMALL(Dong13,ROWS($1:16)),))</f>
        <v/>
      </c>
      <c r="J29" s="815">
        <f t="shared" ca="1" si="3"/>
        <v>0</v>
      </c>
      <c r="K29" s="818"/>
      <c r="L29" s="816"/>
      <c r="M29" s="794"/>
      <c r="N29" s="794"/>
      <c r="O29" s="794"/>
      <c r="P29" s="794"/>
      <c r="Q29" s="794"/>
      <c r="R29" s="794"/>
      <c r="S29" s="794"/>
      <c r="T29" s="794"/>
      <c r="U29" s="794"/>
      <c r="V29" s="794"/>
      <c r="W29" s="794"/>
      <c r="X29" s="794"/>
      <c r="Y29" s="794"/>
      <c r="Z29" s="794"/>
      <c r="AA29" s="794"/>
      <c r="AB29" s="794"/>
      <c r="AC29" s="794"/>
      <c r="AD29" s="794"/>
      <c r="AE29" s="794"/>
      <c r="AF29" s="794"/>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c r="BC29" s="794"/>
      <c r="BD29" s="794"/>
      <c r="BE29" s="794"/>
      <c r="BF29" s="794"/>
      <c r="BG29" s="794"/>
      <c r="BH29" s="794"/>
      <c r="BI29" s="794"/>
      <c r="BJ29" s="794"/>
      <c r="BK29" s="794"/>
      <c r="BL29" s="794"/>
      <c r="BM29" s="794"/>
      <c r="BN29" s="794"/>
      <c r="BO29" s="794"/>
      <c r="BP29" s="794"/>
      <c r="BQ29" s="794"/>
      <c r="BR29" s="794"/>
      <c r="BS29" s="794"/>
      <c r="BT29" s="794"/>
      <c r="BU29" s="794"/>
      <c r="BV29" s="794"/>
      <c r="BW29" s="794"/>
      <c r="BX29" s="794"/>
      <c r="BY29" s="794"/>
      <c r="BZ29" s="794"/>
      <c r="CA29" s="794"/>
      <c r="CB29" s="794"/>
      <c r="CC29" s="794"/>
      <c r="CD29" s="794"/>
      <c r="CE29" s="794"/>
      <c r="CF29" s="794"/>
      <c r="CG29" s="794"/>
    </row>
    <row r="30" spans="1:85" s="817" customFormat="1" ht="21.75" customHeight="1">
      <c r="A30" s="255" t="str">
        <f ca="1">IF(ROWS($1:17)&gt;COUNT(Dong13),"",OFFSET(TH!E$1,SMALL(Dong13,ROWS($1:17)),))</f>
        <v/>
      </c>
      <c r="B30" s="265" t="str">
        <f ca="1">IF(ROWS($1:17)&gt;COUNT(Dong13),"",OFFSET(TH!H$1,SMALL(Dong13,ROWS($1:17)),))</f>
        <v/>
      </c>
      <c r="C30" s="811" t="str">
        <f t="shared" ca="1" si="0"/>
        <v/>
      </c>
      <c r="D30" s="811" t="str">
        <f ca="1">IF(ROWS($1:17)&gt;COUNT(Dong13),"",OFFSET(TH!D$1,SMALL(Dong13,ROWS($1:17)),))</f>
        <v/>
      </c>
      <c r="E30" s="812" t="str">
        <f t="shared" ca="1" si="1"/>
        <v/>
      </c>
      <c r="F30" s="812" t="str">
        <f t="shared" ca="1" si="2"/>
        <v/>
      </c>
      <c r="G30" s="813" t="str">
        <f ca="1">IF(ROWS($1:17)&gt;COUNT(Dong13),"",OFFSET(TH!F$1,SMALL(Dong13,ROWS($1:17)),))</f>
        <v/>
      </c>
      <c r="H30" s="814" t="str">
        <f ca="1">IF(ROWS($1:17)&gt;COUNT(Dong13),"",OFFSET(TH!I$1,SMALL(Dong13,ROWS($1:17)),))</f>
        <v/>
      </c>
      <c r="I30" s="814" t="str">
        <f ca="1">IF(ROWS($1:17)&gt;COUNT(Dong13),"",OFFSET(TH!J$1,SMALL(Dong13,ROWS($1:17)),))</f>
        <v/>
      </c>
      <c r="J30" s="815">
        <f t="shared" ca="1" si="3"/>
        <v>0</v>
      </c>
      <c r="K30" s="818"/>
      <c r="L30" s="816"/>
      <c r="M30" s="794"/>
      <c r="N30" s="794"/>
      <c r="O30" s="794"/>
      <c r="P30" s="794"/>
      <c r="Q30" s="794"/>
      <c r="R30" s="794"/>
      <c r="S30" s="794"/>
      <c r="T30" s="794"/>
      <c r="U30" s="794"/>
      <c r="V30" s="794"/>
      <c r="W30" s="794"/>
      <c r="X30" s="794"/>
      <c r="Y30" s="794"/>
      <c r="Z30" s="794"/>
      <c r="AA30" s="794"/>
      <c r="AB30" s="794"/>
      <c r="AC30" s="794"/>
      <c r="AD30" s="794"/>
      <c r="AE30" s="794"/>
      <c r="AF30" s="794"/>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c r="BC30" s="794"/>
      <c r="BD30" s="794"/>
      <c r="BE30" s="794"/>
      <c r="BF30" s="794"/>
      <c r="BG30" s="794"/>
      <c r="BH30" s="794"/>
      <c r="BI30" s="794"/>
      <c r="BJ30" s="794"/>
      <c r="BK30" s="794"/>
      <c r="BL30" s="794"/>
      <c r="BM30" s="794"/>
      <c r="BN30" s="794"/>
      <c r="BO30" s="794"/>
      <c r="BP30" s="794"/>
      <c r="BQ30" s="794"/>
      <c r="BR30" s="794"/>
      <c r="BS30" s="794"/>
      <c r="BT30" s="794"/>
      <c r="BU30" s="794"/>
      <c r="BV30" s="794"/>
      <c r="BW30" s="794"/>
      <c r="BX30" s="794"/>
      <c r="BY30" s="794"/>
      <c r="BZ30" s="794"/>
      <c r="CA30" s="794"/>
      <c r="CB30" s="794"/>
      <c r="CC30" s="794"/>
      <c r="CD30" s="794"/>
      <c r="CE30" s="794"/>
      <c r="CF30" s="794"/>
      <c r="CG30" s="794"/>
    </row>
    <row r="31" spans="1:85" s="817" customFormat="1" ht="21.75" customHeight="1">
      <c r="A31" s="255" t="str">
        <f ca="1">IF(ROWS($1:18)&gt;COUNT(Dong13),"",OFFSET(TH!E$1,SMALL(Dong13,ROWS($1:18)),))</f>
        <v/>
      </c>
      <c r="B31" s="265" t="str">
        <f ca="1">IF(ROWS($1:18)&gt;COUNT(Dong13),"",OFFSET(TH!H$1,SMALL(Dong13,ROWS($1:18)),))</f>
        <v/>
      </c>
      <c r="C31" s="811" t="str">
        <f t="shared" ca="1" si="0"/>
        <v/>
      </c>
      <c r="D31" s="811" t="str">
        <f ca="1">IF(ROWS($1:18)&gt;COUNT(Dong13),"",OFFSET(TH!D$1,SMALL(Dong13,ROWS($1:18)),))</f>
        <v/>
      </c>
      <c r="E31" s="812" t="str">
        <f t="shared" ca="1" si="1"/>
        <v/>
      </c>
      <c r="F31" s="812" t="str">
        <f t="shared" ca="1" si="2"/>
        <v/>
      </c>
      <c r="G31" s="813" t="str">
        <f ca="1">IF(ROWS($1:18)&gt;COUNT(Dong13),"",OFFSET(TH!F$1,SMALL(Dong13,ROWS($1:18)),))</f>
        <v/>
      </c>
      <c r="H31" s="814" t="str">
        <f ca="1">IF(ROWS($1:18)&gt;COUNT(Dong13),"",OFFSET(TH!I$1,SMALL(Dong13,ROWS($1:18)),))</f>
        <v/>
      </c>
      <c r="I31" s="814" t="str">
        <f ca="1">IF(ROWS($1:18)&gt;COUNT(Dong13),"",OFFSET(TH!J$1,SMALL(Dong13,ROWS($1:18)),))</f>
        <v/>
      </c>
      <c r="J31" s="815">
        <f t="shared" ca="1" si="3"/>
        <v>0</v>
      </c>
      <c r="K31" s="818"/>
      <c r="L31" s="816"/>
      <c r="M31" s="794"/>
      <c r="N31" s="794"/>
      <c r="O31" s="794"/>
      <c r="P31" s="794"/>
      <c r="Q31" s="794"/>
      <c r="R31" s="794"/>
      <c r="S31" s="794"/>
      <c r="T31" s="794"/>
      <c r="U31" s="794"/>
      <c r="V31" s="794"/>
      <c r="W31" s="794"/>
      <c r="X31" s="794"/>
      <c r="Y31" s="794"/>
      <c r="Z31" s="794"/>
      <c r="AA31" s="794"/>
      <c r="AB31" s="794"/>
      <c r="AC31" s="794"/>
      <c r="AD31" s="794"/>
      <c r="AE31" s="794"/>
      <c r="AF31" s="794"/>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c r="BC31" s="794"/>
      <c r="BD31" s="794"/>
      <c r="BE31" s="794"/>
      <c r="BF31" s="794"/>
      <c r="BG31" s="794"/>
      <c r="BH31" s="794"/>
      <c r="BI31" s="794"/>
      <c r="BJ31" s="794"/>
      <c r="BK31" s="794"/>
      <c r="BL31" s="794"/>
      <c r="BM31" s="794"/>
      <c r="BN31" s="794"/>
      <c r="BO31" s="794"/>
      <c r="BP31" s="794"/>
      <c r="BQ31" s="794"/>
      <c r="BR31" s="794"/>
      <c r="BS31" s="794"/>
      <c r="BT31" s="794"/>
      <c r="BU31" s="794"/>
      <c r="BV31" s="794"/>
      <c r="BW31" s="794"/>
      <c r="BX31" s="794"/>
      <c r="BY31" s="794"/>
      <c r="BZ31" s="794"/>
      <c r="CA31" s="794"/>
      <c r="CB31" s="794"/>
      <c r="CC31" s="794"/>
      <c r="CD31" s="794"/>
      <c r="CE31" s="794"/>
      <c r="CF31" s="794"/>
      <c r="CG31" s="794"/>
    </row>
    <row r="32" spans="1:85" s="817" customFormat="1" ht="21.75" customHeight="1">
      <c r="A32" s="255" t="str">
        <f ca="1">IF(ROWS($1:19)&gt;COUNT(Dong13),"",OFFSET(TH!E$1,SMALL(Dong13,ROWS($1:19)),))</f>
        <v/>
      </c>
      <c r="B32" s="265" t="str">
        <f ca="1">IF(ROWS($1:19)&gt;COUNT(Dong13),"",OFFSET(TH!H$1,SMALL(Dong13,ROWS($1:19)),))</f>
        <v/>
      </c>
      <c r="C32" s="811" t="str">
        <f t="shared" ca="1" si="0"/>
        <v/>
      </c>
      <c r="D32" s="811" t="str">
        <f ca="1">IF(ROWS($1:19)&gt;COUNT(Dong13),"",OFFSET(TH!D$1,SMALL(Dong13,ROWS($1:19)),))</f>
        <v/>
      </c>
      <c r="E32" s="812" t="str">
        <f t="shared" ca="1" si="1"/>
        <v/>
      </c>
      <c r="F32" s="812" t="str">
        <f t="shared" ca="1" si="2"/>
        <v/>
      </c>
      <c r="G32" s="813" t="str">
        <f ca="1">IF(ROWS($1:19)&gt;COUNT(Dong13),"",OFFSET(TH!F$1,SMALL(Dong13,ROWS($1:19)),))</f>
        <v/>
      </c>
      <c r="H32" s="814" t="str">
        <f ca="1">IF(ROWS($1:19)&gt;COUNT(Dong13),"",OFFSET(TH!I$1,SMALL(Dong13,ROWS($1:19)),))</f>
        <v/>
      </c>
      <c r="I32" s="814" t="str">
        <f ca="1">IF(ROWS($1:19)&gt;COUNT(Dong13),"",OFFSET(TH!J$1,SMALL(Dong13,ROWS($1:19)),))</f>
        <v/>
      </c>
      <c r="J32" s="815">
        <f t="shared" ca="1" si="3"/>
        <v>0</v>
      </c>
      <c r="K32" s="818"/>
      <c r="L32" s="816"/>
      <c r="M32" s="794"/>
      <c r="N32" s="794"/>
      <c r="O32" s="794"/>
      <c r="P32" s="794"/>
      <c r="Q32" s="794"/>
      <c r="R32" s="794"/>
      <c r="S32" s="794"/>
      <c r="T32" s="794"/>
      <c r="U32" s="794"/>
      <c r="V32" s="794"/>
      <c r="W32" s="794"/>
      <c r="X32" s="794"/>
      <c r="Y32" s="794"/>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c r="BC32" s="794"/>
      <c r="BD32" s="794"/>
      <c r="BE32" s="794"/>
      <c r="BF32" s="794"/>
      <c r="BG32" s="794"/>
      <c r="BH32" s="794"/>
      <c r="BI32" s="794"/>
      <c r="BJ32" s="794"/>
      <c r="BK32" s="794"/>
      <c r="BL32" s="794"/>
      <c r="BM32" s="794"/>
      <c r="BN32" s="794"/>
      <c r="BO32" s="794"/>
      <c r="BP32" s="794"/>
      <c r="BQ32" s="794"/>
      <c r="BR32" s="794"/>
      <c r="BS32" s="794"/>
      <c r="BT32" s="794"/>
      <c r="BU32" s="794"/>
      <c r="BV32" s="794"/>
      <c r="BW32" s="794"/>
      <c r="BX32" s="794"/>
      <c r="BY32" s="794"/>
      <c r="BZ32" s="794"/>
      <c r="CA32" s="794"/>
      <c r="CB32" s="794"/>
      <c r="CC32" s="794"/>
      <c r="CD32" s="794"/>
      <c r="CE32" s="794"/>
      <c r="CF32" s="794"/>
      <c r="CG32" s="794"/>
    </row>
    <row r="33" spans="1:85" s="817" customFormat="1" ht="21.75" customHeight="1">
      <c r="A33" s="255" t="str">
        <f ca="1">IF(ROWS($1:20)&gt;COUNT(Dong13),"",OFFSET(TH!E$1,SMALL(Dong13,ROWS($1:20)),))</f>
        <v/>
      </c>
      <c r="B33" s="265" t="str">
        <f ca="1">IF(ROWS($1:20)&gt;COUNT(Dong13),"",OFFSET(TH!H$1,SMALL(Dong13,ROWS($1:20)),))</f>
        <v/>
      </c>
      <c r="C33" s="811" t="str">
        <f t="shared" ca="1" si="0"/>
        <v/>
      </c>
      <c r="D33" s="811" t="str">
        <f ca="1">IF(ROWS($1:20)&gt;COUNT(Dong13),"",OFFSET(TH!D$1,SMALL(Dong13,ROWS($1:20)),))</f>
        <v/>
      </c>
      <c r="E33" s="812" t="str">
        <f t="shared" ca="1" si="1"/>
        <v/>
      </c>
      <c r="F33" s="812" t="str">
        <f t="shared" ca="1" si="2"/>
        <v/>
      </c>
      <c r="G33" s="813" t="str">
        <f ca="1">IF(ROWS($1:20)&gt;COUNT(Dong13),"",OFFSET(TH!F$1,SMALL(Dong13,ROWS($1:20)),))</f>
        <v/>
      </c>
      <c r="H33" s="814" t="str">
        <f ca="1">IF(ROWS($1:20)&gt;COUNT(Dong13),"",OFFSET(TH!I$1,SMALL(Dong13,ROWS($1:20)),))</f>
        <v/>
      </c>
      <c r="I33" s="814" t="str">
        <f ca="1">IF(ROWS($1:20)&gt;COUNT(Dong13),"",OFFSET(TH!J$1,SMALL(Dong13,ROWS($1:20)),))</f>
        <v/>
      </c>
      <c r="J33" s="815">
        <f t="shared" ca="1" si="3"/>
        <v>0</v>
      </c>
      <c r="K33" s="818"/>
      <c r="L33" s="816"/>
      <c r="M33" s="794"/>
      <c r="N33" s="794"/>
      <c r="O33" s="794"/>
      <c r="P33" s="794"/>
      <c r="Q33" s="794"/>
      <c r="R33" s="794"/>
      <c r="S33" s="794"/>
      <c r="T33" s="794"/>
      <c r="U33" s="794"/>
      <c r="V33" s="794"/>
      <c r="W33" s="794"/>
      <c r="X33" s="794"/>
      <c r="Y33" s="794"/>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c r="BC33" s="794"/>
      <c r="BD33" s="794"/>
      <c r="BE33" s="794"/>
      <c r="BF33" s="794"/>
      <c r="BG33" s="794"/>
      <c r="BH33" s="794"/>
      <c r="BI33" s="794"/>
      <c r="BJ33" s="794"/>
      <c r="BK33" s="794"/>
      <c r="BL33" s="794"/>
      <c r="BM33" s="794"/>
      <c r="BN33" s="794"/>
      <c r="BO33" s="794"/>
      <c r="BP33" s="794"/>
      <c r="BQ33" s="794"/>
      <c r="BR33" s="794"/>
      <c r="BS33" s="794"/>
      <c r="BT33" s="794"/>
      <c r="BU33" s="794"/>
      <c r="BV33" s="794"/>
      <c r="BW33" s="794"/>
      <c r="BX33" s="794"/>
      <c r="BY33" s="794"/>
      <c r="BZ33" s="794"/>
      <c r="CA33" s="794"/>
      <c r="CB33" s="794"/>
      <c r="CC33" s="794"/>
      <c r="CD33" s="794"/>
      <c r="CE33" s="794"/>
      <c r="CF33" s="794"/>
      <c r="CG33" s="794"/>
    </row>
    <row r="34" spans="1:85" s="817" customFormat="1" ht="21.75" customHeight="1">
      <c r="A34" s="255" t="str">
        <f ca="1">IF(ROWS($1:21)&gt;COUNT(Dong13),"",OFFSET(TH!E$1,SMALL(Dong13,ROWS($1:21)),))</f>
        <v/>
      </c>
      <c r="B34" s="265" t="str">
        <f ca="1">IF(ROWS($1:21)&gt;COUNT(Dong13),"",OFFSET(TH!H$1,SMALL(Dong13,ROWS($1:21)),))</f>
        <v/>
      </c>
      <c r="C34" s="811" t="str">
        <f t="shared" ca="1" si="0"/>
        <v/>
      </c>
      <c r="D34" s="811" t="str">
        <f ca="1">IF(ROWS($1:21)&gt;COUNT(Dong13),"",OFFSET(TH!D$1,SMALL(Dong13,ROWS($1:21)),))</f>
        <v/>
      </c>
      <c r="E34" s="812" t="str">
        <f t="shared" ca="1" si="1"/>
        <v/>
      </c>
      <c r="F34" s="812" t="str">
        <f t="shared" ca="1" si="2"/>
        <v/>
      </c>
      <c r="G34" s="813" t="str">
        <f ca="1">IF(ROWS($1:21)&gt;COUNT(Dong13),"",OFFSET(TH!F$1,SMALL(Dong13,ROWS($1:21)),))</f>
        <v/>
      </c>
      <c r="H34" s="814" t="str">
        <f ca="1">IF(ROWS($1:21)&gt;COUNT(Dong13),"",OFFSET(TH!I$1,SMALL(Dong13,ROWS($1:21)),))</f>
        <v/>
      </c>
      <c r="I34" s="814" t="str">
        <f ca="1">IF(ROWS($1:21)&gt;COUNT(Dong13),"",OFFSET(TH!J$1,SMALL(Dong13,ROWS($1:21)),))</f>
        <v/>
      </c>
      <c r="J34" s="815">
        <f t="shared" ca="1" si="3"/>
        <v>0</v>
      </c>
      <c r="K34" s="818"/>
      <c r="L34" s="816"/>
      <c r="M34" s="794"/>
      <c r="N34" s="794"/>
      <c r="O34" s="794"/>
      <c r="P34" s="794"/>
      <c r="Q34" s="794"/>
      <c r="R34" s="794"/>
      <c r="S34" s="794"/>
      <c r="T34" s="794"/>
      <c r="U34" s="794"/>
      <c r="V34" s="794"/>
      <c r="W34" s="794"/>
      <c r="X34" s="794"/>
      <c r="Y34" s="794"/>
      <c r="Z34" s="794"/>
      <c r="AA34" s="794"/>
      <c r="AB34" s="794"/>
      <c r="AC34" s="794"/>
      <c r="AD34" s="794"/>
      <c r="AE34" s="794"/>
      <c r="AF34" s="794"/>
      <c r="AG34" s="794"/>
      <c r="AH34" s="794"/>
      <c r="AI34" s="794"/>
      <c r="AJ34" s="794"/>
      <c r="AK34" s="794"/>
      <c r="AL34" s="794"/>
      <c r="AM34" s="794"/>
      <c r="AN34" s="794"/>
      <c r="AO34" s="794"/>
      <c r="AP34" s="794"/>
      <c r="AQ34" s="794"/>
      <c r="AR34" s="794"/>
      <c r="AS34" s="794"/>
      <c r="AT34" s="794"/>
      <c r="AU34" s="794"/>
      <c r="AV34" s="794"/>
      <c r="AW34" s="794"/>
      <c r="AX34" s="794"/>
      <c r="AY34" s="794"/>
      <c r="AZ34" s="794"/>
      <c r="BA34" s="794"/>
      <c r="BB34" s="794"/>
      <c r="BC34" s="794"/>
      <c r="BD34" s="794"/>
      <c r="BE34" s="794"/>
      <c r="BF34" s="794"/>
      <c r="BG34" s="794"/>
      <c r="BH34" s="794"/>
      <c r="BI34" s="794"/>
      <c r="BJ34" s="794"/>
      <c r="BK34" s="794"/>
      <c r="BL34" s="794"/>
      <c r="BM34" s="794"/>
      <c r="BN34" s="794"/>
      <c r="BO34" s="794"/>
      <c r="BP34" s="794"/>
      <c r="BQ34" s="794"/>
      <c r="BR34" s="794"/>
      <c r="BS34" s="794"/>
      <c r="BT34" s="794"/>
      <c r="BU34" s="794"/>
      <c r="BV34" s="794"/>
      <c r="BW34" s="794"/>
      <c r="BX34" s="794"/>
      <c r="BY34" s="794"/>
      <c r="BZ34" s="794"/>
      <c r="CA34" s="794"/>
      <c r="CB34" s="794"/>
      <c r="CC34" s="794"/>
      <c r="CD34" s="794"/>
      <c r="CE34" s="794"/>
      <c r="CF34" s="794"/>
      <c r="CG34" s="794"/>
    </row>
    <row r="35" spans="1:85" s="817" customFormat="1" ht="21.75" customHeight="1">
      <c r="A35" s="255" t="str">
        <f ca="1">IF(ROWS($1:22)&gt;COUNT(Dong13),"",OFFSET(TH!E$1,SMALL(Dong13,ROWS($1:22)),))</f>
        <v/>
      </c>
      <c r="B35" s="265" t="str">
        <f ca="1">IF(ROWS($1:22)&gt;COUNT(Dong13),"",OFFSET(TH!H$1,SMALL(Dong13,ROWS($1:22)),))</f>
        <v/>
      </c>
      <c r="C35" s="811" t="str">
        <f t="shared" ca="1" si="0"/>
        <v/>
      </c>
      <c r="D35" s="811" t="str">
        <f ca="1">IF(ROWS($1:22)&gt;COUNT(Dong13),"",OFFSET(TH!D$1,SMALL(Dong13,ROWS($1:22)),))</f>
        <v/>
      </c>
      <c r="E35" s="812" t="str">
        <f t="shared" ca="1" si="1"/>
        <v/>
      </c>
      <c r="F35" s="812" t="str">
        <f t="shared" ca="1" si="2"/>
        <v/>
      </c>
      <c r="G35" s="813" t="str">
        <f ca="1">IF(ROWS($1:22)&gt;COUNT(Dong13),"",OFFSET(TH!F$1,SMALL(Dong13,ROWS($1:22)),))</f>
        <v/>
      </c>
      <c r="H35" s="814" t="str">
        <f ca="1">IF(ROWS($1:22)&gt;COUNT(Dong13),"",OFFSET(TH!I$1,SMALL(Dong13,ROWS($1:22)),))</f>
        <v/>
      </c>
      <c r="I35" s="814" t="str">
        <f ca="1">IF(ROWS($1:22)&gt;COUNT(Dong13),"",OFFSET(TH!J$1,SMALL(Dong13,ROWS($1:22)),))</f>
        <v/>
      </c>
      <c r="J35" s="815">
        <f t="shared" ca="1" si="3"/>
        <v>0</v>
      </c>
      <c r="K35" s="818"/>
      <c r="L35" s="816"/>
      <c r="M35" s="794"/>
      <c r="N35" s="794"/>
      <c r="O35" s="794"/>
      <c r="P35" s="794"/>
      <c r="Q35" s="794"/>
      <c r="R35" s="794"/>
      <c r="S35" s="794"/>
      <c r="T35" s="794"/>
      <c r="U35" s="794"/>
      <c r="V35" s="794"/>
      <c r="W35" s="794"/>
      <c r="X35" s="794"/>
      <c r="Y35" s="794"/>
      <c r="Z35" s="794"/>
      <c r="AA35" s="794"/>
      <c r="AB35" s="794"/>
      <c r="AC35" s="794"/>
      <c r="AD35" s="794"/>
      <c r="AE35" s="794"/>
      <c r="AF35" s="794"/>
      <c r="AG35" s="794"/>
      <c r="AH35" s="794"/>
      <c r="AI35" s="794"/>
      <c r="AJ35" s="794"/>
      <c r="AK35" s="794"/>
      <c r="AL35" s="794"/>
      <c r="AM35" s="794"/>
      <c r="AN35" s="794"/>
      <c r="AO35" s="794"/>
      <c r="AP35" s="794"/>
      <c r="AQ35" s="794"/>
      <c r="AR35" s="794"/>
      <c r="AS35" s="794"/>
      <c r="AT35" s="794"/>
      <c r="AU35" s="794"/>
      <c r="AV35" s="794"/>
      <c r="AW35" s="794"/>
      <c r="AX35" s="794"/>
      <c r="AY35" s="794"/>
      <c r="AZ35" s="794"/>
      <c r="BA35" s="794"/>
      <c r="BB35" s="794"/>
      <c r="BC35" s="794"/>
      <c r="BD35" s="794"/>
      <c r="BE35" s="794"/>
      <c r="BF35" s="794"/>
      <c r="BG35" s="794"/>
      <c r="BH35" s="794"/>
      <c r="BI35" s="794"/>
      <c r="BJ35" s="794"/>
      <c r="BK35" s="794"/>
      <c r="BL35" s="794"/>
      <c r="BM35" s="794"/>
      <c r="BN35" s="794"/>
      <c r="BO35" s="794"/>
      <c r="BP35" s="794"/>
      <c r="BQ35" s="794"/>
      <c r="BR35" s="794"/>
      <c r="BS35" s="794"/>
      <c r="BT35" s="794"/>
      <c r="BU35" s="794"/>
      <c r="BV35" s="794"/>
      <c r="BW35" s="794"/>
      <c r="BX35" s="794"/>
      <c r="BY35" s="794"/>
      <c r="BZ35" s="794"/>
      <c r="CA35" s="794"/>
      <c r="CB35" s="794"/>
      <c r="CC35" s="794"/>
      <c r="CD35" s="794"/>
      <c r="CE35" s="794"/>
      <c r="CF35" s="794"/>
      <c r="CG35" s="794"/>
    </row>
    <row r="36" spans="1:85" s="817" customFormat="1" ht="21.75" customHeight="1">
      <c r="A36" s="255" t="str">
        <f ca="1">IF(ROWS($1:23)&gt;COUNT(Dong13),"",OFFSET(TH!E$1,SMALL(Dong13,ROWS($1:23)),))</f>
        <v/>
      </c>
      <c r="B36" s="265" t="str">
        <f ca="1">IF(ROWS($1:23)&gt;COUNT(Dong13),"",OFFSET(TH!H$1,SMALL(Dong13,ROWS($1:23)),))</f>
        <v/>
      </c>
      <c r="C36" s="811" t="str">
        <f t="shared" ca="1" si="0"/>
        <v/>
      </c>
      <c r="D36" s="811" t="str">
        <f ca="1">IF(ROWS($1:23)&gt;COUNT(Dong13),"",OFFSET(TH!D$1,SMALL(Dong13,ROWS($1:23)),))</f>
        <v/>
      </c>
      <c r="E36" s="812" t="str">
        <f t="shared" ca="1" si="1"/>
        <v/>
      </c>
      <c r="F36" s="812" t="str">
        <f t="shared" ca="1" si="2"/>
        <v/>
      </c>
      <c r="G36" s="813" t="str">
        <f ca="1">IF(ROWS($1:23)&gt;COUNT(Dong13),"",OFFSET(TH!F$1,SMALL(Dong13,ROWS($1:23)),))</f>
        <v/>
      </c>
      <c r="H36" s="814" t="str">
        <f ca="1">IF(ROWS($1:23)&gt;COUNT(Dong13),"",OFFSET(TH!I$1,SMALL(Dong13,ROWS($1:23)),))</f>
        <v/>
      </c>
      <c r="I36" s="814" t="str">
        <f ca="1">IF(ROWS($1:23)&gt;COUNT(Dong13),"",OFFSET(TH!J$1,SMALL(Dong13,ROWS($1:23)),))</f>
        <v/>
      </c>
      <c r="J36" s="815">
        <f t="shared" ca="1" si="3"/>
        <v>0</v>
      </c>
      <c r="K36" s="818"/>
      <c r="L36" s="816"/>
      <c r="M36" s="794"/>
      <c r="N36" s="794"/>
      <c r="O36" s="794"/>
      <c r="P36" s="794"/>
      <c r="Q36" s="794"/>
      <c r="R36" s="794"/>
      <c r="S36" s="794"/>
      <c r="T36" s="794"/>
      <c r="U36" s="794"/>
      <c r="V36" s="794"/>
      <c r="W36" s="794"/>
      <c r="X36" s="794"/>
      <c r="Y36" s="794"/>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c r="BC36" s="794"/>
      <c r="BD36" s="794"/>
      <c r="BE36" s="794"/>
      <c r="BF36" s="794"/>
      <c r="BG36" s="794"/>
      <c r="BH36" s="794"/>
      <c r="BI36" s="794"/>
      <c r="BJ36" s="794"/>
      <c r="BK36" s="794"/>
      <c r="BL36" s="794"/>
      <c r="BM36" s="794"/>
      <c r="BN36" s="794"/>
      <c r="BO36" s="794"/>
      <c r="BP36" s="794"/>
      <c r="BQ36" s="794"/>
      <c r="BR36" s="794"/>
      <c r="BS36" s="794"/>
      <c r="BT36" s="794"/>
      <c r="BU36" s="794"/>
      <c r="BV36" s="794"/>
      <c r="BW36" s="794"/>
      <c r="BX36" s="794"/>
      <c r="BY36" s="794"/>
      <c r="BZ36" s="794"/>
      <c r="CA36" s="794"/>
      <c r="CB36" s="794"/>
      <c r="CC36" s="794"/>
      <c r="CD36" s="794"/>
      <c r="CE36" s="794"/>
      <c r="CF36" s="794"/>
      <c r="CG36" s="794"/>
    </row>
    <row r="37" spans="1:85" s="817" customFormat="1" ht="21.75" customHeight="1">
      <c r="A37" s="255" t="str">
        <f ca="1">IF(ROWS($1:24)&gt;COUNT(Dong13),"",OFFSET(TH!E$1,SMALL(Dong13,ROWS($1:24)),))</f>
        <v/>
      </c>
      <c r="B37" s="265" t="str">
        <f ca="1">IF(ROWS($1:24)&gt;COUNT(Dong13),"",OFFSET(TH!H$1,SMALL(Dong13,ROWS($1:24)),))</f>
        <v/>
      </c>
      <c r="C37" s="811" t="str">
        <f t="shared" ca="1" si="0"/>
        <v/>
      </c>
      <c r="D37" s="811" t="str">
        <f ca="1">IF(ROWS($1:24)&gt;COUNT(Dong13),"",OFFSET(TH!D$1,SMALL(Dong13,ROWS($1:24)),))</f>
        <v/>
      </c>
      <c r="E37" s="812" t="str">
        <f t="shared" ca="1" si="1"/>
        <v/>
      </c>
      <c r="F37" s="812" t="str">
        <f t="shared" ca="1" si="2"/>
        <v/>
      </c>
      <c r="G37" s="813" t="str">
        <f ca="1">IF(ROWS($1:24)&gt;COUNT(Dong13),"",OFFSET(TH!F$1,SMALL(Dong13,ROWS($1:24)),))</f>
        <v/>
      </c>
      <c r="H37" s="814" t="str">
        <f ca="1">IF(ROWS($1:24)&gt;COUNT(Dong13),"",OFFSET(TH!I$1,SMALL(Dong13,ROWS($1:24)),))</f>
        <v/>
      </c>
      <c r="I37" s="814" t="str">
        <f ca="1">IF(ROWS($1:24)&gt;COUNT(Dong13),"",OFFSET(TH!J$1,SMALL(Dong13,ROWS($1:24)),))</f>
        <v/>
      </c>
      <c r="J37" s="815">
        <f t="shared" ca="1" si="3"/>
        <v>0</v>
      </c>
      <c r="K37" s="818"/>
      <c r="L37" s="816"/>
      <c r="M37" s="794"/>
      <c r="N37" s="794"/>
      <c r="O37" s="794"/>
      <c r="P37" s="794"/>
      <c r="Q37" s="794"/>
      <c r="R37" s="794"/>
      <c r="S37" s="794"/>
      <c r="T37" s="794"/>
      <c r="U37" s="794"/>
      <c r="V37" s="794"/>
      <c r="W37" s="794"/>
      <c r="X37" s="794"/>
      <c r="Y37" s="794"/>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c r="BC37" s="794"/>
      <c r="BD37" s="794"/>
      <c r="BE37" s="794"/>
      <c r="BF37" s="794"/>
      <c r="BG37" s="794"/>
      <c r="BH37" s="794"/>
      <c r="BI37" s="794"/>
      <c r="BJ37" s="794"/>
      <c r="BK37" s="794"/>
      <c r="BL37" s="794"/>
      <c r="BM37" s="794"/>
      <c r="BN37" s="794"/>
      <c r="BO37" s="794"/>
      <c r="BP37" s="794"/>
      <c r="BQ37" s="794"/>
      <c r="BR37" s="794"/>
      <c r="BS37" s="794"/>
      <c r="BT37" s="794"/>
      <c r="BU37" s="794"/>
      <c r="BV37" s="794"/>
      <c r="BW37" s="794"/>
      <c r="BX37" s="794"/>
      <c r="BY37" s="794"/>
      <c r="BZ37" s="794"/>
      <c r="CA37" s="794"/>
      <c r="CB37" s="794"/>
      <c r="CC37" s="794"/>
      <c r="CD37" s="794"/>
      <c r="CE37" s="794"/>
      <c r="CF37" s="794"/>
      <c r="CG37" s="794"/>
    </row>
    <row r="38" spans="1:85" s="817" customFormat="1" ht="21.75" customHeight="1">
      <c r="A38" s="255" t="str">
        <f ca="1">IF(ROWS($1:25)&gt;COUNT(Dong13),"",OFFSET(TH!E$1,SMALL(Dong13,ROWS($1:25)),))</f>
        <v/>
      </c>
      <c r="B38" s="265" t="str">
        <f ca="1">IF(ROWS($1:25)&gt;COUNT(Dong13),"",OFFSET(TH!H$1,SMALL(Dong13,ROWS($1:25)),))</f>
        <v/>
      </c>
      <c r="C38" s="811" t="str">
        <f t="shared" ca="1" si="0"/>
        <v/>
      </c>
      <c r="D38" s="811" t="str">
        <f ca="1">IF(ROWS($1:25)&gt;COUNT(Dong13),"",OFFSET(TH!D$1,SMALL(Dong13,ROWS($1:25)),))</f>
        <v/>
      </c>
      <c r="E38" s="812" t="str">
        <f t="shared" ca="1" si="1"/>
        <v/>
      </c>
      <c r="F38" s="812" t="str">
        <f t="shared" ca="1" si="2"/>
        <v/>
      </c>
      <c r="G38" s="813" t="str">
        <f ca="1">IF(ROWS($1:25)&gt;COUNT(Dong13),"",OFFSET(TH!F$1,SMALL(Dong13,ROWS($1:25)),))</f>
        <v/>
      </c>
      <c r="H38" s="814" t="str">
        <f ca="1">IF(ROWS($1:25)&gt;COUNT(Dong13),"",OFFSET(TH!I$1,SMALL(Dong13,ROWS($1:25)),))</f>
        <v/>
      </c>
      <c r="I38" s="814" t="str">
        <f ca="1">IF(ROWS($1:25)&gt;COUNT(Dong13),"",OFFSET(TH!J$1,SMALL(Dong13,ROWS($1:25)),))</f>
        <v/>
      </c>
      <c r="J38" s="815">
        <f t="shared" ca="1" si="3"/>
        <v>0</v>
      </c>
      <c r="K38" s="818"/>
      <c r="L38" s="816"/>
      <c r="M38" s="794"/>
      <c r="N38" s="794"/>
      <c r="O38" s="794"/>
      <c r="P38" s="794"/>
      <c r="Q38" s="794"/>
      <c r="R38" s="794"/>
      <c r="S38" s="794"/>
      <c r="T38" s="794"/>
      <c r="U38" s="794"/>
      <c r="V38" s="794"/>
      <c r="W38" s="794"/>
      <c r="X38" s="794"/>
      <c r="Y38" s="794"/>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c r="BC38" s="794"/>
      <c r="BD38" s="794"/>
      <c r="BE38" s="794"/>
      <c r="BF38" s="794"/>
      <c r="BG38" s="794"/>
      <c r="BH38" s="794"/>
      <c r="BI38" s="794"/>
      <c r="BJ38" s="794"/>
      <c r="BK38" s="794"/>
      <c r="BL38" s="794"/>
      <c r="BM38" s="794"/>
      <c r="BN38" s="794"/>
      <c r="BO38" s="794"/>
      <c r="BP38" s="794"/>
      <c r="BQ38" s="794"/>
      <c r="BR38" s="794"/>
      <c r="BS38" s="794"/>
      <c r="BT38" s="794"/>
      <c r="BU38" s="794"/>
      <c r="BV38" s="794"/>
      <c r="BW38" s="794"/>
      <c r="BX38" s="794"/>
      <c r="BY38" s="794"/>
      <c r="BZ38" s="794"/>
      <c r="CA38" s="794"/>
      <c r="CB38" s="794"/>
      <c r="CC38" s="794"/>
      <c r="CD38" s="794"/>
      <c r="CE38" s="794"/>
      <c r="CF38" s="794"/>
      <c r="CG38" s="794"/>
    </row>
    <row r="39" spans="1:85" s="817" customFormat="1" ht="21.75" customHeight="1">
      <c r="A39" s="255" t="str">
        <f ca="1">IF(ROWS($1:26)&gt;COUNT(Dong13),"",OFFSET(TH!E$1,SMALL(Dong13,ROWS($1:26)),))</f>
        <v/>
      </c>
      <c r="B39" s="265" t="str">
        <f ca="1">IF(ROWS($1:26)&gt;COUNT(Dong13),"",OFFSET(TH!H$1,SMALL(Dong13,ROWS($1:26)),))</f>
        <v/>
      </c>
      <c r="C39" s="811" t="str">
        <f t="shared" ca="1" si="0"/>
        <v/>
      </c>
      <c r="D39" s="811" t="str">
        <f ca="1">IF(ROWS($1:26)&gt;COUNT(Dong13),"",OFFSET(TH!D$1,SMALL(Dong13,ROWS($1:26)),))</f>
        <v/>
      </c>
      <c r="E39" s="812" t="str">
        <f t="shared" ca="1" si="1"/>
        <v/>
      </c>
      <c r="F39" s="812" t="str">
        <f t="shared" ca="1" si="2"/>
        <v/>
      </c>
      <c r="G39" s="813" t="str">
        <f ca="1">IF(ROWS($1:26)&gt;COUNT(Dong13),"",OFFSET(TH!F$1,SMALL(Dong13,ROWS($1:26)),))</f>
        <v/>
      </c>
      <c r="H39" s="814" t="str">
        <f ca="1">IF(ROWS($1:26)&gt;COUNT(Dong13),"",OFFSET(TH!I$1,SMALL(Dong13,ROWS($1:26)),))</f>
        <v/>
      </c>
      <c r="I39" s="814" t="str">
        <f ca="1">IF(ROWS($1:26)&gt;COUNT(Dong13),"",OFFSET(TH!J$1,SMALL(Dong13,ROWS($1:26)),))</f>
        <v/>
      </c>
      <c r="J39" s="815">
        <f t="shared" ca="1" si="3"/>
        <v>0</v>
      </c>
      <c r="K39" s="818"/>
      <c r="L39" s="816"/>
      <c r="M39" s="794"/>
      <c r="N39" s="794"/>
      <c r="O39" s="794"/>
      <c r="P39" s="794"/>
      <c r="Q39" s="794"/>
      <c r="R39" s="794"/>
      <c r="S39" s="794"/>
      <c r="T39" s="794"/>
      <c r="U39" s="794"/>
      <c r="V39" s="794"/>
      <c r="W39" s="794"/>
      <c r="X39" s="794"/>
      <c r="Y39" s="794"/>
      <c r="Z39" s="794"/>
      <c r="AA39" s="794"/>
      <c r="AB39" s="794"/>
      <c r="AC39" s="794"/>
      <c r="AD39" s="794"/>
      <c r="AE39" s="794"/>
      <c r="AF39" s="794"/>
      <c r="AG39" s="794"/>
      <c r="AH39" s="794"/>
      <c r="AI39" s="794"/>
      <c r="AJ39" s="794"/>
      <c r="AK39" s="794"/>
      <c r="AL39" s="794"/>
      <c r="AM39" s="794"/>
      <c r="AN39" s="794"/>
      <c r="AO39" s="794"/>
      <c r="AP39" s="794"/>
      <c r="AQ39" s="794"/>
      <c r="AR39" s="794"/>
      <c r="AS39" s="794"/>
      <c r="AT39" s="794"/>
      <c r="AU39" s="794"/>
      <c r="AV39" s="794"/>
      <c r="AW39" s="794"/>
      <c r="AX39" s="794"/>
      <c r="AY39" s="794"/>
      <c r="AZ39" s="794"/>
      <c r="BA39" s="794"/>
      <c r="BB39" s="794"/>
      <c r="BC39" s="794"/>
      <c r="BD39" s="794"/>
      <c r="BE39" s="794"/>
      <c r="BF39" s="794"/>
      <c r="BG39" s="794"/>
      <c r="BH39" s="794"/>
      <c r="BI39" s="794"/>
      <c r="BJ39" s="794"/>
      <c r="BK39" s="794"/>
      <c r="BL39" s="794"/>
      <c r="BM39" s="794"/>
      <c r="BN39" s="794"/>
      <c r="BO39" s="794"/>
      <c r="BP39" s="794"/>
      <c r="BQ39" s="794"/>
      <c r="BR39" s="794"/>
      <c r="BS39" s="794"/>
      <c r="BT39" s="794"/>
      <c r="BU39" s="794"/>
      <c r="BV39" s="794"/>
      <c r="BW39" s="794"/>
      <c r="BX39" s="794"/>
      <c r="BY39" s="794"/>
      <c r="BZ39" s="794"/>
      <c r="CA39" s="794"/>
      <c r="CB39" s="794"/>
      <c r="CC39" s="794"/>
      <c r="CD39" s="794"/>
      <c r="CE39" s="794"/>
      <c r="CF39" s="794"/>
      <c r="CG39" s="794"/>
    </row>
    <row r="40" spans="1:85" s="817" customFormat="1" ht="21.75" customHeight="1">
      <c r="A40" s="255" t="str">
        <f ca="1">IF(ROWS($1:27)&gt;COUNT(Dong13),"",OFFSET(TH!E$1,SMALL(Dong13,ROWS($1:27)),))</f>
        <v/>
      </c>
      <c r="B40" s="265" t="str">
        <f ca="1">IF(ROWS($1:27)&gt;COUNT(Dong13),"",OFFSET(TH!H$1,SMALL(Dong13,ROWS($1:27)),))</f>
        <v/>
      </c>
      <c r="C40" s="811" t="str">
        <f t="shared" ca="1" si="0"/>
        <v/>
      </c>
      <c r="D40" s="811" t="str">
        <f ca="1">IF(ROWS($1:27)&gt;COUNT(Dong13),"",OFFSET(TH!D$1,SMALL(Dong13,ROWS($1:27)),))</f>
        <v/>
      </c>
      <c r="E40" s="812" t="str">
        <f t="shared" ca="1" si="1"/>
        <v/>
      </c>
      <c r="F40" s="812" t="str">
        <f t="shared" ca="1" si="2"/>
        <v/>
      </c>
      <c r="G40" s="813" t="str">
        <f ca="1">IF(ROWS($1:27)&gt;COUNT(Dong13),"",OFFSET(TH!F$1,SMALL(Dong13,ROWS($1:27)),))</f>
        <v/>
      </c>
      <c r="H40" s="814" t="str">
        <f ca="1">IF(ROWS($1:27)&gt;COUNT(Dong13),"",OFFSET(TH!I$1,SMALL(Dong13,ROWS($1:27)),))</f>
        <v/>
      </c>
      <c r="I40" s="814" t="str">
        <f ca="1">IF(ROWS($1:27)&gt;COUNT(Dong13),"",OFFSET(TH!J$1,SMALL(Dong13,ROWS($1:27)),))</f>
        <v/>
      </c>
      <c r="J40" s="815">
        <f t="shared" ca="1" si="3"/>
        <v>0</v>
      </c>
      <c r="K40" s="818"/>
      <c r="L40" s="816"/>
      <c r="M40" s="794"/>
      <c r="N40" s="794"/>
      <c r="O40" s="794"/>
      <c r="P40" s="794"/>
      <c r="Q40" s="794"/>
      <c r="R40" s="794"/>
      <c r="S40" s="794"/>
      <c r="T40" s="794"/>
      <c r="U40" s="794"/>
      <c r="V40" s="794"/>
      <c r="W40" s="794"/>
      <c r="X40" s="794"/>
      <c r="Y40" s="794"/>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c r="BC40" s="794"/>
      <c r="BD40" s="794"/>
      <c r="BE40" s="794"/>
      <c r="BF40" s="794"/>
      <c r="BG40" s="794"/>
      <c r="BH40" s="794"/>
      <c r="BI40" s="794"/>
      <c r="BJ40" s="794"/>
      <c r="BK40" s="794"/>
      <c r="BL40" s="794"/>
      <c r="BM40" s="794"/>
      <c r="BN40" s="794"/>
      <c r="BO40" s="794"/>
      <c r="BP40" s="794"/>
      <c r="BQ40" s="794"/>
      <c r="BR40" s="794"/>
      <c r="BS40" s="794"/>
      <c r="BT40" s="794"/>
      <c r="BU40" s="794"/>
      <c r="BV40" s="794"/>
      <c r="BW40" s="794"/>
      <c r="BX40" s="794"/>
      <c r="BY40" s="794"/>
      <c r="BZ40" s="794"/>
      <c r="CA40" s="794"/>
      <c r="CB40" s="794"/>
      <c r="CC40" s="794"/>
      <c r="CD40" s="794"/>
      <c r="CE40" s="794"/>
      <c r="CF40" s="794"/>
      <c r="CG40" s="794"/>
    </row>
    <row r="41" spans="1:85" ht="24" customHeight="1">
      <c r="A41" s="795" t="s">
        <v>540</v>
      </c>
      <c r="E41" s="819">
        <f ca="1">SUM(J14:J40)</f>
        <v>0</v>
      </c>
      <c r="F41" s="819"/>
      <c r="J41" s="820"/>
      <c r="N41" s="821">
        <f ca="1">SUBTOTAL(9,J14:J40)</f>
        <v>0</v>
      </c>
    </row>
    <row r="42" spans="1:85">
      <c r="E42" s="822"/>
      <c r="F42" s="797"/>
      <c r="J42" s="823" t="str">
        <f xml:space="preserve"> IF(OR($M$11=1,$M$11=4,$M$11=6,$M$11=9,$M$11=11),"Ngày  30  tháng  "&amp;$M$11&amp;"  năm 2016",IF(OR($M$11=3,$M$11=5,$M$11=7,$M$11=8,$M$11=10,$M$11=12),"Ngày  31  tháng  "&amp;$M$11&amp;"  năm 2016","Ngày  29  tháng  "&amp;$M$11&amp;"  năm 2016"))</f>
        <v>Ngày  30  tháng  1  năm 2016</v>
      </c>
      <c r="K42" s="824"/>
    </row>
    <row r="43" spans="1:85">
      <c r="B43" s="825" t="s">
        <v>541</v>
      </c>
      <c r="C43" s="825"/>
      <c r="D43" s="825"/>
      <c r="J43" s="826" t="s">
        <v>542</v>
      </c>
    </row>
    <row r="44" spans="1:85">
      <c r="B44" s="827" t="s">
        <v>543</v>
      </c>
      <c r="C44" s="827"/>
      <c r="D44" s="827"/>
      <c r="F44" s="828"/>
      <c r="J44" s="829" t="s">
        <v>544</v>
      </c>
    </row>
    <row r="45" spans="1:85">
      <c r="B45" s="827"/>
      <c r="C45" s="827"/>
      <c r="D45" s="827"/>
      <c r="F45" s="828"/>
      <c r="I45" s="829"/>
    </row>
    <row r="46" spans="1:85">
      <c r="B46" s="827"/>
      <c r="C46" s="827"/>
      <c r="D46" s="827"/>
      <c r="F46" s="828"/>
      <c r="I46" s="829"/>
    </row>
    <row r="47" spans="1:85">
      <c r="B47" s="822"/>
      <c r="F47" s="822"/>
      <c r="J47" s="584">
        <f ca="1">SUBTOTAL(9,J14:J46)</f>
        <v>0</v>
      </c>
    </row>
    <row r="48" spans="1:85" ht="36.75" customHeight="1">
      <c r="B48" s="830"/>
      <c r="C48" s="830"/>
      <c r="D48" s="830"/>
      <c r="E48" s="831"/>
      <c r="H48" s="1249"/>
      <c r="I48" s="1249"/>
      <c r="J48" s="1249"/>
    </row>
    <row r="50" spans="1:11">
      <c r="A50" s="832" t="s">
        <v>545</v>
      </c>
    </row>
    <row r="51" spans="1:11" ht="33.75" customHeight="1">
      <c r="A51" s="1250" t="s">
        <v>546</v>
      </c>
      <c r="B51" s="1251"/>
      <c r="C51" s="1251"/>
      <c r="D51" s="1251"/>
      <c r="E51" s="1251"/>
      <c r="F51" s="1251"/>
      <c r="G51" s="1251"/>
      <c r="H51" s="1251"/>
      <c r="I51" s="1251"/>
      <c r="J51" s="1251"/>
      <c r="K51" s="1251"/>
    </row>
    <row r="52" spans="1:11" ht="33.75" customHeight="1">
      <c r="A52" s="1250" t="s">
        <v>547</v>
      </c>
      <c r="B52" s="1250"/>
      <c r="C52" s="1250"/>
      <c r="D52" s="1250"/>
      <c r="E52" s="1250"/>
      <c r="F52" s="1250"/>
      <c r="G52" s="1250"/>
      <c r="H52" s="1250"/>
      <c r="I52" s="1250"/>
      <c r="J52" s="1250"/>
      <c r="K52" s="1250"/>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1"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3" customWidth="1"/>
    <col min="2" max="2" width="23" style="833" customWidth="1"/>
    <col min="3" max="3" width="6.7109375" style="833" customWidth="1"/>
    <col min="4" max="5" width="8.85546875" style="833" customWidth="1"/>
    <col min="6" max="6" width="9.140625" style="833" customWidth="1"/>
    <col min="7" max="7" width="14.28515625" style="833" customWidth="1"/>
    <col min="8" max="11" width="13.7109375" style="833" customWidth="1"/>
    <col min="12" max="12" width="11.85546875" style="833" customWidth="1"/>
    <col min="13" max="13" width="13.7109375" style="833" hidden="1" customWidth="1"/>
    <col min="14" max="14" width="14.5703125" style="833" customWidth="1"/>
    <col min="15" max="15" width="7.28515625" style="833" customWidth="1"/>
    <col min="16" max="16" width="7.7109375" style="833" customWidth="1"/>
    <col min="17" max="17" width="3.42578125" style="834" customWidth="1"/>
    <col min="18" max="18" width="23" style="833" customWidth="1"/>
    <col min="19" max="19" width="10.140625" style="835" customWidth="1"/>
    <col min="20" max="21" width="7.5703125" style="836" customWidth="1"/>
    <col min="22" max="22" width="12.140625" style="833" customWidth="1"/>
    <col min="23" max="23" width="7.7109375" style="833" customWidth="1"/>
    <col min="24" max="16384" width="10.28515625" style="833"/>
  </cols>
  <sheetData>
    <row r="1" spans="1:25">
      <c r="B1" s="833">
        <v>1</v>
      </c>
      <c r="C1" s="833">
        <v>2</v>
      </c>
      <c r="D1" s="833">
        <v>3</v>
      </c>
      <c r="E1" s="833">
        <v>4</v>
      </c>
      <c r="F1" s="833">
        <v>5</v>
      </c>
      <c r="G1" s="833">
        <v>6</v>
      </c>
      <c r="H1" s="833">
        <v>8</v>
      </c>
      <c r="I1" s="833">
        <v>7</v>
      </c>
      <c r="J1" s="833">
        <v>9</v>
      </c>
      <c r="K1" s="833">
        <v>10</v>
      </c>
      <c r="L1" s="833">
        <v>11</v>
      </c>
      <c r="M1" s="833">
        <v>12</v>
      </c>
      <c r="N1" s="833">
        <v>13</v>
      </c>
      <c r="O1" s="833">
        <v>14</v>
      </c>
      <c r="P1" s="833">
        <v>15</v>
      </c>
    </row>
    <row r="2" spans="1:25" ht="18" customHeight="1">
      <c r="A2" s="837" t="s">
        <v>548</v>
      </c>
      <c r="B2" s="837"/>
      <c r="C2" s="838"/>
      <c r="D2" s="839"/>
      <c r="E2" s="839"/>
      <c r="F2" s="839"/>
      <c r="G2" s="836"/>
      <c r="H2" s="836"/>
      <c r="I2" s="836"/>
      <c r="J2" s="836"/>
      <c r="K2" s="836"/>
      <c r="L2" s="840"/>
      <c r="M2" s="836"/>
      <c r="N2" s="836"/>
      <c r="O2" s="841"/>
      <c r="P2" s="836"/>
      <c r="Q2" s="842"/>
      <c r="R2" s="836"/>
      <c r="S2" s="843"/>
    </row>
    <row r="3" spans="1:25" ht="18.75" customHeight="1">
      <c r="A3" s="844" t="s">
        <v>549</v>
      </c>
      <c r="B3" s="844"/>
      <c r="C3" s="844"/>
      <c r="D3" s="844"/>
      <c r="E3" s="844"/>
      <c r="F3" s="844"/>
      <c r="G3" s="844"/>
      <c r="H3" s="844"/>
      <c r="I3" s="844"/>
      <c r="J3" s="844"/>
      <c r="K3" s="844"/>
      <c r="L3" s="844"/>
      <c r="M3" s="844"/>
      <c r="N3" s="844"/>
      <c r="O3" s="844"/>
      <c r="P3" s="844"/>
      <c r="Q3" s="842"/>
      <c r="R3" s="836"/>
      <c r="S3" s="843"/>
    </row>
    <row r="4" spans="1:25" ht="18.75" customHeight="1">
      <c r="A4" s="845"/>
      <c r="B4" s="845"/>
      <c r="C4" s="846"/>
      <c r="D4" s="845"/>
      <c r="E4" s="845"/>
      <c r="F4" s="845"/>
      <c r="G4" s="845"/>
      <c r="H4" s="845"/>
      <c r="I4" s="845"/>
      <c r="J4" s="845"/>
      <c r="K4" s="845"/>
      <c r="L4" s="844"/>
      <c r="M4" s="845"/>
      <c r="N4" s="845"/>
      <c r="O4" s="847"/>
      <c r="P4" s="845"/>
      <c r="Q4" s="842"/>
      <c r="R4" s="836"/>
      <c r="S4" s="843"/>
    </row>
    <row r="5" spans="1:25" ht="12.75" customHeight="1">
      <c r="A5" s="848"/>
      <c r="B5" s="848"/>
      <c r="C5" s="849"/>
      <c r="D5" s="848"/>
      <c r="E5" s="848"/>
      <c r="F5" s="848"/>
      <c r="G5" s="848"/>
      <c r="H5" s="848"/>
      <c r="I5" s="848"/>
      <c r="J5" s="848"/>
      <c r="K5" s="848"/>
      <c r="L5" s="848"/>
      <c r="M5" s="848"/>
      <c r="N5" s="848"/>
      <c r="O5" s="850"/>
      <c r="P5" s="848"/>
      <c r="Q5" s="842"/>
      <c r="R5" s="851"/>
      <c r="S5" s="1268"/>
      <c r="T5" s="1268"/>
      <c r="U5" s="852"/>
      <c r="V5" s="1268"/>
      <c r="W5" s="1268"/>
      <c r="X5" s="851"/>
      <c r="Y5" s="851"/>
    </row>
    <row r="6" spans="1:25" s="859" customFormat="1" ht="30.75" customHeight="1">
      <c r="A6" s="853" t="s">
        <v>37</v>
      </c>
      <c r="B6" s="853" t="s">
        <v>550</v>
      </c>
      <c r="C6" s="854" t="s">
        <v>551</v>
      </c>
      <c r="D6" s="855" t="s">
        <v>552</v>
      </c>
      <c r="E6" s="855" t="s">
        <v>553</v>
      </c>
      <c r="F6" s="855" t="s">
        <v>554</v>
      </c>
      <c r="G6" s="855" t="s">
        <v>555</v>
      </c>
      <c r="H6" s="855" t="s">
        <v>556</v>
      </c>
      <c r="I6" s="855" t="s">
        <v>557</v>
      </c>
      <c r="J6" s="855" t="s">
        <v>558</v>
      </c>
      <c r="K6" s="856" t="s">
        <v>559</v>
      </c>
      <c r="L6" s="855" t="s">
        <v>560</v>
      </c>
      <c r="M6" s="856" t="s">
        <v>561</v>
      </c>
      <c r="N6" s="855" t="s">
        <v>562</v>
      </c>
      <c r="O6" s="857" t="s">
        <v>553</v>
      </c>
      <c r="P6" s="855" t="s">
        <v>563</v>
      </c>
      <c r="Q6" s="858"/>
      <c r="R6" s="853" t="s">
        <v>550</v>
      </c>
      <c r="S6" s="855" t="s">
        <v>517</v>
      </c>
      <c r="T6" s="855" t="s">
        <v>353</v>
      </c>
      <c r="U6" s="855" t="s">
        <v>554</v>
      </c>
      <c r="V6" s="855" t="s">
        <v>564</v>
      </c>
      <c r="W6" s="853" t="s">
        <v>564</v>
      </c>
    </row>
    <row r="7" spans="1:25">
      <c r="A7" s="860" t="str">
        <f>IF(B7&lt;&gt;"",ROW()-(ROW()-1),"")</f>
        <v/>
      </c>
      <c r="B7" s="591"/>
      <c r="C7" s="861"/>
      <c r="D7" s="710">
        <f>ROUND(C7*O7,0)</f>
        <v>0</v>
      </c>
      <c r="E7" s="710"/>
      <c r="F7" s="710"/>
      <c r="G7" s="862">
        <f>(D7+E7)*F7</f>
        <v>0</v>
      </c>
      <c r="H7" s="710">
        <f>IF($D$11&lt;&gt;0,H$11/($D$11+$E$11/5)*($D7+$E7/5),0)</f>
        <v>0</v>
      </c>
      <c r="I7" s="710">
        <f>IF($D$11&lt;&gt;0,I$11/$D$11*$D7,0)</f>
        <v>0</v>
      </c>
      <c r="J7" s="710">
        <f t="shared" ref="J7:K9" si="0">IF($D$11&lt;&gt;0,J$11/$D$11*$D7,0)</f>
        <v>0</v>
      </c>
      <c r="K7" s="710">
        <f t="shared" si="0"/>
        <v>0</v>
      </c>
      <c r="L7" s="710">
        <f>V18+V19</f>
        <v>0</v>
      </c>
      <c r="M7" s="710"/>
      <c r="N7" s="862">
        <f>G7+I7+H7+J7+L7+K7+M7</f>
        <v>0</v>
      </c>
      <c r="O7" s="710"/>
      <c r="P7" s="710" t="str">
        <f>IF(O7&lt;&gt;"",N7/O7,"")</f>
        <v/>
      </c>
      <c r="Q7" s="863"/>
      <c r="R7" s="864"/>
      <c r="S7" s="865"/>
      <c r="T7" s="272"/>
      <c r="U7" s="866"/>
      <c r="V7" s="862">
        <f>ROUND(T7*U7,0)</f>
        <v>0</v>
      </c>
      <c r="W7" s="867"/>
    </row>
    <row r="8" spans="1:25">
      <c r="A8" s="860" t="str">
        <f>IF(B8&lt;&gt;"",A7+1,"")</f>
        <v/>
      </c>
      <c r="B8" s="591"/>
      <c r="C8" s="861"/>
      <c r="D8" s="710">
        <f>ROUND(C8*O8,0)</f>
        <v>0</v>
      </c>
      <c r="E8" s="710"/>
      <c r="F8" s="710"/>
      <c r="G8" s="862">
        <f>(D8+E8)*F8</f>
        <v>0</v>
      </c>
      <c r="H8" s="710">
        <f>IF($D$11&lt;&gt;0,H$11/($D$11+$E$11/5)*($D8+$E8/5),0)</f>
        <v>0</v>
      </c>
      <c r="I8" s="710">
        <f>IF($D$11&lt;&gt;0,I$11/$D$11*$D8,0)</f>
        <v>0</v>
      </c>
      <c r="J8" s="710">
        <f t="shared" si="0"/>
        <v>0</v>
      </c>
      <c r="K8" s="710">
        <f t="shared" si="0"/>
        <v>0</v>
      </c>
      <c r="L8" s="710">
        <f>V20</f>
        <v>0</v>
      </c>
      <c r="M8" s="710"/>
      <c r="N8" s="862">
        <f>G8+I8+H8+J8+L8+K8+M8</f>
        <v>0</v>
      </c>
      <c r="O8" s="868"/>
      <c r="P8" s="710" t="str">
        <f>IF(O8&lt;&gt;"",N8/O8,"")</f>
        <v/>
      </c>
      <c r="Q8" s="863"/>
      <c r="R8" s="869"/>
      <c r="S8" s="865"/>
      <c r="T8" s="272"/>
      <c r="U8" s="870"/>
      <c r="V8" s="862">
        <f t="shared" ref="V8:V15" si="1">ROUND(T8*U8,0)</f>
        <v>0</v>
      </c>
      <c r="W8" s="871"/>
    </row>
    <row r="9" spans="1:25">
      <c r="A9" s="860" t="str">
        <f>IF(B9&lt;&gt;"",A8+1,"")</f>
        <v/>
      </c>
      <c r="B9" s="872"/>
      <c r="C9" s="861"/>
      <c r="D9" s="710">
        <f>ROUND(C9*O9,0)</f>
        <v>0</v>
      </c>
      <c r="E9" s="710"/>
      <c r="F9" s="710"/>
      <c r="G9" s="862">
        <f>(D9+E9)*F9</f>
        <v>0</v>
      </c>
      <c r="H9" s="710">
        <f>IF($D$11&lt;&gt;0,H$11/($D$11+$E$11/5)*($D9+$E9/5),0)</f>
        <v>0</v>
      </c>
      <c r="I9" s="710">
        <f>IF($D$11&lt;&gt;0,I$11/$D$11*$D9,0)</f>
        <v>0</v>
      </c>
      <c r="J9" s="710">
        <f t="shared" si="0"/>
        <v>0</v>
      </c>
      <c r="K9" s="710">
        <f t="shared" si="0"/>
        <v>0</v>
      </c>
      <c r="L9" s="710">
        <f>V21+V22</f>
        <v>0</v>
      </c>
      <c r="M9" s="710"/>
      <c r="N9" s="862">
        <f>G9+I9+H9+J9+L9+K9+M9</f>
        <v>0</v>
      </c>
      <c r="O9" s="868"/>
      <c r="P9" s="710" t="str">
        <f>IF(O9&lt;&gt;"",N9/O9,"")</f>
        <v/>
      </c>
      <c r="Q9" s="863"/>
      <c r="R9" s="869"/>
      <c r="S9" s="865"/>
      <c r="T9" s="272"/>
      <c r="U9" s="870"/>
      <c r="V9" s="862">
        <f t="shared" si="1"/>
        <v>0</v>
      </c>
      <c r="W9" s="871"/>
    </row>
    <row r="10" spans="1:25" s="882" customFormat="1">
      <c r="A10" s="860" t="str">
        <f>IF(B10&lt;&gt;"",#REF!+1,"")</f>
        <v/>
      </c>
      <c r="B10" s="873"/>
      <c r="C10" s="874"/>
      <c r="D10" s="710"/>
      <c r="E10" s="875"/>
      <c r="F10" s="876"/>
      <c r="G10" s="877"/>
      <c r="H10" s="710"/>
      <c r="I10" s="876"/>
      <c r="J10" s="878"/>
      <c r="K10" s="876"/>
      <c r="L10" s="879"/>
      <c r="M10" s="876"/>
      <c r="N10" s="862"/>
      <c r="O10" s="880"/>
      <c r="P10" s="710" t="str">
        <f>IF(B10&lt;&gt;"",N10/O10,"")</f>
        <v/>
      </c>
      <c r="Q10" s="881"/>
      <c r="R10" s="869"/>
      <c r="S10" s="865"/>
      <c r="T10" s="272"/>
      <c r="U10" s="870"/>
      <c r="V10" s="862">
        <f t="shared" si="1"/>
        <v>0</v>
      </c>
      <c r="W10" s="871"/>
    </row>
    <row r="11" spans="1:25" s="837" customFormat="1">
      <c r="A11" s="883"/>
      <c r="B11" s="884" t="s">
        <v>565</v>
      </c>
      <c r="C11" s="885"/>
      <c r="D11" s="886">
        <f>SUM(D7:D10)</f>
        <v>0</v>
      </c>
      <c r="E11" s="886"/>
      <c r="F11" s="886"/>
      <c r="G11" s="886">
        <f>SUM(G7:G10)</f>
        <v>0</v>
      </c>
      <c r="H11" s="887"/>
      <c r="I11" s="887">
        <f>V17</f>
        <v>0</v>
      </c>
      <c r="J11" s="887"/>
      <c r="K11" s="887"/>
      <c r="L11" s="886">
        <f>ROUND(SUM(L7:L10),0)</f>
        <v>0</v>
      </c>
      <c r="M11" s="886">
        <f>ROUND(SUM(M7:M10),0)</f>
        <v>0</v>
      </c>
      <c r="N11" s="886">
        <f>ROUND(SUM(N7:N10),0)</f>
        <v>0</v>
      </c>
      <c r="O11" s="886">
        <f>ROUND(SUM(O7:O10),0)</f>
        <v>0</v>
      </c>
      <c r="P11" s="886"/>
      <c r="Q11" s="842"/>
      <c r="R11" s="869"/>
      <c r="S11" s="865"/>
      <c r="T11" s="272"/>
      <c r="U11" s="870"/>
      <c r="V11" s="862">
        <f t="shared" si="1"/>
        <v>0</v>
      </c>
      <c r="W11" s="871"/>
    </row>
    <row r="12" spans="1:25" s="837" customFormat="1">
      <c r="A12" s="888"/>
      <c r="B12" s="889"/>
      <c r="C12" s="846"/>
      <c r="D12" s="890"/>
      <c r="E12" s="890"/>
      <c r="F12" s="890"/>
      <c r="G12" s="890"/>
      <c r="H12" s="890"/>
      <c r="I12" s="844"/>
      <c r="J12" s="890"/>
      <c r="K12" s="890"/>
      <c r="L12" s="890"/>
      <c r="M12" s="890"/>
      <c r="N12" s="890"/>
      <c r="O12" s="890"/>
      <c r="P12" s="890"/>
      <c r="Q12" s="842"/>
      <c r="R12" s="869"/>
      <c r="S12" s="865"/>
      <c r="T12" s="272"/>
      <c r="U12" s="870"/>
      <c r="V12" s="862">
        <f t="shared" si="1"/>
        <v>0</v>
      </c>
      <c r="W12" s="871"/>
    </row>
    <row r="13" spans="1:25" s="837" customFormat="1">
      <c r="A13" s="888"/>
      <c r="B13" s="889"/>
      <c r="C13" s="846"/>
      <c r="D13" s="890"/>
      <c r="E13" s="890"/>
      <c r="F13" s="890"/>
      <c r="G13" s="891"/>
      <c r="H13" s="890"/>
      <c r="I13" s="844"/>
      <c r="J13" s="890"/>
      <c r="K13" s="890"/>
      <c r="L13" s="890"/>
      <c r="M13" s="890"/>
      <c r="N13" s="890"/>
      <c r="O13" s="890"/>
      <c r="P13" s="890"/>
      <c r="Q13" s="842"/>
      <c r="R13" s="594"/>
      <c r="S13" s="865"/>
      <c r="T13" s="594"/>
      <c r="U13" s="520"/>
      <c r="V13" s="862">
        <f t="shared" si="1"/>
        <v>0</v>
      </c>
      <c r="W13" s="871"/>
    </row>
    <row r="14" spans="1:25" s="837" customFormat="1">
      <c r="A14" s="888"/>
      <c r="B14" s="889"/>
      <c r="C14" s="846"/>
      <c r="D14" s="890"/>
      <c r="E14" s="890"/>
      <c r="F14" s="890"/>
      <c r="G14" s="891"/>
      <c r="H14" s="890"/>
      <c r="I14" s="844"/>
      <c r="J14" s="890"/>
      <c r="K14" s="890"/>
      <c r="L14" s="890"/>
      <c r="M14" s="890"/>
      <c r="N14" s="890"/>
      <c r="O14" s="890"/>
      <c r="P14" s="890"/>
      <c r="Q14" s="842"/>
      <c r="R14" s="869"/>
      <c r="S14" s="865"/>
      <c r="T14" s="272"/>
      <c r="U14" s="870"/>
      <c r="V14" s="862">
        <f t="shared" si="1"/>
        <v>0</v>
      </c>
      <c r="W14" s="871"/>
    </row>
    <row r="15" spans="1:25" s="837" customFormat="1">
      <c r="A15" s="888"/>
      <c r="B15" s="889"/>
      <c r="C15" s="846"/>
      <c r="D15" s="890"/>
      <c r="E15" s="890"/>
      <c r="F15" s="890"/>
      <c r="G15" s="891"/>
      <c r="H15" s="890"/>
      <c r="I15" s="844"/>
      <c r="J15" s="890"/>
      <c r="K15" s="890"/>
      <c r="L15" s="890"/>
      <c r="M15" s="890"/>
      <c r="N15" s="890"/>
      <c r="O15" s="890"/>
      <c r="P15" s="890"/>
      <c r="Q15" s="833"/>
      <c r="R15" s="869"/>
      <c r="S15" s="865"/>
      <c r="T15" s="892"/>
      <c r="U15" s="892"/>
      <c r="V15" s="862">
        <f t="shared" si="1"/>
        <v>0</v>
      </c>
      <c r="W15" s="871"/>
    </row>
    <row r="16" spans="1:25" s="837" customFormat="1">
      <c r="A16" s="888"/>
      <c r="B16" s="889"/>
      <c r="C16" s="846"/>
      <c r="D16" s="890"/>
      <c r="E16" s="890"/>
      <c r="F16" s="890"/>
      <c r="G16" s="891"/>
      <c r="H16" s="890"/>
      <c r="I16" s="844"/>
      <c r="J16" s="890"/>
      <c r="K16" s="890"/>
      <c r="L16" s="890"/>
      <c r="M16" s="890"/>
      <c r="N16" s="890"/>
      <c r="O16" s="890"/>
      <c r="P16" s="890"/>
      <c r="Q16" s="833"/>
      <c r="R16" s="893"/>
      <c r="S16" s="865"/>
      <c r="T16" s="894"/>
      <c r="U16" s="894"/>
      <c r="V16" s="894"/>
      <c r="W16" s="871"/>
    </row>
    <row r="17" spans="1:24" s="837" customFormat="1">
      <c r="A17" s="888"/>
      <c r="B17" s="889"/>
      <c r="C17" s="846"/>
      <c r="D17" s="890"/>
      <c r="E17" s="890"/>
      <c r="F17" s="890"/>
      <c r="G17" s="890"/>
      <c r="H17" s="890"/>
      <c r="I17" s="844"/>
      <c r="J17" s="890"/>
      <c r="K17" s="890"/>
      <c r="L17" s="890"/>
      <c r="M17" s="890"/>
      <c r="N17" s="890"/>
      <c r="O17" s="890"/>
      <c r="P17" s="890"/>
      <c r="Q17" s="833"/>
      <c r="R17" s="1269"/>
      <c r="S17" s="1269"/>
      <c r="T17" s="1269"/>
      <c r="U17" s="895"/>
      <c r="V17" s="896">
        <f>SUM(V7:V16)</f>
        <v>0</v>
      </c>
      <c r="W17" s="896">
        <f>SUM(W7:W16)</f>
        <v>0</v>
      </c>
    </row>
    <row r="18" spans="1:24">
      <c r="G18" s="851"/>
      <c r="H18" s="851"/>
      <c r="I18" s="897"/>
      <c r="N18" s="898"/>
      <c r="O18" s="890"/>
      <c r="R18" s="892"/>
      <c r="S18" s="865"/>
      <c r="T18" s="272"/>
      <c r="U18" s="272"/>
      <c r="V18" s="862">
        <f>ROUND(T18*U18,0)</f>
        <v>0</v>
      </c>
      <c r="W18" s="878"/>
    </row>
    <row r="19" spans="1:24">
      <c r="G19" s="851"/>
      <c r="H19" s="851"/>
      <c r="I19" s="897"/>
      <c r="N19" s="898"/>
      <c r="O19" s="890"/>
      <c r="R19" s="892"/>
      <c r="S19" s="865"/>
      <c r="T19" s="272"/>
      <c r="U19" s="870"/>
      <c r="V19" s="862">
        <f>ROUND(T19*U19,0)</f>
        <v>0</v>
      </c>
      <c r="W19" s="878"/>
    </row>
    <row r="20" spans="1:24">
      <c r="G20" s="851"/>
      <c r="H20" s="851"/>
      <c r="I20" s="897"/>
      <c r="N20" s="898"/>
      <c r="O20" s="890"/>
      <c r="R20" s="892"/>
      <c r="S20" s="865"/>
      <c r="T20" s="870"/>
      <c r="U20" s="870"/>
      <c r="V20" s="862">
        <f>ROUND(T20*U20,0)</f>
        <v>0</v>
      </c>
      <c r="W20" s="878"/>
    </row>
    <row r="21" spans="1:24">
      <c r="G21" s="851"/>
      <c r="H21" s="851"/>
      <c r="I21" s="897"/>
      <c r="N21" s="898"/>
      <c r="O21" s="890"/>
      <c r="R21" s="869"/>
      <c r="S21" s="865"/>
      <c r="T21" s="870"/>
      <c r="U21" s="870"/>
      <c r="V21" s="862">
        <f>ROUND(T21*U21,0)</f>
        <v>0</v>
      </c>
      <c r="W21" s="878"/>
    </row>
    <row r="22" spans="1:24">
      <c r="G22" s="851"/>
      <c r="H22" s="851"/>
      <c r="I22" s="897"/>
      <c r="N22" s="898"/>
      <c r="O22" s="890"/>
      <c r="R22" s="892"/>
      <c r="S22" s="865"/>
      <c r="T22" s="870"/>
      <c r="U22" s="870"/>
      <c r="V22" s="862">
        <f>ROUND(T22*U22,0)</f>
        <v>0</v>
      </c>
      <c r="W22" s="878"/>
    </row>
    <row r="23" spans="1:24" ht="18" customHeight="1">
      <c r="A23" s="837" t="s">
        <v>548</v>
      </c>
      <c r="B23" s="837"/>
      <c r="C23" s="838"/>
      <c r="D23" s="839"/>
      <c r="E23" s="839"/>
      <c r="F23" s="839"/>
      <c r="G23" s="836"/>
      <c r="H23" s="836"/>
      <c r="I23" s="836"/>
      <c r="J23" s="836"/>
      <c r="K23" s="836"/>
      <c r="L23" s="840"/>
      <c r="M23" s="836"/>
      <c r="N23" s="836"/>
      <c r="O23" s="841"/>
      <c r="P23" s="836"/>
      <c r="Q23" s="842"/>
      <c r="R23" s="899"/>
      <c r="S23" s="900"/>
      <c r="T23" s="901"/>
      <c r="U23" s="901"/>
      <c r="V23" s="901"/>
      <c r="W23" s="902"/>
      <c r="X23" s="851"/>
    </row>
    <row r="24" spans="1:24" ht="18.75" customHeight="1">
      <c r="A24" s="844" t="s">
        <v>566</v>
      </c>
      <c r="B24" s="844"/>
      <c r="C24" s="844"/>
      <c r="D24" s="844"/>
      <c r="E24" s="844"/>
      <c r="F24" s="844"/>
      <c r="G24" s="844"/>
      <c r="H24" s="844"/>
      <c r="I24" s="844"/>
      <c r="J24" s="844"/>
      <c r="K24" s="844"/>
      <c r="L24" s="844"/>
      <c r="M24" s="844"/>
      <c r="N24" s="844"/>
      <c r="O24" s="844"/>
      <c r="P24" s="844"/>
      <c r="Q24" s="842"/>
      <c r="R24" s="903"/>
      <c r="S24" s="904"/>
      <c r="T24" s="852"/>
      <c r="U24" s="852"/>
      <c r="V24" s="905"/>
    </row>
    <row r="25" spans="1:24" ht="18.75" customHeight="1">
      <c r="A25" s="845"/>
      <c r="B25" s="845"/>
      <c r="C25" s="846"/>
      <c r="D25" s="845"/>
      <c r="E25" s="845"/>
      <c r="F25" s="845"/>
      <c r="G25" s="845"/>
      <c r="H25" s="845"/>
      <c r="I25" s="845"/>
      <c r="J25" s="845"/>
      <c r="K25" s="845"/>
      <c r="L25" s="844"/>
      <c r="M25" s="845"/>
      <c r="N25" s="845"/>
      <c r="O25" s="847"/>
      <c r="P25" s="845"/>
      <c r="Q25" s="842"/>
      <c r="R25" s="836"/>
      <c r="S25" s="843"/>
    </row>
    <row r="26" spans="1:24" ht="12.75" customHeight="1">
      <c r="A26" s="848"/>
      <c r="B26" s="848"/>
      <c r="C26" s="849"/>
      <c r="D26" s="848"/>
      <c r="E26" s="848"/>
      <c r="F26" s="848"/>
      <c r="G26" s="848"/>
      <c r="H26" s="848"/>
      <c r="I26" s="848"/>
      <c r="J26" s="848"/>
      <c r="K26" s="848"/>
      <c r="L26" s="848"/>
      <c r="M26" s="848"/>
      <c r="N26" s="848"/>
      <c r="O26" s="850"/>
      <c r="P26" s="848"/>
      <c r="Q26" s="842"/>
      <c r="R26" s="836"/>
      <c r="S26" s="843"/>
    </row>
    <row r="27" spans="1:24" s="859" customFormat="1" ht="30.75" customHeight="1">
      <c r="A27" s="853" t="s">
        <v>37</v>
      </c>
      <c r="B27" s="853" t="s">
        <v>550</v>
      </c>
      <c r="C27" s="854" t="s">
        <v>551</v>
      </c>
      <c r="D27" s="855" t="s">
        <v>552</v>
      </c>
      <c r="E27" s="855" t="s">
        <v>553</v>
      </c>
      <c r="F27" s="855" t="s">
        <v>554</v>
      </c>
      <c r="G27" s="855" t="s">
        <v>555</v>
      </c>
      <c r="H27" s="855" t="s">
        <v>556</v>
      </c>
      <c r="I27" s="855" t="s">
        <v>557</v>
      </c>
      <c r="J27" s="855" t="s">
        <v>558</v>
      </c>
      <c r="K27" s="856" t="s">
        <v>559</v>
      </c>
      <c r="L27" s="855" t="s">
        <v>560</v>
      </c>
      <c r="M27" s="856" t="s">
        <v>561</v>
      </c>
      <c r="N27" s="855" t="s">
        <v>562</v>
      </c>
      <c r="O27" s="857" t="s">
        <v>553</v>
      </c>
      <c r="P27" s="855" t="s">
        <v>563</v>
      </c>
      <c r="Q27" s="858"/>
      <c r="R27" s="853" t="s">
        <v>550</v>
      </c>
      <c r="S27" s="855" t="s">
        <v>517</v>
      </c>
      <c r="T27" s="855" t="s">
        <v>353</v>
      </c>
      <c r="U27" s="855" t="s">
        <v>554</v>
      </c>
      <c r="V27" s="855" t="s">
        <v>564</v>
      </c>
      <c r="W27" s="853" t="s">
        <v>564</v>
      </c>
    </row>
    <row r="28" spans="1:24">
      <c r="A28" s="860" t="str">
        <f>IF(B28&lt;&gt;"",ROW()-(ROW()-1),"")</f>
        <v/>
      </c>
      <c r="B28" s="872"/>
      <c r="C28" s="861"/>
      <c r="D28" s="710">
        <f>ROUND(C28*O28,0)</f>
        <v>0</v>
      </c>
      <c r="E28" s="710"/>
      <c r="F28" s="710">
        <v>13500</v>
      </c>
      <c r="G28" s="862">
        <f>(D28+E28)*F28</f>
        <v>0</v>
      </c>
      <c r="H28" s="710">
        <f>IF($D$31&lt;&gt;0,H$31/($D$31+$E$31/5)*($D28+$E28/5),0)</f>
        <v>0</v>
      </c>
      <c r="I28" s="710">
        <f t="shared" ref="I28:K29" si="2">IF($D$31&lt;&gt;0,I$31/$D$31*$D28,0)</f>
        <v>0</v>
      </c>
      <c r="J28" s="710">
        <f t="shared" si="2"/>
        <v>0</v>
      </c>
      <c r="K28" s="710">
        <f t="shared" si="2"/>
        <v>0</v>
      </c>
      <c r="L28" s="710">
        <f>V38</f>
        <v>0</v>
      </c>
      <c r="M28" s="710"/>
      <c r="N28" s="862">
        <f>SUM(G28:L28)</f>
        <v>0</v>
      </c>
      <c r="O28" s="710"/>
      <c r="P28" s="710" t="str">
        <f>IF(O28&lt;&gt;"",N28/O28,"")</f>
        <v/>
      </c>
      <c r="Q28" s="881"/>
      <c r="R28" s="864"/>
      <c r="S28" s="865"/>
      <c r="T28" s="272"/>
      <c r="U28" s="866"/>
      <c r="V28" s="862">
        <f t="shared" ref="V28:V35" si="3">ROUND(T28*U28,0)</f>
        <v>0</v>
      </c>
      <c r="W28" s="867"/>
    </row>
    <row r="29" spans="1:24">
      <c r="A29" s="860" t="str">
        <f>IF(B29&lt;&gt;"",A28+1,"")</f>
        <v/>
      </c>
      <c r="B29" s="869"/>
      <c r="C29" s="861">
        <f>IF(ISNA(VLOOKUP(B29,NXT!$Q$61:$S$81,2,0)),0,VLOOKUP(B29,NXT!$Q$61:$S$81,2,0))</f>
        <v>0</v>
      </c>
      <c r="D29" s="710">
        <f>ROUND(C29*O29,0)</f>
        <v>0</v>
      </c>
      <c r="E29" s="710"/>
      <c r="F29" s="710"/>
      <c r="G29" s="862">
        <f>(D29+E29)*F29</f>
        <v>0</v>
      </c>
      <c r="H29" s="710">
        <f>IF($D$31&lt;&gt;0,H$31/($D$31+$E$31/5)*($D29+$E29/5),0)</f>
        <v>0</v>
      </c>
      <c r="I29" s="710">
        <f t="shared" si="2"/>
        <v>0</v>
      </c>
      <c r="J29" s="710">
        <f t="shared" si="2"/>
        <v>0</v>
      </c>
      <c r="K29" s="710">
        <f t="shared" si="2"/>
        <v>0</v>
      </c>
      <c r="L29" s="710"/>
      <c r="M29" s="710"/>
      <c r="N29" s="862">
        <f>SUM(G29:L29)</f>
        <v>0</v>
      </c>
      <c r="O29" s="868"/>
      <c r="P29" s="710" t="str">
        <f>IF(O29&lt;&gt;"",N29/O29,"")</f>
        <v/>
      </c>
      <c r="Q29" s="881"/>
      <c r="R29" s="869"/>
      <c r="S29" s="865"/>
      <c r="T29" s="272"/>
      <c r="U29" s="272"/>
      <c r="V29" s="862">
        <f t="shared" si="3"/>
        <v>0</v>
      </c>
      <c r="W29" s="871"/>
    </row>
    <row r="30" spans="1:24" s="882" customFormat="1">
      <c r="A30" s="860" t="str">
        <f>IF(B30&lt;&gt;"",#REF!+1,"")</f>
        <v/>
      </c>
      <c r="B30" s="906"/>
      <c r="C30" s="907"/>
      <c r="D30" s="908"/>
      <c r="E30" s="908"/>
      <c r="F30" s="908"/>
      <c r="G30" s="909"/>
      <c r="H30" s="910"/>
      <c r="I30" s="908"/>
      <c r="J30" s="911"/>
      <c r="K30" s="908"/>
      <c r="L30" s="912"/>
      <c r="M30" s="908"/>
      <c r="N30" s="910"/>
      <c r="O30" s="913"/>
      <c r="P30" s="908"/>
      <c r="Q30" s="881"/>
      <c r="R30" s="869"/>
      <c r="S30" s="865"/>
      <c r="T30" s="272"/>
      <c r="U30" s="870"/>
      <c r="V30" s="862">
        <f t="shared" si="3"/>
        <v>0</v>
      </c>
      <c r="W30" s="871"/>
    </row>
    <row r="31" spans="1:24" s="837" customFormat="1">
      <c r="A31" s="883"/>
      <c r="B31" s="884" t="s">
        <v>565</v>
      </c>
      <c r="C31" s="885"/>
      <c r="D31" s="886">
        <f>SUM(D28:D30)</f>
        <v>0</v>
      </c>
      <c r="E31" s="886">
        <f>SUM(E28:E30)</f>
        <v>0</v>
      </c>
      <c r="F31" s="886"/>
      <c r="G31" s="886">
        <f>SUM(G28:G30)</f>
        <v>0</v>
      </c>
      <c r="H31" s="887"/>
      <c r="I31" s="887">
        <f>$V$37</f>
        <v>0</v>
      </c>
      <c r="J31" s="887"/>
      <c r="K31" s="887"/>
      <c r="L31" s="886">
        <f>ROUND(SUM(L28:L30),0)</f>
        <v>0</v>
      </c>
      <c r="M31" s="886">
        <f>ROUND(SUM(M28:M30),0)</f>
        <v>0</v>
      </c>
      <c r="N31" s="886">
        <f>ROUND(SUM(N28:N30),0)</f>
        <v>0</v>
      </c>
      <c r="O31" s="886">
        <f>ROUND(SUM(O28:O30),0)</f>
        <v>0</v>
      </c>
      <c r="P31" s="886"/>
      <c r="Q31" s="842"/>
      <c r="R31" s="869"/>
      <c r="S31" s="865"/>
      <c r="T31" s="272"/>
      <c r="U31" s="870"/>
      <c r="V31" s="862">
        <f t="shared" si="3"/>
        <v>0</v>
      </c>
      <c r="W31" s="871"/>
    </row>
    <row r="32" spans="1:24" s="837" customFormat="1">
      <c r="A32" s="888"/>
      <c r="B32" s="889"/>
      <c r="C32" s="846"/>
      <c r="D32" s="890"/>
      <c r="E32" s="890"/>
      <c r="F32" s="890"/>
      <c r="G32" s="890"/>
      <c r="H32" s="890"/>
      <c r="I32" s="844"/>
      <c r="J32" s="890"/>
      <c r="K32" s="890"/>
      <c r="L32" s="890"/>
      <c r="M32" s="890"/>
      <c r="N32" s="890"/>
      <c r="O32" s="890"/>
      <c r="P32" s="890"/>
      <c r="Q32" s="842"/>
      <c r="R32" s="869"/>
      <c r="S32" s="865"/>
      <c r="T32" s="272"/>
      <c r="U32" s="272"/>
      <c r="V32" s="862">
        <f t="shared" si="3"/>
        <v>0</v>
      </c>
      <c r="W32" s="914"/>
    </row>
    <row r="33" spans="1:23" s="837" customFormat="1">
      <c r="A33" s="888"/>
      <c r="B33" s="889"/>
      <c r="C33" s="846"/>
      <c r="D33" s="890"/>
      <c r="E33" s="890"/>
      <c r="F33" s="890"/>
      <c r="G33" s="890"/>
      <c r="H33" s="890"/>
      <c r="I33" s="844"/>
      <c r="J33" s="890"/>
      <c r="K33" s="890"/>
      <c r="L33" s="890"/>
      <c r="M33" s="890"/>
      <c r="N33" s="890"/>
      <c r="O33" s="890"/>
      <c r="P33" s="890"/>
      <c r="Q33" s="842"/>
      <c r="R33" s="869"/>
      <c r="S33" s="865"/>
      <c r="T33" s="272"/>
      <c r="U33" s="272"/>
      <c r="V33" s="862">
        <f t="shared" si="3"/>
        <v>0</v>
      </c>
      <c r="W33" s="914"/>
    </row>
    <row r="34" spans="1:23" s="837" customFormat="1">
      <c r="A34" s="888"/>
      <c r="B34" s="889"/>
      <c r="C34" s="846"/>
      <c r="D34" s="890"/>
      <c r="E34" s="890"/>
      <c r="F34" s="890"/>
      <c r="G34" s="890"/>
      <c r="H34" s="890"/>
      <c r="I34" s="844"/>
      <c r="J34" s="890"/>
      <c r="K34" s="890"/>
      <c r="L34" s="890"/>
      <c r="M34" s="890"/>
      <c r="N34" s="890"/>
      <c r="O34" s="890"/>
      <c r="P34" s="890"/>
      <c r="Q34" s="842"/>
      <c r="R34" s="869"/>
      <c r="S34" s="865"/>
      <c r="T34" s="272"/>
      <c r="U34" s="272"/>
      <c r="V34" s="862">
        <f t="shared" si="3"/>
        <v>0</v>
      </c>
      <c r="W34" s="914"/>
    </row>
    <row r="35" spans="1:23" s="837" customFormat="1">
      <c r="A35" s="888"/>
      <c r="B35" s="889"/>
      <c r="C35" s="846"/>
      <c r="D35" s="890"/>
      <c r="E35" s="890"/>
      <c r="F35" s="890"/>
      <c r="G35" s="890"/>
      <c r="H35" s="890"/>
      <c r="I35" s="844"/>
      <c r="J35" s="890"/>
      <c r="K35" s="890"/>
      <c r="L35" s="890"/>
      <c r="M35" s="890"/>
      <c r="N35" s="890"/>
      <c r="O35" s="890"/>
      <c r="P35" s="890"/>
      <c r="Q35" s="842"/>
      <c r="R35" s="869"/>
      <c r="S35" s="865"/>
      <c r="T35" s="272"/>
      <c r="U35" s="892"/>
      <c r="V35" s="862">
        <f t="shared" si="3"/>
        <v>0</v>
      </c>
      <c r="W35" s="914"/>
    </row>
    <row r="36" spans="1:23">
      <c r="R36" s="893"/>
      <c r="S36" s="865"/>
      <c r="T36" s="894"/>
      <c r="U36" s="272"/>
      <c r="V36" s="894"/>
      <c r="W36" s="914"/>
    </row>
    <row r="37" spans="1:23">
      <c r="R37" s="915"/>
      <c r="S37" s="916"/>
      <c r="T37" s="917"/>
      <c r="U37" s="895"/>
      <c r="V37" s="896">
        <f>SUM(V28:V36)</f>
        <v>0</v>
      </c>
      <c r="W37" s="896">
        <f>SUM(W28:W36)</f>
        <v>0</v>
      </c>
    </row>
    <row r="38" spans="1:23">
      <c r="R38" s="918"/>
      <c r="S38" s="865"/>
      <c r="T38" s="272"/>
      <c r="U38" s="272"/>
      <c r="V38" s="862">
        <f>ROUND(T38*U38,0)</f>
        <v>0</v>
      </c>
      <c r="W38" s="867"/>
    </row>
    <row r="39" spans="1:23">
      <c r="R39" s="918"/>
      <c r="S39" s="865"/>
      <c r="T39" s="272"/>
      <c r="U39" s="272"/>
      <c r="V39" s="862">
        <f>ROUND(T39*U39,0)</f>
        <v>0</v>
      </c>
      <c r="W39" s="867"/>
    </row>
    <row r="40" spans="1:23">
      <c r="R40" s="918"/>
      <c r="S40" s="865"/>
      <c r="T40" s="272"/>
      <c r="U40" s="272"/>
      <c r="V40" s="862">
        <f>ROUND(T40*U40,0)</f>
        <v>0</v>
      </c>
      <c r="W40" s="867"/>
    </row>
    <row r="41" spans="1:23" ht="18" customHeight="1">
      <c r="A41" s="837" t="s">
        <v>548</v>
      </c>
      <c r="B41" s="837"/>
      <c r="C41" s="838"/>
      <c r="D41" s="839"/>
      <c r="E41" s="839"/>
      <c r="F41" s="839"/>
      <c r="G41" s="836"/>
      <c r="H41" s="836"/>
      <c r="I41" s="836"/>
      <c r="J41" s="836"/>
      <c r="K41" s="836"/>
      <c r="L41" s="840"/>
      <c r="M41" s="836"/>
      <c r="N41" s="836"/>
      <c r="O41" s="841"/>
      <c r="P41" s="836"/>
      <c r="Q41" s="842"/>
      <c r="R41" s="842"/>
      <c r="S41" s="919"/>
      <c r="T41" s="852"/>
      <c r="U41" s="852"/>
      <c r="V41" s="852"/>
      <c r="W41" s="920"/>
    </row>
    <row r="42" spans="1:23" ht="18.75" customHeight="1">
      <c r="A42" s="844" t="s">
        <v>567</v>
      </c>
      <c r="B42" s="844"/>
      <c r="C42" s="844"/>
      <c r="D42" s="844"/>
      <c r="E42" s="844"/>
      <c r="F42" s="844"/>
      <c r="G42" s="844"/>
      <c r="H42" s="844"/>
      <c r="I42" s="844"/>
      <c r="J42" s="844"/>
      <c r="K42" s="844"/>
      <c r="L42" s="844"/>
      <c r="M42" s="844"/>
      <c r="N42" s="844"/>
      <c r="O42" s="844"/>
      <c r="P42" s="844"/>
      <c r="Q42" s="842"/>
      <c r="R42" s="903"/>
      <c r="S42" s="904"/>
      <c r="T42" s="852"/>
      <c r="U42" s="852"/>
      <c r="V42" s="905"/>
      <c r="W42" s="920"/>
    </row>
    <row r="43" spans="1:23" ht="18.75" customHeight="1">
      <c r="A43" s="845"/>
      <c r="B43" s="845"/>
      <c r="C43" s="846"/>
      <c r="D43" s="845"/>
      <c r="E43" s="845"/>
      <c r="F43" s="845"/>
      <c r="G43" s="845"/>
      <c r="H43" s="845"/>
      <c r="I43" s="845"/>
      <c r="J43" s="845"/>
      <c r="K43" s="845"/>
      <c r="L43" s="844"/>
      <c r="M43" s="845"/>
      <c r="N43" s="845"/>
      <c r="O43" s="847"/>
      <c r="P43" s="845"/>
      <c r="Q43" s="842"/>
      <c r="R43" s="903"/>
      <c r="S43" s="904"/>
      <c r="T43" s="852"/>
      <c r="U43" s="852"/>
      <c r="V43" s="905"/>
      <c r="W43" s="920"/>
    </row>
    <row r="44" spans="1:23" ht="12.75" customHeight="1">
      <c r="A44" s="848"/>
      <c r="B44" s="848"/>
      <c r="C44" s="849"/>
      <c r="D44" s="848"/>
      <c r="E44" s="848"/>
      <c r="F44" s="848"/>
      <c r="G44" s="848"/>
      <c r="H44" s="848"/>
      <c r="I44" s="848"/>
      <c r="J44" s="848"/>
      <c r="K44" s="848"/>
      <c r="L44" s="848"/>
      <c r="M44" s="848"/>
      <c r="N44" s="848"/>
      <c r="O44" s="850"/>
      <c r="P44" s="848"/>
      <c r="Q44" s="842"/>
      <c r="R44" s="903"/>
      <c r="S44" s="904"/>
      <c r="T44" s="852"/>
      <c r="U44" s="852"/>
      <c r="V44" s="905"/>
      <c r="W44" s="851"/>
    </row>
    <row r="45" spans="1:23" s="859" customFormat="1" ht="30.75" customHeight="1">
      <c r="A45" s="853" t="s">
        <v>37</v>
      </c>
      <c r="B45" s="853" t="s">
        <v>550</v>
      </c>
      <c r="C45" s="854" t="s">
        <v>551</v>
      </c>
      <c r="D45" s="855" t="s">
        <v>552</v>
      </c>
      <c r="E45" s="855" t="s">
        <v>553</v>
      </c>
      <c r="F45" s="855" t="s">
        <v>554</v>
      </c>
      <c r="G45" s="855" t="s">
        <v>555</v>
      </c>
      <c r="H45" s="855" t="s">
        <v>556</v>
      </c>
      <c r="I45" s="855" t="s">
        <v>557</v>
      </c>
      <c r="J45" s="855" t="s">
        <v>558</v>
      </c>
      <c r="K45" s="856" t="s">
        <v>559</v>
      </c>
      <c r="L45" s="855" t="s">
        <v>560</v>
      </c>
      <c r="M45" s="856" t="s">
        <v>561</v>
      </c>
      <c r="N45" s="855" t="s">
        <v>562</v>
      </c>
      <c r="O45" s="857" t="s">
        <v>553</v>
      </c>
      <c r="P45" s="855" t="s">
        <v>563</v>
      </c>
      <c r="Q45" s="858"/>
      <c r="R45" s="853" t="s">
        <v>550</v>
      </c>
      <c r="S45" s="855" t="s">
        <v>517</v>
      </c>
      <c r="T45" s="855" t="s">
        <v>353</v>
      </c>
      <c r="U45" s="855" t="s">
        <v>554</v>
      </c>
      <c r="V45" s="855" t="s">
        <v>564</v>
      </c>
      <c r="W45" s="853" t="s">
        <v>564</v>
      </c>
    </row>
    <row r="46" spans="1:23">
      <c r="A46" s="860" t="str">
        <f>IF(B46&lt;&gt;"",#REF!+1,"")</f>
        <v/>
      </c>
      <c r="B46" s="921"/>
      <c r="C46" s="861"/>
      <c r="D46" s="710">
        <f>ROUND(C46*O46,0)</f>
        <v>0</v>
      </c>
      <c r="E46" s="710"/>
      <c r="F46" s="710"/>
      <c r="G46" s="862">
        <f>(D46+E46)*F46</f>
        <v>0</v>
      </c>
      <c r="H46" s="710">
        <f>IF($D$50&lt;&gt;0,H$50/($D$50+$E$50/5)*($D46+$E46/5),0)</f>
        <v>0</v>
      </c>
      <c r="I46" s="710">
        <f t="shared" ref="I46:K48" si="4">IF($D$50&lt;&gt;0,I$50/$D$50*$D46,0)</f>
        <v>0</v>
      </c>
      <c r="J46" s="710">
        <f t="shared" si="4"/>
        <v>0</v>
      </c>
      <c r="K46" s="710">
        <f t="shared" si="4"/>
        <v>0</v>
      </c>
      <c r="L46" s="710"/>
      <c r="M46" s="710"/>
      <c r="N46" s="862">
        <f>ROUND(SUM(G46:L46),0)</f>
        <v>0</v>
      </c>
      <c r="O46" s="868"/>
      <c r="P46" s="710" t="str">
        <f>IF(O46&lt;&gt;"",N46/O46,"")</f>
        <v/>
      </c>
      <c r="Q46" s="881"/>
      <c r="R46" s="869"/>
      <c r="S46" s="865"/>
      <c r="T46" s="272"/>
      <c r="U46" s="870"/>
      <c r="V46" s="862">
        <f t="shared" ref="V46:V53" si="5">ROUND(T46*U46,0)</f>
        <v>0</v>
      </c>
      <c r="W46" s="871"/>
    </row>
    <row r="47" spans="1:23">
      <c r="A47" s="860" t="str">
        <f>IF(B47&lt;&gt;"",A46+1,"")</f>
        <v/>
      </c>
      <c r="B47" s="872"/>
      <c r="C47" s="861">
        <f>IF(ISNA(VLOOKUP(B47,NXT!$Q$61:$S$81,2,0)),0,VLOOKUP(B47,NXT!$Q$61:$S$81,2,0))</f>
        <v>0</v>
      </c>
      <c r="D47" s="710">
        <f>ROUND(C47*O47,0)</f>
        <v>0</v>
      </c>
      <c r="E47" s="710"/>
      <c r="F47" s="710"/>
      <c r="G47" s="862">
        <f>(D47+E47)*F47</f>
        <v>0</v>
      </c>
      <c r="H47" s="710">
        <f>IF($D$50&lt;&gt;0,H$50/($D$50+$E$50/5)*($D47+$E47/5),0)</f>
        <v>0</v>
      </c>
      <c r="I47" s="710">
        <f t="shared" si="4"/>
        <v>0</v>
      </c>
      <c r="J47" s="710">
        <f t="shared" si="4"/>
        <v>0</v>
      </c>
      <c r="K47" s="710">
        <f t="shared" si="4"/>
        <v>0</v>
      </c>
      <c r="L47" s="710"/>
      <c r="M47" s="710"/>
      <c r="N47" s="862">
        <f>ROUND(SUM(G47:L47),0)</f>
        <v>0</v>
      </c>
      <c r="O47" s="868"/>
      <c r="P47" s="710" t="str">
        <f>IF(O47&lt;&gt;"",N47/O47,"")</f>
        <v/>
      </c>
      <c r="Q47" s="881"/>
      <c r="R47" s="869"/>
      <c r="S47" s="865"/>
      <c r="T47" s="272"/>
      <c r="U47" s="870"/>
      <c r="V47" s="862">
        <f t="shared" si="5"/>
        <v>0</v>
      </c>
      <c r="W47" s="871"/>
    </row>
    <row r="48" spans="1:23">
      <c r="A48" s="860" t="str">
        <f>IF(B48&lt;&gt;"",A47+1,"")</f>
        <v/>
      </c>
      <c r="B48" s="872"/>
      <c r="C48" s="861">
        <f>IF(ISNA(VLOOKUP(B48,NXT!$Q$61:$S$81,2,0)),0,VLOOKUP(B48,NXT!$Q$61:$S$81,2,0))</f>
        <v>0</v>
      </c>
      <c r="D48" s="710">
        <f>ROUND(C48*O48,0)</f>
        <v>0</v>
      </c>
      <c r="E48" s="710"/>
      <c r="F48" s="710"/>
      <c r="G48" s="862">
        <f>(D48+E48)*F48</f>
        <v>0</v>
      </c>
      <c r="H48" s="710">
        <f>IF($D$50&lt;&gt;0,H$50/($D$50+$E$50/5)*($D48+$E48/5),0)</f>
        <v>0</v>
      </c>
      <c r="I48" s="710">
        <f t="shared" si="4"/>
        <v>0</v>
      </c>
      <c r="J48" s="710">
        <f t="shared" si="4"/>
        <v>0</v>
      </c>
      <c r="K48" s="710">
        <f t="shared" si="4"/>
        <v>0</v>
      </c>
      <c r="L48" s="710"/>
      <c r="M48" s="710"/>
      <c r="N48" s="862">
        <f>ROUND(SUM(G48:L48),0)</f>
        <v>0</v>
      </c>
      <c r="O48" s="868"/>
      <c r="P48" s="710" t="str">
        <f>IF(O48&lt;&gt;"",N48/O48,"")</f>
        <v/>
      </c>
      <c r="Q48" s="881"/>
      <c r="R48" s="869"/>
      <c r="S48" s="865"/>
      <c r="T48" s="892"/>
      <c r="U48" s="870"/>
      <c r="V48" s="862">
        <f t="shared" si="5"/>
        <v>0</v>
      </c>
      <c r="W48" s="871"/>
    </row>
    <row r="49" spans="1:23">
      <c r="A49" s="860" t="str">
        <f>IF(B49&lt;&gt;"",#REF!+1,"")</f>
        <v/>
      </c>
      <c r="B49" s="873"/>
      <c r="C49" s="874"/>
      <c r="D49" s="876"/>
      <c r="E49" s="876"/>
      <c r="F49" s="876"/>
      <c r="G49" s="877"/>
      <c r="H49" s="922"/>
      <c r="I49" s="876"/>
      <c r="J49" s="878"/>
      <c r="K49" s="876"/>
      <c r="L49" s="879"/>
      <c r="M49" s="876"/>
      <c r="N49" s="922"/>
      <c r="O49" s="880"/>
      <c r="P49" s="876"/>
      <c r="Q49" s="881"/>
      <c r="R49" s="869"/>
      <c r="S49" s="865"/>
      <c r="T49" s="892"/>
      <c r="U49" s="892"/>
      <c r="V49" s="862">
        <f t="shared" si="5"/>
        <v>0</v>
      </c>
      <c r="W49" s="871"/>
    </row>
    <row r="50" spans="1:23" s="882" customFormat="1">
      <c r="A50" s="883"/>
      <c r="B50" s="884" t="s">
        <v>565</v>
      </c>
      <c r="C50" s="885"/>
      <c r="D50" s="886">
        <f>SUM(D46:D49)</f>
        <v>0</v>
      </c>
      <c r="E50" s="886">
        <f>SUM(E46:E49)</f>
        <v>0</v>
      </c>
      <c r="F50" s="886"/>
      <c r="G50" s="886">
        <f>SUM(G46:G49)</f>
        <v>0</v>
      </c>
      <c r="H50" s="887"/>
      <c r="I50" s="887">
        <f>V55</f>
        <v>0</v>
      </c>
      <c r="J50" s="887"/>
      <c r="K50" s="887"/>
      <c r="L50" s="886">
        <f>ROUND(SUM(L46:L49),0)</f>
        <v>0</v>
      </c>
      <c r="M50" s="886">
        <f>ROUND(SUM(M46:M49),0)</f>
        <v>0</v>
      </c>
      <c r="N50" s="886">
        <f>ROUND(SUM(N46:N49),0)</f>
        <v>0</v>
      </c>
      <c r="O50" s="886">
        <f>ROUND(SUM(O46:O49),0)</f>
        <v>0</v>
      </c>
      <c r="P50" s="886"/>
      <c r="Q50" s="881"/>
      <c r="R50" s="869"/>
      <c r="S50" s="865"/>
      <c r="T50" s="892"/>
      <c r="U50" s="870"/>
      <c r="V50" s="862">
        <f t="shared" si="5"/>
        <v>0</v>
      </c>
      <c r="W50" s="871"/>
    </row>
    <row r="51" spans="1:23" s="837" customFormat="1">
      <c r="A51" s="888"/>
      <c r="B51" s="889"/>
      <c r="C51" s="846"/>
      <c r="D51" s="890"/>
      <c r="E51" s="890"/>
      <c r="F51" s="890"/>
      <c r="G51" s="890"/>
      <c r="H51" s="844"/>
      <c r="I51" s="844"/>
      <c r="J51" s="844"/>
      <c r="K51" s="844"/>
      <c r="L51" s="844"/>
      <c r="M51" s="890"/>
      <c r="N51" s="890"/>
      <c r="O51" s="890"/>
      <c r="P51" s="890"/>
      <c r="Q51" s="842"/>
      <c r="R51" s="594"/>
      <c r="S51" s="923"/>
      <c r="T51" s="892"/>
      <c r="U51" s="870"/>
      <c r="V51" s="862">
        <f t="shared" si="5"/>
        <v>0</v>
      </c>
      <c r="W51" s="871"/>
    </row>
    <row r="52" spans="1:23" s="837" customFormat="1">
      <c r="A52" s="888"/>
      <c r="B52" s="889"/>
      <c r="C52" s="846"/>
      <c r="D52" s="890"/>
      <c r="E52" s="890"/>
      <c r="F52" s="890"/>
      <c r="G52" s="890"/>
      <c r="H52" s="844"/>
      <c r="I52" s="844"/>
      <c r="J52" s="844"/>
      <c r="K52" s="844"/>
      <c r="L52" s="844"/>
      <c r="M52" s="890"/>
      <c r="N52" s="890"/>
      <c r="O52" s="890"/>
      <c r="P52" s="890"/>
      <c r="Q52" s="842"/>
      <c r="R52" s="869"/>
      <c r="S52" s="865"/>
      <c r="T52" s="892"/>
      <c r="U52" s="870"/>
      <c r="V52" s="862">
        <f t="shared" si="5"/>
        <v>0</v>
      </c>
      <c r="W52" s="871"/>
    </row>
    <row r="53" spans="1:23" s="837" customFormat="1">
      <c r="A53" s="888"/>
      <c r="B53" s="889"/>
      <c r="C53" s="846"/>
      <c r="D53" s="890"/>
      <c r="E53" s="890"/>
      <c r="F53" s="890"/>
      <c r="G53" s="890"/>
      <c r="H53" s="844"/>
      <c r="I53" s="844"/>
      <c r="J53" s="844"/>
      <c r="K53" s="844"/>
      <c r="L53" s="844"/>
      <c r="M53" s="890"/>
      <c r="N53" s="890"/>
      <c r="O53" s="890"/>
      <c r="P53" s="890"/>
      <c r="Q53" s="842"/>
      <c r="R53" s="869"/>
      <c r="S53" s="865"/>
      <c r="T53" s="892"/>
      <c r="U53" s="870"/>
      <c r="V53" s="862">
        <f t="shared" si="5"/>
        <v>0</v>
      </c>
      <c r="W53" s="871"/>
    </row>
    <row r="54" spans="1:23" s="837" customFormat="1">
      <c r="A54" s="888"/>
      <c r="B54" s="889"/>
      <c r="C54" s="846"/>
      <c r="D54" s="890"/>
      <c r="E54" s="890"/>
      <c r="F54" s="890"/>
      <c r="G54" s="890"/>
      <c r="H54" s="890"/>
      <c r="I54" s="844"/>
      <c r="J54" s="890"/>
      <c r="K54" s="890"/>
      <c r="L54" s="890"/>
      <c r="M54" s="890"/>
      <c r="N54" s="890"/>
      <c r="O54" s="890"/>
      <c r="P54" s="890"/>
      <c r="Q54" s="842"/>
      <c r="R54" s="924"/>
      <c r="S54" s="925"/>
      <c r="T54" s="926"/>
      <c r="U54" s="926"/>
      <c r="V54" s="926"/>
      <c r="W54" s="927"/>
    </row>
    <row r="55" spans="1:23" s="837" customFormat="1">
      <c r="A55" s="888"/>
      <c r="B55" s="889"/>
      <c r="C55" s="846"/>
      <c r="D55" s="890"/>
      <c r="E55" s="890"/>
      <c r="F55" s="890"/>
      <c r="G55" s="890"/>
      <c r="H55" s="890"/>
      <c r="I55" s="844"/>
      <c r="J55" s="890"/>
      <c r="K55" s="890"/>
      <c r="L55" s="890"/>
      <c r="M55" s="890"/>
      <c r="N55" s="890"/>
      <c r="O55" s="890"/>
      <c r="P55" s="890"/>
      <c r="Q55" s="842"/>
      <c r="R55" s="915"/>
      <c r="S55" s="916"/>
      <c r="T55" s="917"/>
      <c r="U55" s="895"/>
      <c r="V55" s="896">
        <f>SUM(V46:V54)</f>
        <v>0</v>
      </c>
      <c r="W55" s="896">
        <f>SUM(W46:W51)</f>
        <v>0</v>
      </c>
    </row>
    <row r="56" spans="1:23" s="837" customFormat="1">
      <c r="A56" s="888"/>
      <c r="B56" s="889"/>
      <c r="C56" s="846"/>
      <c r="D56" s="890"/>
      <c r="E56" s="890"/>
      <c r="F56" s="890"/>
      <c r="G56" s="891"/>
      <c r="H56" s="890"/>
      <c r="I56" s="844"/>
      <c r="J56" s="890"/>
      <c r="K56" s="890"/>
      <c r="L56" s="890"/>
      <c r="M56" s="890"/>
      <c r="N56" s="928"/>
      <c r="O56" s="890"/>
      <c r="P56" s="890"/>
      <c r="Q56" s="842"/>
      <c r="R56" s="918"/>
      <c r="S56" s="865"/>
      <c r="T56" s="272"/>
      <c r="U56" s="272"/>
      <c r="V56" s="862">
        <f t="shared" ref="V56:V61" si="6">ROUND(T56*U56,0)</f>
        <v>0</v>
      </c>
      <c r="W56" s="862"/>
    </row>
    <row r="57" spans="1:23" s="837" customFormat="1">
      <c r="A57" s="888"/>
      <c r="B57" s="889"/>
      <c r="C57" s="846"/>
      <c r="D57" s="890"/>
      <c r="E57" s="890"/>
      <c r="F57" s="890"/>
      <c r="G57" s="890"/>
      <c r="H57" s="890"/>
      <c r="I57" s="844"/>
      <c r="J57" s="890"/>
      <c r="K57" s="890"/>
      <c r="L57" s="890"/>
      <c r="M57" s="890"/>
      <c r="N57" s="890"/>
      <c r="O57" s="890"/>
      <c r="P57" s="890"/>
      <c r="Q57" s="842"/>
      <c r="R57" s="918"/>
      <c r="S57" s="865"/>
      <c r="T57" s="870"/>
      <c r="U57" s="870"/>
      <c r="V57" s="862">
        <f t="shared" si="6"/>
        <v>0</v>
      </c>
      <c r="W57" s="878"/>
    </row>
    <row r="58" spans="1:23" s="837" customFormat="1">
      <c r="A58" s="888"/>
      <c r="B58" s="889"/>
      <c r="C58" s="846"/>
      <c r="D58" s="890"/>
      <c r="E58" s="890"/>
      <c r="F58" s="890"/>
      <c r="G58" s="890"/>
      <c r="H58" s="890"/>
      <c r="I58" s="844"/>
      <c r="J58" s="890"/>
      <c r="K58" s="890"/>
      <c r="L58" s="890"/>
      <c r="M58" s="890"/>
      <c r="N58" s="890"/>
      <c r="O58" s="890"/>
      <c r="P58" s="890"/>
      <c r="Q58" s="842"/>
      <c r="R58" s="918"/>
      <c r="S58" s="865"/>
      <c r="T58" s="870"/>
      <c r="U58" s="870"/>
      <c r="V58" s="862">
        <f t="shared" si="6"/>
        <v>0</v>
      </c>
      <c r="W58" s="878"/>
    </row>
    <row r="59" spans="1:23" s="837" customFormat="1">
      <c r="A59" s="833"/>
      <c r="B59" s="833"/>
      <c r="C59" s="833"/>
      <c r="D59" s="833"/>
      <c r="E59" s="833"/>
      <c r="F59" s="833"/>
      <c r="G59" s="833"/>
      <c r="H59" s="833"/>
      <c r="I59" s="833"/>
      <c r="J59" s="833"/>
      <c r="K59" s="833"/>
      <c r="L59" s="833"/>
      <c r="M59" s="833"/>
      <c r="N59" s="833"/>
      <c r="O59" s="833"/>
      <c r="P59" s="833"/>
      <c r="Q59" s="842"/>
      <c r="R59" s="918"/>
      <c r="S59" s="865"/>
      <c r="T59" s="870"/>
      <c r="U59" s="870"/>
      <c r="V59" s="862">
        <f t="shared" si="6"/>
        <v>0</v>
      </c>
      <c r="W59" s="878"/>
    </row>
    <row r="60" spans="1:23">
      <c r="R60" s="918"/>
      <c r="S60" s="865"/>
      <c r="T60" s="870"/>
      <c r="U60" s="870"/>
      <c r="V60" s="862">
        <f t="shared" si="6"/>
        <v>0</v>
      </c>
      <c r="W60" s="878"/>
    </row>
    <row r="61" spans="1:23">
      <c r="R61" s="918"/>
      <c r="S61" s="865"/>
      <c r="T61" s="272"/>
      <c r="U61" s="272"/>
      <c r="V61" s="862">
        <f t="shared" si="6"/>
        <v>0</v>
      </c>
      <c r="W61" s="878"/>
    </row>
    <row r="62" spans="1:23" ht="18" customHeight="1">
      <c r="A62" s="837" t="s">
        <v>548</v>
      </c>
      <c r="B62" s="837"/>
      <c r="C62" s="838"/>
      <c r="D62" s="839"/>
      <c r="E62" s="839"/>
      <c r="F62" s="839"/>
      <c r="G62" s="836"/>
      <c r="H62" s="836"/>
      <c r="I62" s="836"/>
      <c r="J62" s="836"/>
      <c r="K62" s="836"/>
      <c r="L62" s="840"/>
      <c r="M62" s="836"/>
      <c r="N62" s="836"/>
      <c r="O62" s="841"/>
      <c r="P62" s="836"/>
      <c r="Q62" s="842"/>
      <c r="R62" s="836"/>
      <c r="S62" s="843"/>
    </row>
    <row r="63" spans="1:23" ht="18.75" customHeight="1">
      <c r="A63" s="844" t="s">
        <v>568</v>
      </c>
      <c r="B63" s="844"/>
      <c r="C63" s="844"/>
      <c r="D63" s="844"/>
      <c r="E63" s="844"/>
      <c r="F63" s="844"/>
      <c r="G63" s="844"/>
      <c r="H63" s="844"/>
      <c r="I63" s="844"/>
      <c r="J63" s="844"/>
      <c r="K63" s="844"/>
      <c r="L63" s="844"/>
      <c r="M63" s="844"/>
      <c r="N63" s="844"/>
      <c r="O63" s="844"/>
      <c r="P63" s="844"/>
      <c r="Q63" s="842"/>
      <c r="R63" s="836"/>
      <c r="S63" s="843"/>
    </row>
    <row r="64" spans="1:23" ht="18.75" customHeight="1">
      <c r="A64" s="845"/>
      <c r="B64" s="845"/>
      <c r="C64" s="846"/>
      <c r="D64" s="845"/>
      <c r="E64" s="845"/>
      <c r="F64" s="845"/>
      <c r="G64" s="845"/>
      <c r="H64" s="845"/>
      <c r="I64" s="845"/>
      <c r="J64" s="845"/>
      <c r="K64" s="845"/>
      <c r="L64" s="844"/>
      <c r="M64" s="845"/>
      <c r="N64" s="845"/>
      <c r="O64" s="847"/>
      <c r="P64" s="845"/>
      <c r="Q64" s="842"/>
      <c r="R64" s="836"/>
      <c r="S64" s="843"/>
    </row>
    <row r="65" spans="1:23" ht="12.75" customHeight="1">
      <c r="A65" s="848"/>
      <c r="B65" s="848"/>
      <c r="C65" s="849"/>
      <c r="D65" s="848"/>
      <c r="E65" s="848"/>
      <c r="F65" s="848"/>
      <c r="G65" s="848"/>
      <c r="H65" s="848"/>
      <c r="I65" s="848"/>
      <c r="J65" s="848"/>
      <c r="K65" s="848"/>
      <c r="L65" s="848"/>
      <c r="M65" s="848"/>
      <c r="N65" s="848"/>
      <c r="O65" s="850"/>
      <c r="P65" s="848"/>
      <c r="Q65" s="842"/>
      <c r="R65" s="836"/>
      <c r="S65" s="843"/>
    </row>
    <row r="66" spans="1:23" s="859" customFormat="1" ht="30.75" customHeight="1">
      <c r="A66" s="853" t="s">
        <v>37</v>
      </c>
      <c r="B66" s="853" t="s">
        <v>550</v>
      </c>
      <c r="C66" s="854" t="s">
        <v>551</v>
      </c>
      <c r="D66" s="855" t="s">
        <v>552</v>
      </c>
      <c r="E66" s="855" t="s">
        <v>553</v>
      </c>
      <c r="F66" s="855" t="s">
        <v>554</v>
      </c>
      <c r="G66" s="855" t="s">
        <v>555</v>
      </c>
      <c r="H66" s="855" t="s">
        <v>556</v>
      </c>
      <c r="I66" s="855" t="s">
        <v>557</v>
      </c>
      <c r="J66" s="855" t="s">
        <v>558</v>
      </c>
      <c r="K66" s="856" t="s">
        <v>559</v>
      </c>
      <c r="L66" s="855" t="s">
        <v>560</v>
      </c>
      <c r="M66" s="856" t="s">
        <v>561</v>
      </c>
      <c r="N66" s="855" t="s">
        <v>562</v>
      </c>
      <c r="O66" s="857" t="s">
        <v>553</v>
      </c>
      <c r="P66" s="855" t="s">
        <v>563</v>
      </c>
      <c r="Q66" s="858"/>
      <c r="R66" s="853" t="s">
        <v>550</v>
      </c>
      <c r="S66" s="855" t="s">
        <v>517</v>
      </c>
      <c r="T66" s="855" t="s">
        <v>353</v>
      </c>
      <c r="U66" s="855" t="s">
        <v>554</v>
      </c>
      <c r="V66" s="855" t="s">
        <v>564</v>
      </c>
      <c r="W66" s="853" t="s">
        <v>564</v>
      </c>
    </row>
    <row r="67" spans="1:23">
      <c r="A67" s="929" t="str">
        <f>IF(B67&lt;&gt;"",ROW()-(ROW()-1),"")</f>
        <v/>
      </c>
      <c r="B67" s="930"/>
      <c r="C67" s="861">
        <f>IF(ISNA(VLOOKUP(B67,NXT!$Q$61:$S$81,2,0)),0,VLOOKUP(B67,NXT!$Q$61:$S$81,2,0))</f>
        <v>0</v>
      </c>
      <c r="D67" s="710">
        <f>ROUND(C67*O67,0)</f>
        <v>0</v>
      </c>
      <c r="E67" s="710"/>
      <c r="F67" s="710"/>
      <c r="G67" s="862">
        <f>(D67+E67)*F67</f>
        <v>0</v>
      </c>
      <c r="H67" s="710">
        <f>IF($D$70&lt;&gt;0,H$70/($D$70+$E$70/5)*($D67+$E67/5),0)</f>
        <v>0</v>
      </c>
      <c r="I67" s="710">
        <f t="shared" ref="I67:K68" si="7">IF($D$70&lt;&gt;0,I$70/$D$70*$D67,0)</f>
        <v>0</v>
      </c>
      <c r="J67" s="710">
        <f t="shared" si="7"/>
        <v>0</v>
      </c>
      <c r="K67" s="710">
        <f t="shared" si="7"/>
        <v>0</v>
      </c>
      <c r="L67" s="862"/>
      <c r="M67" s="710" t="e">
        <f>34560000/($O$67+#REF!+#REF!)*O67</f>
        <v>#REF!</v>
      </c>
      <c r="N67" s="862">
        <f>ROUND(SUM(G67:L67),0)</f>
        <v>0</v>
      </c>
      <c r="O67" s="710"/>
      <c r="P67" s="710">
        <f>IF(N67&lt;&gt;0,N67/O67,0)</f>
        <v>0</v>
      </c>
      <c r="Q67" s="881"/>
      <c r="R67" s="864"/>
      <c r="S67" s="931"/>
      <c r="T67" s="272"/>
      <c r="U67" s="866"/>
      <c r="V67" s="862">
        <f t="shared" ref="V67:V77" si="8">ROUND(T67*U67,0)</f>
        <v>0</v>
      </c>
      <c r="W67" s="862"/>
    </row>
    <row r="68" spans="1:23">
      <c r="A68" s="932" t="str">
        <f>IF(B68&lt;&gt;"",A67+1,"")</f>
        <v/>
      </c>
      <c r="B68" s="591"/>
      <c r="C68" s="861">
        <f>IF(ISNA(VLOOKUP(B68,NXT!$Q$61:$S$81,2,0)),0,VLOOKUP(B68,NXT!$Q$61:$S$81,2,0))</f>
        <v>0</v>
      </c>
      <c r="D68" s="710">
        <f>ROUND(C68*O68,0)</f>
        <v>0</v>
      </c>
      <c r="E68" s="710"/>
      <c r="F68" s="710"/>
      <c r="G68" s="862">
        <f>(D68+E68)*F68</f>
        <v>0</v>
      </c>
      <c r="H68" s="710">
        <f>IF($D$70&lt;&gt;0,H$70/($D$70+$E$70/5)*($D68+$E68/5),0)</f>
        <v>0</v>
      </c>
      <c r="I68" s="710">
        <f t="shared" si="7"/>
        <v>0</v>
      </c>
      <c r="J68" s="710">
        <f t="shared" si="7"/>
        <v>0</v>
      </c>
      <c r="K68" s="710">
        <f t="shared" si="7"/>
        <v>0</v>
      </c>
      <c r="L68" s="862"/>
      <c r="M68" s="710"/>
      <c r="N68" s="862">
        <f>ROUND(SUM(G68:L68),0)</f>
        <v>0</v>
      </c>
      <c r="O68" s="868"/>
      <c r="P68" s="710">
        <f>IF(N68&lt;&gt;0,N68/O68,0)</f>
        <v>0</v>
      </c>
      <c r="Q68" s="881"/>
      <c r="R68" s="869"/>
      <c r="S68" s="931"/>
      <c r="T68" s="272"/>
      <c r="U68" s="870"/>
      <c r="V68" s="862">
        <f t="shared" si="8"/>
        <v>0</v>
      </c>
      <c r="W68" s="878"/>
    </row>
    <row r="69" spans="1:23">
      <c r="A69" s="860" t="str">
        <f>IF(B69&lt;&gt;"",#REF!+1,"")</f>
        <v/>
      </c>
      <c r="B69" s="873"/>
      <c r="C69" s="874"/>
      <c r="D69" s="876"/>
      <c r="E69" s="876"/>
      <c r="F69" s="876"/>
      <c r="G69" s="877"/>
      <c r="H69" s="922"/>
      <c r="I69" s="876"/>
      <c r="J69" s="878"/>
      <c r="K69" s="876"/>
      <c r="L69" s="879"/>
      <c r="M69" s="876"/>
      <c r="N69" s="910"/>
      <c r="O69" s="880"/>
      <c r="P69" s="876"/>
      <c r="Q69" s="881"/>
      <c r="R69" s="869"/>
      <c r="S69" s="931"/>
      <c r="T69" s="272"/>
      <c r="U69" s="870"/>
      <c r="V69" s="862">
        <f t="shared" si="8"/>
        <v>0</v>
      </c>
      <c r="W69" s="878"/>
    </row>
    <row r="70" spans="1:23" s="882" customFormat="1">
      <c r="A70" s="883"/>
      <c r="B70" s="884" t="s">
        <v>565</v>
      </c>
      <c r="C70" s="885"/>
      <c r="D70" s="886">
        <f>SUM(D67:D68)</f>
        <v>0</v>
      </c>
      <c r="E70" s="886"/>
      <c r="F70" s="886"/>
      <c r="G70" s="886">
        <f>SUM(G67:G68)</f>
        <v>0</v>
      </c>
      <c r="H70" s="887"/>
      <c r="I70" s="887">
        <f>V79</f>
        <v>0</v>
      </c>
      <c r="J70" s="887"/>
      <c r="K70" s="887"/>
      <c r="L70" s="886">
        <f>ROUND(SUM(L67:L69),0)</f>
        <v>0</v>
      </c>
      <c r="M70" s="886" t="e">
        <f>ROUND(SUM(M67:M69),0)</f>
        <v>#REF!</v>
      </c>
      <c r="N70" s="886">
        <f>ROUND(SUM(N67:N69),0)</f>
        <v>0</v>
      </c>
      <c r="O70" s="886">
        <f>ROUND(SUM(O67:O69),0)</f>
        <v>0</v>
      </c>
      <c r="P70" s="886"/>
      <c r="Q70" s="881"/>
      <c r="R70" s="869"/>
      <c r="S70" s="931"/>
      <c r="T70" s="892"/>
      <c r="U70" s="870"/>
      <c r="V70" s="862">
        <f t="shared" si="8"/>
        <v>0</v>
      </c>
      <c r="W70" s="878"/>
    </row>
    <row r="71" spans="1:23" s="837" customFormat="1">
      <c r="A71" s="833"/>
      <c r="B71" s="833"/>
      <c r="C71" s="833"/>
      <c r="D71" s="833"/>
      <c r="E71" s="833"/>
      <c r="F71" s="833"/>
      <c r="G71" s="833"/>
      <c r="H71" s="833"/>
      <c r="I71" s="833"/>
      <c r="J71" s="833"/>
      <c r="K71" s="833"/>
      <c r="L71" s="833"/>
      <c r="M71" s="833"/>
      <c r="N71" s="833"/>
      <c r="O71" s="833"/>
      <c r="P71" s="833"/>
      <c r="Q71" s="881"/>
      <c r="R71" s="869"/>
      <c r="S71" s="931"/>
      <c r="T71" s="272"/>
      <c r="U71" s="870"/>
      <c r="V71" s="862">
        <f t="shared" si="8"/>
        <v>0</v>
      </c>
      <c r="W71" s="878"/>
    </row>
    <row r="72" spans="1:23">
      <c r="Q72" s="881"/>
      <c r="R72" s="869"/>
      <c r="S72" s="931"/>
      <c r="T72" s="272"/>
      <c r="U72" s="870"/>
      <c r="V72" s="862">
        <f t="shared" si="8"/>
        <v>0</v>
      </c>
      <c r="W72" s="878"/>
    </row>
    <row r="73" spans="1:23">
      <c r="Q73" s="881"/>
      <c r="R73" s="869"/>
      <c r="S73" s="931"/>
      <c r="T73" s="272"/>
      <c r="U73" s="870"/>
      <c r="V73" s="862">
        <f t="shared" si="8"/>
        <v>0</v>
      </c>
      <c r="W73" s="878"/>
    </row>
    <row r="74" spans="1:23">
      <c r="Q74" s="881"/>
      <c r="R74" s="869"/>
      <c r="S74" s="931"/>
      <c r="T74" s="892"/>
      <c r="U74" s="892"/>
      <c r="V74" s="862">
        <f t="shared" si="8"/>
        <v>0</v>
      </c>
      <c r="W74" s="878"/>
    </row>
    <row r="75" spans="1:23">
      <c r="Q75" s="881"/>
      <c r="R75" s="869"/>
      <c r="S75" s="933"/>
      <c r="T75" s="892"/>
      <c r="U75" s="870"/>
      <c r="V75" s="862">
        <f t="shared" si="8"/>
        <v>0</v>
      </c>
      <c r="W75" s="878"/>
    </row>
    <row r="76" spans="1:23">
      <c r="Q76" s="881"/>
      <c r="R76" s="934"/>
      <c r="S76" s="933"/>
      <c r="T76" s="892"/>
      <c r="U76" s="870"/>
      <c r="V76" s="862">
        <f t="shared" si="8"/>
        <v>0</v>
      </c>
      <c r="W76" s="878"/>
    </row>
    <row r="77" spans="1:23">
      <c r="Q77" s="881"/>
      <c r="R77" s="869"/>
      <c r="S77" s="933"/>
      <c r="T77" s="892"/>
      <c r="U77" s="870"/>
      <c r="V77" s="862">
        <f t="shared" si="8"/>
        <v>0</v>
      </c>
      <c r="W77" s="878"/>
    </row>
    <row r="78" spans="1:23">
      <c r="Q78" s="881"/>
      <c r="R78" s="935"/>
      <c r="S78" s="865"/>
      <c r="T78" s="272"/>
      <c r="U78" s="272"/>
      <c r="V78" s="878"/>
      <c r="W78" s="878"/>
    </row>
    <row r="79" spans="1:23">
      <c r="R79" s="915"/>
      <c r="S79" s="916"/>
      <c r="T79" s="917"/>
      <c r="U79" s="936"/>
      <c r="V79" s="896">
        <f>SUM(V67:V78)</f>
        <v>0</v>
      </c>
      <c r="W79" s="896">
        <f>SUM(W67:W78)</f>
        <v>0</v>
      </c>
    </row>
    <row r="80" spans="1:23">
      <c r="R80" s="918"/>
      <c r="S80" s="931"/>
      <c r="T80" s="272"/>
      <c r="U80" s="272"/>
      <c r="V80" s="862">
        <f>ROUND(T80*U80,0)</f>
        <v>0</v>
      </c>
      <c r="W80" s="862"/>
    </row>
    <row r="81" spans="1:23">
      <c r="R81" s="869"/>
      <c r="S81" s="931"/>
      <c r="T81" s="870"/>
      <c r="U81" s="870"/>
      <c r="V81" s="862">
        <f>ROUND(T81*U81,0)</f>
        <v>0</v>
      </c>
      <c r="W81" s="878"/>
    </row>
    <row r="82" spans="1:23">
      <c r="R82" s="892"/>
      <c r="S82" s="865"/>
      <c r="T82" s="870"/>
      <c r="U82" s="870"/>
      <c r="V82" s="862">
        <f>ROUND(T82*U82,0)</f>
        <v>0</v>
      </c>
      <c r="W82" s="878"/>
    </row>
    <row r="83" spans="1:23">
      <c r="R83" s="892"/>
      <c r="S83" s="865"/>
      <c r="T83" s="870"/>
      <c r="U83" s="870"/>
      <c r="V83" s="862">
        <f>ROUND(T83*U83,0)</f>
        <v>0</v>
      </c>
      <c r="W83" s="878"/>
    </row>
    <row r="84" spans="1:23" ht="18" customHeight="1">
      <c r="A84" s="837" t="s">
        <v>548</v>
      </c>
      <c r="B84" s="837"/>
      <c r="C84" s="838"/>
      <c r="D84" s="839"/>
      <c r="E84" s="839"/>
      <c r="F84" s="839"/>
      <c r="G84" s="836"/>
      <c r="H84" s="836"/>
      <c r="I84" s="836"/>
      <c r="J84" s="836"/>
      <c r="K84" s="836"/>
      <c r="L84" s="840"/>
      <c r="M84" s="836"/>
      <c r="N84" s="836"/>
      <c r="O84" s="841"/>
      <c r="P84" s="836"/>
      <c r="Q84" s="842"/>
      <c r="R84" s="836"/>
      <c r="S84" s="843"/>
    </row>
    <row r="85" spans="1:23" ht="18.75" customHeight="1">
      <c r="A85" s="844" t="s">
        <v>569</v>
      </c>
      <c r="B85" s="844"/>
      <c r="C85" s="844"/>
      <c r="D85" s="844"/>
      <c r="E85" s="844"/>
      <c r="F85" s="844"/>
      <c r="G85" s="844"/>
      <c r="H85" s="844"/>
      <c r="I85" s="844"/>
      <c r="J85" s="844"/>
      <c r="K85" s="844"/>
      <c r="L85" s="844"/>
      <c r="M85" s="844"/>
      <c r="N85" s="844"/>
      <c r="O85" s="844"/>
      <c r="P85" s="844"/>
      <c r="Q85" s="842"/>
      <c r="R85" s="836"/>
      <c r="S85" s="843"/>
    </row>
    <row r="86" spans="1:23" ht="18.75" customHeight="1">
      <c r="A86" s="845"/>
      <c r="B86" s="845"/>
      <c r="C86" s="846"/>
      <c r="D86" s="845"/>
      <c r="E86" s="845"/>
      <c r="F86" s="845"/>
      <c r="G86" s="845"/>
      <c r="H86" s="845"/>
      <c r="I86" s="845"/>
      <c r="J86" s="845"/>
      <c r="K86" s="845"/>
      <c r="L86" s="844"/>
      <c r="M86" s="845"/>
      <c r="N86" s="845"/>
      <c r="O86" s="847"/>
      <c r="P86" s="845"/>
      <c r="Q86" s="842"/>
      <c r="R86" s="836"/>
      <c r="S86" s="843"/>
    </row>
    <row r="87" spans="1:23" ht="12.75" customHeight="1">
      <c r="A87" s="848"/>
      <c r="B87" s="848"/>
      <c r="C87" s="849"/>
      <c r="D87" s="848"/>
      <c r="E87" s="848"/>
      <c r="F87" s="848"/>
      <c r="G87" s="848"/>
      <c r="H87" s="848"/>
      <c r="I87" s="848"/>
      <c r="J87" s="848"/>
      <c r="K87" s="848"/>
      <c r="L87" s="848"/>
      <c r="M87" s="848"/>
      <c r="N87" s="848"/>
      <c r="O87" s="850"/>
      <c r="P87" s="848"/>
      <c r="Q87" s="842"/>
      <c r="R87" s="836"/>
      <c r="S87" s="843"/>
    </row>
    <row r="88" spans="1:23" s="859" customFormat="1" ht="30.75" customHeight="1">
      <c r="A88" s="853" t="s">
        <v>37</v>
      </c>
      <c r="B88" s="853" t="s">
        <v>550</v>
      </c>
      <c r="C88" s="854" t="s">
        <v>551</v>
      </c>
      <c r="D88" s="855" t="s">
        <v>552</v>
      </c>
      <c r="E88" s="855" t="s">
        <v>553</v>
      </c>
      <c r="F88" s="855" t="s">
        <v>554</v>
      </c>
      <c r="G88" s="855" t="s">
        <v>555</v>
      </c>
      <c r="H88" s="855" t="s">
        <v>556</v>
      </c>
      <c r="I88" s="855" t="s">
        <v>557</v>
      </c>
      <c r="J88" s="855" t="s">
        <v>558</v>
      </c>
      <c r="K88" s="856" t="s">
        <v>559</v>
      </c>
      <c r="L88" s="855" t="s">
        <v>560</v>
      </c>
      <c r="M88" s="856" t="s">
        <v>561</v>
      </c>
      <c r="N88" s="855" t="s">
        <v>562</v>
      </c>
      <c r="O88" s="857" t="s">
        <v>553</v>
      </c>
      <c r="P88" s="855" t="s">
        <v>563</v>
      </c>
      <c r="Q88" s="858"/>
      <c r="R88" s="853" t="s">
        <v>550</v>
      </c>
      <c r="S88" s="855" t="s">
        <v>517</v>
      </c>
      <c r="T88" s="855" t="s">
        <v>353</v>
      </c>
      <c r="U88" s="855" t="s">
        <v>554</v>
      </c>
      <c r="V88" s="855" t="s">
        <v>564</v>
      </c>
      <c r="W88" s="853" t="s">
        <v>564</v>
      </c>
    </row>
    <row r="89" spans="1:23">
      <c r="A89" s="860" t="str">
        <f>IF(B89&lt;&gt;"",ROW()-(ROW()-1),"")</f>
        <v/>
      </c>
      <c r="B89" s="591"/>
      <c r="C89" s="861">
        <f>IF(ISNA(VLOOKUP(B89,NXT!$Q$61:$S$81,2,0)),0,VLOOKUP(B89,NXT!$Q$61:$S$81,2,0))</f>
        <v>0</v>
      </c>
      <c r="D89" s="710">
        <f>ROUND(C89*O89,0)</f>
        <v>0</v>
      </c>
      <c r="E89" s="710"/>
      <c r="F89" s="710"/>
      <c r="G89" s="862">
        <f>(D89+E89)*F89</f>
        <v>0</v>
      </c>
      <c r="H89" s="710">
        <f>IF($D$92&lt;&gt;0,H$92/($D$92+$E$92/5)*($D89+$E89/5),0)</f>
        <v>0</v>
      </c>
      <c r="I89" s="710">
        <f t="shared" ref="I89:K90" si="9">IF($D$92&lt;&gt;0,I$92/$D$92*$D89,0)</f>
        <v>0</v>
      </c>
      <c r="J89" s="710">
        <f t="shared" si="9"/>
        <v>0</v>
      </c>
      <c r="K89" s="710">
        <f t="shared" si="9"/>
        <v>0</v>
      </c>
      <c r="L89" s="862"/>
      <c r="M89" s="710" t="e">
        <f>34560000/($O$67+#REF!+#REF!)*O89</f>
        <v>#REF!</v>
      </c>
      <c r="N89" s="862">
        <f>ROUND(SUM(G89:L89),0)</f>
        <v>0</v>
      </c>
      <c r="O89" s="710"/>
      <c r="P89" s="710">
        <f>IF(N89&lt;&gt;0,N89/O89,0)</f>
        <v>0</v>
      </c>
      <c r="Q89" s="881"/>
      <c r="R89" s="869"/>
      <c r="S89" s="931"/>
      <c r="T89" s="272"/>
      <c r="U89" s="870"/>
      <c r="V89" s="862">
        <f t="shared" ref="V89:V95" si="10">ROUND(T89*U89,0)</f>
        <v>0</v>
      </c>
      <c r="W89" s="878"/>
    </row>
    <row r="90" spans="1:23">
      <c r="A90" s="860" t="str">
        <f>IF(B90&lt;&gt;"",A89+1,"")</f>
        <v/>
      </c>
      <c r="B90" s="586"/>
      <c r="C90" s="861">
        <f>IF(ISNA(VLOOKUP(B90,NXT!$Q$61:$S$81,2,0)),0,VLOOKUP(B90,NXT!$Q$61:$S$81,2,0))</f>
        <v>0</v>
      </c>
      <c r="D90" s="710">
        <f>ROUND(C90*O90,0)</f>
        <v>0</v>
      </c>
      <c r="E90" s="710"/>
      <c r="F90" s="710"/>
      <c r="G90" s="862">
        <f>(D90+E90)*F90</f>
        <v>0</v>
      </c>
      <c r="H90" s="710">
        <f>IF($D$92&lt;&gt;0,H$92/($D$92+$E$92/5)*($D90+$E90/5),0)</f>
        <v>0</v>
      </c>
      <c r="I90" s="710">
        <f t="shared" si="9"/>
        <v>0</v>
      </c>
      <c r="J90" s="710">
        <f t="shared" si="9"/>
        <v>0</v>
      </c>
      <c r="K90" s="710">
        <f t="shared" si="9"/>
        <v>0</v>
      </c>
      <c r="L90" s="710"/>
      <c r="M90" s="710"/>
      <c r="N90" s="862">
        <f>ROUND(SUM(G90:L90),0)</f>
        <v>0</v>
      </c>
      <c r="O90" s="868"/>
      <c r="P90" s="710">
        <f>IF(N90&lt;&gt;0,N90/O90,0)</f>
        <v>0</v>
      </c>
      <c r="Q90" s="881"/>
      <c r="R90" s="869"/>
      <c r="S90" s="931"/>
      <c r="T90" s="272"/>
      <c r="U90" s="870"/>
      <c r="V90" s="862">
        <f t="shared" si="10"/>
        <v>0</v>
      </c>
      <c r="W90" s="878"/>
    </row>
    <row r="91" spans="1:23" s="882" customFormat="1">
      <c r="A91" s="860" t="str">
        <f>IF(B91&lt;&gt;"",#REF!+1,"")</f>
        <v/>
      </c>
      <c r="B91" s="873"/>
      <c r="C91" s="874"/>
      <c r="D91" s="876"/>
      <c r="E91" s="876"/>
      <c r="F91" s="876"/>
      <c r="G91" s="877"/>
      <c r="H91" s="922"/>
      <c r="I91" s="876"/>
      <c r="J91" s="878"/>
      <c r="K91" s="876"/>
      <c r="L91" s="879"/>
      <c r="M91" s="876"/>
      <c r="N91" s="910"/>
      <c r="O91" s="880"/>
      <c r="P91" s="876"/>
      <c r="Q91" s="881"/>
      <c r="R91" s="869"/>
      <c r="S91" s="931"/>
      <c r="T91" s="272"/>
      <c r="U91" s="870"/>
      <c r="V91" s="862">
        <f t="shared" si="10"/>
        <v>0</v>
      </c>
      <c r="W91" s="878"/>
    </row>
    <row r="92" spans="1:23" s="837" customFormat="1">
      <c r="A92" s="883"/>
      <c r="B92" s="884" t="s">
        <v>565</v>
      </c>
      <c r="C92" s="885"/>
      <c r="D92" s="886">
        <f>SUM(D89:D90)</f>
        <v>0</v>
      </c>
      <c r="E92" s="886">
        <f>SUM(E89:E90)</f>
        <v>0</v>
      </c>
      <c r="F92" s="886"/>
      <c r="G92" s="886">
        <f>SUM(G89:G90)</f>
        <v>0</v>
      </c>
      <c r="H92" s="887"/>
      <c r="I92" s="887">
        <f>V97</f>
        <v>0</v>
      </c>
      <c r="J92" s="887"/>
      <c r="K92" s="887"/>
      <c r="L92" s="886">
        <f>ROUND(SUM(L89:L91),0)</f>
        <v>0</v>
      </c>
      <c r="M92" s="886" t="e">
        <f>ROUND(SUM(M89:M91),0)</f>
        <v>#REF!</v>
      </c>
      <c r="N92" s="886">
        <f>ROUND(SUM(N89:N91),0)</f>
        <v>0</v>
      </c>
      <c r="O92" s="886">
        <f>ROUND(SUM(O89:O91),0)</f>
        <v>0</v>
      </c>
      <c r="P92" s="886"/>
      <c r="Q92" s="881"/>
      <c r="R92" s="869"/>
      <c r="S92" s="931"/>
      <c r="T92" s="892"/>
      <c r="U92" s="892"/>
      <c r="V92" s="862">
        <f t="shared" si="10"/>
        <v>0</v>
      </c>
      <c r="W92" s="878"/>
    </row>
    <row r="93" spans="1:23">
      <c r="Q93" s="881"/>
      <c r="R93" s="869"/>
      <c r="S93" s="933"/>
      <c r="T93" s="892"/>
      <c r="U93" s="870"/>
      <c r="V93" s="862">
        <f t="shared" si="10"/>
        <v>0</v>
      </c>
      <c r="W93" s="878"/>
    </row>
    <row r="94" spans="1:23">
      <c r="Q94" s="881"/>
      <c r="R94" s="934"/>
      <c r="S94" s="933"/>
      <c r="T94" s="892"/>
      <c r="U94" s="870"/>
      <c r="V94" s="862">
        <f t="shared" si="10"/>
        <v>0</v>
      </c>
      <c r="W94" s="878"/>
    </row>
    <row r="95" spans="1:23">
      <c r="Q95" s="881"/>
      <c r="R95" s="869"/>
      <c r="S95" s="933"/>
      <c r="T95" s="892"/>
      <c r="U95" s="870"/>
      <c r="V95" s="862">
        <f t="shared" si="10"/>
        <v>0</v>
      </c>
      <c r="W95" s="878"/>
    </row>
    <row r="96" spans="1:23">
      <c r="Q96" s="881"/>
      <c r="R96" s="935"/>
      <c r="S96" s="865"/>
      <c r="T96" s="272"/>
      <c r="U96" s="272"/>
      <c r="V96" s="878"/>
      <c r="W96" s="878"/>
    </row>
    <row r="97" spans="1:23">
      <c r="R97" s="915"/>
      <c r="S97" s="916"/>
      <c r="T97" s="917"/>
      <c r="U97" s="936"/>
      <c r="V97" s="886">
        <f>SUM(V89:V96)</f>
        <v>0</v>
      </c>
      <c r="W97" s="896">
        <f>SUM(W89:W96)</f>
        <v>0</v>
      </c>
    </row>
    <row r="98" spans="1:23">
      <c r="R98" s="918"/>
      <c r="S98" s="931"/>
      <c r="T98" s="272"/>
      <c r="U98" s="272"/>
      <c r="V98" s="862">
        <f>ROUND(T98*U98,0)</f>
        <v>0</v>
      </c>
      <c r="W98" s="862"/>
    </row>
    <row r="99" spans="1:23">
      <c r="R99" s="937"/>
      <c r="S99" s="931"/>
      <c r="T99" s="870"/>
      <c r="U99" s="870"/>
      <c r="V99" s="862">
        <f>ROUND(T99*U99,0)</f>
        <v>0</v>
      </c>
      <c r="W99" s="878"/>
    </row>
    <row r="100" spans="1:23">
      <c r="R100" s="869"/>
      <c r="S100" s="931"/>
      <c r="T100" s="870"/>
      <c r="U100" s="870"/>
      <c r="V100" s="862">
        <f>ROUND(T100*U100,0)</f>
        <v>0</v>
      </c>
      <c r="W100" s="878"/>
    </row>
    <row r="101" spans="1:23">
      <c r="R101" s="892"/>
      <c r="S101" s="865"/>
      <c r="T101" s="870"/>
      <c r="U101" s="870"/>
      <c r="V101" s="862">
        <f>ROUND(T101*U101,0)</f>
        <v>0</v>
      </c>
      <c r="W101" s="878"/>
    </row>
    <row r="102" spans="1:23">
      <c r="R102" s="892"/>
      <c r="S102" s="865"/>
      <c r="T102" s="870"/>
      <c r="U102" s="870"/>
      <c r="V102" s="862">
        <f>ROUND(T102*U102,0)</f>
        <v>0</v>
      </c>
      <c r="W102" s="878"/>
    </row>
    <row r="103" spans="1:23">
      <c r="R103" s="842"/>
      <c r="S103" s="919"/>
      <c r="T103" s="852"/>
      <c r="U103" s="852"/>
      <c r="V103" s="890"/>
      <c r="W103" s="920"/>
    </row>
    <row r="104" spans="1:23" ht="18" customHeight="1">
      <c r="A104" s="837" t="s">
        <v>548</v>
      </c>
      <c r="B104" s="837"/>
      <c r="C104" s="838"/>
      <c r="D104" s="839"/>
      <c r="E104" s="839"/>
      <c r="F104" s="839"/>
      <c r="G104" s="836"/>
      <c r="H104" s="836"/>
      <c r="I104" s="836"/>
      <c r="J104" s="836"/>
      <c r="K104" s="836"/>
      <c r="L104" s="840"/>
      <c r="M104" s="836"/>
      <c r="N104" s="836"/>
      <c r="O104" s="841"/>
      <c r="P104" s="836"/>
      <c r="Q104" s="842"/>
      <c r="R104" s="836"/>
      <c r="S104" s="843"/>
    </row>
    <row r="105" spans="1:23" ht="18.75" customHeight="1">
      <c r="A105" s="844" t="s">
        <v>570</v>
      </c>
      <c r="B105" s="844"/>
      <c r="C105" s="844"/>
      <c r="D105" s="844"/>
      <c r="E105" s="844"/>
      <c r="F105" s="844"/>
      <c r="G105" s="844"/>
      <c r="H105" s="844"/>
      <c r="I105" s="844"/>
      <c r="J105" s="844"/>
      <c r="K105" s="844"/>
      <c r="L105" s="844"/>
      <c r="M105" s="844"/>
      <c r="N105" s="844"/>
      <c r="O105" s="844"/>
      <c r="P105" s="844"/>
      <c r="Q105" s="842"/>
      <c r="R105" s="836"/>
      <c r="S105" s="843"/>
    </row>
    <row r="106" spans="1:23" ht="18.75" customHeight="1">
      <c r="A106" s="845"/>
      <c r="B106" s="845"/>
      <c r="C106" s="846"/>
      <c r="D106" s="845"/>
      <c r="E106" s="845"/>
      <c r="F106" s="845"/>
      <c r="G106" s="845"/>
      <c r="H106" s="845"/>
      <c r="I106" s="845"/>
      <c r="J106" s="845"/>
      <c r="K106" s="845"/>
      <c r="L106" s="844"/>
      <c r="M106" s="845"/>
      <c r="N106" s="845"/>
      <c r="O106" s="847"/>
      <c r="P106" s="845"/>
      <c r="Q106" s="842"/>
      <c r="R106" s="836"/>
      <c r="S106" s="843"/>
    </row>
    <row r="107" spans="1:23" ht="12.75" customHeight="1">
      <c r="A107" s="848"/>
      <c r="B107" s="848"/>
      <c r="C107" s="849"/>
      <c r="D107" s="848"/>
      <c r="E107" s="848"/>
      <c r="F107" s="848"/>
      <c r="G107" s="848"/>
      <c r="H107" s="848"/>
      <c r="I107" s="848"/>
      <c r="J107" s="848"/>
      <c r="K107" s="848"/>
      <c r="L107" s="848"/>
      <c r="M107" s="848"/>
      <c r="N107" s="848"/>
      <c r="O107" s="850"/>
      <c r="P107" s="848"/>
      <c r="Q107" s="842"/>
      <c r="R107" s="836"/>
      <c r="S107" s="843"/>
    </row>
    <row r="108" spans="1:23" s="859" customFormat="1" ht="30.75" customHeight="1">
      <c r="A108" s="853" t="s">
        <v>37</v>
      </c>
      <c r="B108" s="853" t="s">
        <v>550</v>
      </c>
      <c r="C108" s="854" t="s">
        <v>551</v>
      </c>
      <c r="D108" s="855" t="s">
        <v>552</v>
      </c>
      <c r="E108" s="855" t="s">
        <v>553</v>
      </c>
      <c r="F108" s="855" t="s">
        <v>554</v>
      </c>
      <c r="G108" s="855" t="s">
        <v>555</v>
      </c>
      <c r="H108" s="855" t="s">
        <v>556</v>
      </c>
      <c r="I108" s="855" t="s">
        <v>557</v>
      </c>
      <c r="J108" s="855" t="s">
        <v>558</v>
      </c>
      <c r="K108" s="856" t="s">
        <v>559</v>
      </c>
      <c r="L108" s="855" t="s">
        <v>560</v>
      </c>
      <c r="M108" s="856" t="s">
        <v>561</v>
      </c>
      <c r="N108" s="855" t="s">
        <v>562</v>
      </c>
      <c r="O108" s="857" t="s">
        <v>553</v>
      </c>
      <c r="P108" s="855" t="s">
        <v>563</v>
      </c>
      <c r="Q108" s="858"/>
      <c r="R108" s="853" t="s">
        <v>550</v>
      </c>
      <c r="S108" s="855" t="s">
        <v>517</v>
      </c>
      <c r="T108" s="855" t="s">
        <v>353</v>
      </c>
      <c r="U108" s="855" t="s">
        <v>554</v>
      </c>
      <c r="V108" s="855" t="s">
        <v>564</v>
      </c>
      <c r="W108" s="853" t="s">
        <v>564</v>
      </c>
    </row>
    <row r="109" spans="1:23">
      <c r="A109" s="860" t="str">
        <f>IF(B109&lt;&gt;"",ROW()-(ROW()-1),"")</f>
        <v/>
      </c>
      <c r="B109" s="938"/>
      <c r="C109" s="861">
        <f>IF(ISNA(VLOOKUP(B109,NXT!$Q$61:$S$81,2,0)),0,VLOOKUP(B109,NXT!$Q$61:$S$81,2,0))</f>
        <v>0</v>
      </c>
      <c r="D109" s="710">
        <f>ROUND(C109*O109,0)</f>
        <v>0</v>
      </c>
      <c r="E109" s="710"/>
      <c r="F109" s="710"/>
      <c r="G109" s="862">
        <f>D109*F109</f>
        <v>0</v>
      </c>
      <c r="H109" s="710">
        <f>IF($D$114&lt;&gt;0,H$114/($D$114+$E$114/5)*($D109+$E109/5),0)</f>
        <v>0</v>
      </c>
      <c r="I109" s="710">
        <f>IF($D$114&lt;&gt;0,I$114/$D$114*$D109,0)</f>
        <v>0</v>
      </c>
      <c r="J109" s="710">
        <f t="shared" ref="J109:K112" si="11">IF($D$114&lt;&gt;0,J$114/$D$114*$D109,0)</f>
        <v>0</v>
      </c>
      <c r="K109" s="710">
        <f t="shared" si="11"/>
        <v>0</v>
      </c>
      <c r="L109" s="862"/>
      <c r="M109" s="710" t="e">
        <f>34560000/($O$67+#REF!+#REF!)*O109</f>
        <v>#REF!</v>
      </c>
      <c r="N109" s="862">
        <f>ROUND(SUM(G109:L109),0)</f>
        <v>0</v>
      </c>
      <c r="O109" s="710"/>
      <c r="P109" s="710">
        <f>IF(N109&lt;&gt;0,N109/O109,0)</f>
        <v>0</v>
      </c>
      <c r="Q109" s="881"/>
      <c r="R109" s="864"/>
      <c r="S109" s="931"/>
      <c r="T109" s="272"/>
      <c r="U109" s="866"/>
      <c r="V109" s="862">
        <f t="shared" ref="V109:V121" si="12">ROUND(T109*U109,0)</f>
        <v>0</v>
      </c>
      <c r="W109" s="862"/>
    </row>
    <row r="110" spans="1:23">
      <c r="A110" s="860" t="str">
        <f>IF(B110&lt;&gt;"",A109+1,"")</f>
        <v/>
      </c>
      <c r="B110" s="872"/>
      <c r="C110" s="861">
        <f>IF(ISNA(VLOOKUP(B110,NXT!$Q$61:$S$81,2,0)),0,VLOOKUP(B110,NXT!$Q$61:$S$81,2,0))</f>
        <v>0</v>
      </c>
      <c r="D110" s="710">
        <f>ROUND(C110*O110,0)</f>
        <v>0</v>
      </c>
      <c r="E110" s="710"/>
      <c r="F110" s="710"/>
      <c r="G110" s="862">
        <f>D110*F110</f>
        <v>0</v>
      </c>
      <c r="H110" s="710">
        <f>IF($D$114&lt;&gt;0,H$114/($D$114+$E$114/5)*($D110+$E110/5),0)</f>
        <v>0</v>
      </c>
      <c r="I110" s="710">
        <f>IF($D$114&lt;&gt;0,I$114/$D$114*$D110,0)</f>
        <v>0</v>
      </c>
      <c r="J110" s="710">
        <f t="shared" si="11"/>
        <v>0</v>
      </c>
      <c r="K110" s="710">
        <f t="shared" si="11"/>
        <v>0</v>
      </c>
      <c r="L110" s="710"/>
      <c r="M110" s="710"/>
      <c r="N110" s="862">
        <f>ROUND(SUM(G110:L110),0)</f>
        <v>0</v>
      </c>
      <c r="O110" s="868"/>
      <c r="P110" s="710">
        <f>IF(N110&lt;&gt;0,N110/O110,0)</f>
        <v>0</v>
      </c>
      <c r="Q110" s="881"/>
      <c r="R110" s="869"/>
      <c r="S110" s="931"/>
      <c r="T110" s="272"/>
      <c r="U110" s="870"/>
      <c r="V110" s="862">
        <f t="shared" si="12"/>
        <v>0</v>
      </c>
      <c r="W110" s="878"/>
    </row>
    <row r="111" spans="1:23">
      <c r="A111" s="860" t="str">
        <f>IF(B111&lt;&gt;"",A110+1,"")</f>
        <v/>
      </c>
      <c r="B111" s="872"/>
      <c r="C111" s="861">
        <f>IF(ISNA(VLOOKUP(B111,NXT!$Q$61:$S$81,2,0)),0,VLOOKUP(B111,NXT!$Q$61:$S$81,2,0))</f>
        <v>0</v>
      </c>
      <c r="D111" s="710">
        <f>ROUND(C111*O111,0)</f>
        <v>0</v>
      </c>
      <c r="E111" s="710"/>
      <c r="F111" s="710"/>
      <c r="G111" s="862">
        <f>D111*F111</f>
        <v>0</v>
      </c>
      <c r="H111" s="710">
        <f>IF($D$114&lt;&gt;0,H$114/($D$114+$E$114/5)*($D111+$E111/5),0)</f>
        <v>0</v>
      </c>
      <c r="I111" s="710">
        <f>IF($D$114&lt;&gt;0,I$114/$D$114*$D111,0)</f>
        <v>0</v>
      </c>
      <c r="J111" s="710">
        <f t="shared" si="11"/>
        <v>0</v>
      </c>
      <c r="K111" s="710">
        <f t="shared" si="11"/>
        <v>0</v>
      </c>
      <c r="L111" s="710"/>
      <c r="M111" s="710">
        <v>25840000</v>
      </c>
      <c r="N111" s="862">
        <f>ROUND(SUM(G111:L111),0)</f>
        <v>0</v>
      </c>
      <c r="O111" s="868"/>
      <c r="P111" s="710">
        <f>IF(N111&lt;&gt;0,N111/O111,0)</f>
        <v>0</v>
      </c>
      <c r="Q111" s="881"/>
      <c r="R111" s="869"/>
      <c r="S111" s="931"/>
      <c r="T111" s="272"/>
      <c r="U111" s="870"/>
      <c r="V111" s="862">
        <f t="shared" si="12"/>
        <v>0</v>
      </c>
      <c r="W111" s="878"/>
    </row>
    <row r="112" spans="1:23">
      <c r="A112" s="860" t="str">
        <f>IF(B112&lt;&gt;"",A111+1,"")</f>
        <v/>
      </c>
      <c r="B112" s="586"/>
      <c r="C112" s="861">
        <f>IF(ISNA(VLOOKUP(B112,NXT!$Q$61:$S$81,2,0)),0,VLOOKUP(B112,NXT!$Q$61:$S$81,2,0))</f>
        <v>0</v>
      </c>
      <c r="D112" s="710">
        <f>ROUND(C112*O112,0)</f>
        <v>0</v>
      </c>
      <c r="E112" s="710"/>
      <c r="F112" s="710"/>
      <c r="G112" s="862">
        <f>D112*F112</f>
        <v>0</v>
      </c>
      <c r="H112" s="710">
        <f>IF($D$114&lt;&gt;0,H$114/($D$114+$E$114/5)*($D112+$E112/5),0)</f>
        <v>0</v>
      </c>
      <c r="I112" s="710">
        <f>IF($D$114&lt;&gt;0,I$114/$D$114*$D112,0)</f>
        <v>0</v>
      </c>
      <c r="J112" s="710">
        <f t="shared" si="11"/>
        <v>0</v>
      </c>
      <c r="K112" s="710">
        <f t="shared" si="11"/>
        <v>0</v>
      </c>
      <c r="L112" s="710"/>
      <c r="M112" s="710" t="e">
        <f>34560000/($O$67+#REF!+#REF!)*O112</f>
        <v>#REF!</v>
      </c>
      <c r="N112" s="862">
        <f>ROUND(SUM(G112:L112),0)</f>
        <v>0</v>
      </c>
      <c r="O112" s="868"/>
      <c r="P112" s="710">
        <f>IF(N112&lt;&gt;0,N112/O112,0)</f>
        <v>0</v>
      </c>
      <c r="Q112" s="881"/>
      <c r="R112" s="869"/>
      <c r="S112" s="931"/>
      <c r="T112" s="892"/>
      <c r="U112" s="870"/>
      <c r="V112" s="862">
        <f t="shared" si="12"/>
        <v>0</v>
      </c>
      <c r="W112" s="878"/>
    </row>
    <row r="113" spans="1:23">
      <c r="A113" s="860" t="str">
        <f>IF(B113&lt;&gt;"",#REF!+1,"")</f>
        <v/>
      </c>
      <c r="B113" s="873"/>
      <c r="C113" s="874"/>
      <c r="D113" s="876"/>
      <c r="E113" s="876"/>
      <c r="F113" s="876"/>
      <c r="G113" s="877"/>
      <c r="H113" s="922"/>
      <c r="I113" s="876"/>
      <c r="J113" s="878"/>
      <c r="K113" s="876"/>
      <c r="L113" s="879"/>
      <c r="M113" s="876"/>
      <c r="N113" s="862"/>
      <c r="O113" s="880"/>
      <c r="P113" s="876"/>
      <c r="Q113" s="881"/>
      <c r="R113" s="869"/>
      <c r="S113" s="931"/>
      <c r="T113" s="272"/>
      <c r="U113" s="870"/>
      <c r="V113" s="862">
        <f t="shared" si="12"/>
        <v>0</v>
      </c>
      <c r="W113" s="878"/>
    </row>
    <row r="114" spans="1:23">
      <c r="A114" s="883"/>
      <c r="B114" s="884" t="s">
        <v>565</v>
      </c>
      <c r="C114" s="885"/>
      <c r="D114" s="886">
        <f>SUM(D109:D112)</f>
        <v>0</v>
      </c>
      <c r="E114" s="886"/>
      <c r="F114" s="886"/>
      <c r="G114" s="886">
        <f>SUM(G109:G112)</f>
        <v>0</v>
      </c>
      <c r="H114" s="887"/>
      <c r="I114" s="887">
        <f>V123</f>
        <v>0</v>
      </c>
      <c r="J114" s="887"/>
      <c r="K114" s="887"/>
      <c r="L114" s="886">
        <f>ROUND(SUM(L109:L113),0)</f>
        <v>0</v>
      </c>
      <c r="M114" s="886" t="e">
        <f>ROUND(SUM(M109:M113),0)</f>
        <v>#REF!</v>
      </c>
      <c r="N114" s="886">
        <f>ROUND(SUM(N109:N113),0)</f>
        <v>0</v>
      </c>
      <c r="O114" s="886">
        <f>ROUND(SUM(O109:O113),0)</f>
        <v>0</v>
      </c>
      <c r="P114" s="886"/>
      <c r="Q114" s="881"/>
      <c r="R114" s="869"/>
      <c r="S114" s="931"/>
      <c r="T114" s="272"/>
      <c r="U114" s="870"/>
      <c r="V114" s="862">
        <f t="shared" si="12"/>
        <v>0</v>
      </c>
      <c r="W114" s="878"/>
    </row>
    <row r="115" spans="1:23" s="882" customFormat="1">
      <c r="A115" s="833"/>
      <c r="B115" s="833"/>
      <c r="C115" s="833"/>
      <c r="D115" s="833"/>
      <c r="E115" s="833"/>
      <c r="F115" s="833"/>
      <c r="G115" s="833"/>
      <c r="H115" s="833"/>
      <c r="I115" s="833"/>
      <c r="J115" s="833"/>
      <c r="K115" s="833"/>
      <c r="L115" s="833"/>
      <c r="M115" s="833"/>
      <c r="N115" s="833"/>
      <c r="O115" s="833"/>
      <c r="P115" s="833"/>
      <c r="Q115" s="881"/>
      <c r="R115" s="869"/>
      <c r="S115" s="931"/>
      <c r="T115" s="272"/>
      <c r="U115" s="870"/>
      <c r="V115" s="862">
        <f t="shared" si="12"/>
        <v>0</v>
      </c>
      <c r="W115" s="878"/>
    </row>
    <row r="116" spans="1:23" s="837" customFormat="1">
      <c r="A116" s="833"/>
      <c r="B116" s="833"/>
      <c r="C116" s="833"/>
      <c r="D116" s="833"/>
      <c r="E116" s="833"/>
      <c r="F116" s="833"/>
      <c r="G116" s="833"/>
      <c r="H116" s="833"/>
      <c r="I116" s="833"/>
      <c r="J116" s="833"/>
      <c r="K116" s="833"/>
      <c r="L116" s="833"/>
      <c r="M116" s="833"/>
      <c r="N116" s="833"/>
      <c r="O116" s="833"/>
      <c r="P116" s="833"/>
      <c r="Q116" s="881"/>
      <c r="R116" s="869"/>
      <c r="S116" s="931"/>
      <c r="T116" s="892"/>
      <c r="U116" s="892"/>
      <c r="V116" s="862">
        <f t="shared" si="12"/>
        <v>0</v>
      </c>
      <c r="W116" s="878"/>
    </row>
    <row r="117" spans="1:23">
      <c r="Q117" s="881"/>
      <c r="R117" s="869"/>
      <c r="S117" s="933"/>
      <c r="T117" s="892"/>
      <c r="U117" s="870"/>
      <c r="V117" s="862">
        <f t="shared" si="12"/>
        <v>0</v>
      </c>
      <c r="W117" s="878"/>
    </row>
    <row r="118" spans="1:23">
      <c r="Q118" s="881"/>
      <c r="R118" s="591"/>
      <c r="S118" s="933"/>
      <c r="T118" s="272"/>
      <c r="U118" s="272"/>
      <c r="V118" s="862">
        <f t="shared" si="12"/>
        <v>0</v>
      </c>
      <c r="W118" s="878"/>
    </row>
    <row r="119" spans="1:23">
      <c r="Q119" s="881"/>
      <c r="R119" s="869"/>
      <c r="S119" s="933"/>
      <c r="T119" s="272"/>
      <c r="U119" s="272"/>
      <c r="V119" s="862">
        <f t="shared" si="12"/>
        <v>0</v>
      </c>
      <c r="W119" s="878"/>
    </row>
    <row r="120" spans="1:23">
      <c r="Q120" s="881"/>
      <c r="R120" s="934"/>
      <c r="S120" s="933"/>
      <c r="T120" s="892"/>
      <c r="U120" s="870"/>
      <c r="V120" s="862">
        <f t="shared" si="12"/>
        <v>0</v>
      </c>
      <c r="W120" s="878"/>
    </row>
    <row r="121" spans="1:23">
      <c r="Q121" s="881"/>
      <c r="R121" s="869"/>
      <c r="S121" s="931"/>
      <c r="T121" s="892"/>
      <c r="U121" s="870"/>
      <c r="V121" s="862">
        <f t="shared" si="12"/>
        <v>0</v>
      </c>
      <c r="W121" s="878"/>
    </row>
    <row r="122" spans="1:23">
      <c r="Q122" s="881"/>
      <c r="R122" s="591"/>
      <c r="S122" s="865"/>
      <c r="T122" s="272"/>
      <c r="U122" s="272"/>
      <c r="V122" s="862"/>
      <c r="W122" s="878"/>
    </row>
    <row r="123" spans="1:23">
      <c r="R123" s="915"/>
      <c r="S123" s="916"/>
      <c r="T123" s="917"/>
      <c r="U123" s="936"/>
      <c r="V123" s="886">
        <f>SUM(V109:V122)</f>
        <v>0</v>
      </c>
      <c r="W123" s="896">
        <f>SUM(W109:W122)</f>
        <v>0</v>
      </c>
    </row>
    <row r="124" spans="1:23">
      <c r="R124" s="918"/>
      <c r="S124" s="931"/>
      <c r="T124" s="272"/>
      <c r="U124" s="272"/>
      <c r="V124" s="862">
        <f t="shared" ref="V124:V130" si="13">ROUND(T124*U124,0)</f>
        <v>0</v>
      </c>
      <c r="W124" s="862"/>
    </row>
    <row r="125" spans="1:23">
      <c r="R125" s="869"/>
      <c r="S125" s="931"/>
      <c r="T125" s="870"/>
      <c r="U125" s="870"/>
      <c r="V125" s="862">
        <f t="shared" si="13"/>
        <v>0</v>
      </c>
      <c r="W125" s="878"/>
    </row>
    <row r="126" spans="1:23">
      <c r="R126" s="869"/>
      <c r="S126" s="931"/>
      <c r="T126" s="870"/>
      <c r="U126" s="870"/>
      <c r="V126" s="862">
        <f t="shared" si="13"/>
        <v>0</v>
      </c>
      <c r="W126" s="878"/>
    </row>
    <row r="127" spans="1:23">
      <c r="R127" s="869"/>
      <c r="S127" s="931"/>
      <c r="T127" s="870"/>
      <c r="U127" s="870"/>
      <c r="V127" s="862">
        <f t="shared" si="13"/>
        <v>0</v>
      </c>
      <c r="W127" s="878"/>
    </row>
    <row r="128" spans="1:23">
      <c r="R128" s="918"/>
      <c r="S128" s="931"/>
      <c r="T128" s="272"/>
      <c r="U128" s="272"/>
      <c r="V128" s="862">
        <f t="shared" si="13"/>
        <v>0</v>
      </c>
      <c r="W128" s="878"/>
    </row>
    <row r="129" spans="1:23">
      <c r="R129" s="892"/>
      <c r="S129" s="865"/>
      <c r="T129" s="870"/>
      <c r="U129" s="870"/>
      <c r="V129" s="862">
        <f t="shared" si="13"/>
        <v>0</v>
      </c>
      <c r="W129" s="878"/>
    </row>
    <row r="130" spans="1:23">
      <c r="R130" s="892"/>
      <c r="S130" s="865"/>
      <c r="T130" s="870"/>
      <c r="U130" s="870"/>
      <c r="V130" s="862">
        <f t="shared" si="13"/>
        <v>0</v>
      </c>
      <c r="W130" s="878"/>
    </row>
    <row r="131" spans="1:23" ht="12.75" customHeight="1">
      <c r="A131" s="852"/>
      <c r="B131" s="852"/>
      <c r="C131" s="939"/>
      <c r="D131" s="852"/>
      <c r="E131" s="852"/>
      <c r="F131" s="852"/>
      <c r="G131" s="852"/>
      <c r="H131" s="852"/>
      <c r="I131" s="852"/>
      <c r="J131" s="852"/>
      <c r="K131" s="852"/>
      <c r="L131" s="852"/>
      <c r="M131" s="852"/>
      <c r="N131" s="852"/>
      <c r="O131" s="904"/>
      <c r="P131" s="852"/>
      <c r="Q131" s="842"/>
      <c r="R131" s="836"/>
      <c r="S131" s="843"/>
    </row>
    <row r="132" spans="1:23" ht="18" customHeight="1">
      <c r="A132" s="837" t="s">
        <v>548</v>
      </c>
      <c r="B132" s="837"/>
      <c r="C132" s="940"/>
      <c r="D132" s="839"/>
      <c r="E132" s="839"/>
      <c r="F132" s="839"/>
      <c r="G132" s="836"/>
      <c r="H132" s="836"/>
      <c r="I132" s="836"/>
      <c r="J132" s="836"/>
      <c r="K132" s="836"/>
      <c r="L132" s="840"/>
      <c r="M132" s="836"/>
      <c r="N132" s="836"/>
      <c r="O132" s="841"/>
      <c r="P132" s="836"/>
      <c r="Q132" s="842"/>
      <c r="R132" s="836"/>
      <c r="S132" s="843"/>
    </row>
    <row r="133" spans="1:23" ht="18.75" customHeight="1">
      <c r="A133" s="844" t="s">
        <v>571</v>
      </c>
      <c r="B133" s="844"/>
      <c r="C133" s="844"/>
      <c r="D133" s="844"/>
      <c r="E133" s="844"/>
      <c r="F133" s="844"/>
      <c r="G133" s="844"/>
      <c r="H133" s="844"/>
      <c r="I133" s="844"/>
      <c r="J133" s="844"/>
      <c r="K133" s="844"/>
      <c r="L133" s="844"/>
      <c r="M133" s="844"/>
      <c r="N133" s="844"/>
      <c r="O133" s="844"/>
      <c r="P133" s="844"/>
      <c r="Q133" s="842"/>
      <c r="R133" s="836"/>
      <c r="S133" s="843"/>
    </row>
    <row r="134" spans="1:23" ht="18.75" customHeight="1">
      <c r="A134" s="845"/>
      <c r="B134" s="845"/>
      <c r="C134" s="846"/>
      <c r="D134" s="845"/>
      <c r="E134" s="845"/>
      <c r="F134" s="845"/>
      <c r="G134" s="845"/>
      <c r="H134" s="845"/>
      <c r="I134" s="845"/>
      <c r="J134" s="845"/>
      <c r="K134" s="845"/>
      <c r="L134" s="844"/>
      <c r="M134" s="845"/>
      <c r="N134" s="845"/>
      <c r="O134" s="847"/>
      <c r="P134" s="845"/>
      <c r="Q134" s="842"/>
      <c r="R134" s="836"/>
      <c r="S134" s="843"/>
    </row>
    <row r="135" spans="1:23" ht="12.75" customHeight="1">
      <c r="A135" s="848"/>
      <c r="B135" s="848"/>
      <c r="C135" s="849"/>
      <c r="D135" s="848"/>
      <c r="E135" s="848"/>
      <c r="F135" s="848"/>
      <c r="G135" s="848"/>
      <c r="H135" s="848"/>
      <c r="I135" s="848"/>
      <c r="J135" s="848"/>
      <c r="K135" s="848"/>
      <c r="L135" s="848"/>
      <c r="M135" s="848"/>
      <c r="N135" s="848"/>
      <c r="O135" s="850"/>
      <c r="P135" s="848"/>
      <c r="Q135" s="842"/>
      <c r="R135" s="836"/>
      <c r="S135" s="843"/>
    </row>
    <row r="136" spans="1:23" s="859" customFormat="1" ht="30.75" customHeight="1">
      <c r="A136" s="853" t="s">
        <v>37</v>
      </c>
      <c r="B136" s="853" t="s">
        <v>550</v>
      </c>
      <c r="C136" s="854" t="s">
        <v>551</v>
      </c>
      <c r="D136" s="855" t="s">
        <v>552</v>
      </c>
      <c r="E136" s="855" t="s">
        <v>553</v>
      </c>
      <c r="F136" s="855" t="s">
        <v>554</v>
      </c>
      <c r="G136" s="855" t="s">
        <v>555</v>
      </c>
      <c r="H136" s="855" t="s">
        <v>556</v>
      </c>
      <c r="I136" s="855" t="s">
        <v>557</v>
      </c>
      <c r="J136" s="855" t="s">
        <v>558</v>
      </c>
      <c r="K136" s="856" t="s">
        <v>559</v>
      </c>
      <c r="L136" s="855" t="s">
        <v>560</v>
      </c>
      <c r="M136" s="856" t="s">
        <v>561</v>
      </c>
      <c r="N136" s="855" t="s">
        <v>562</v>
      </c>
      <c r="O136" s="857" t="s">
        <v>553</v>
      </c>
      <c r="P136" s="855" t="s">
        <v>563</v>
      </c>
      <c r="Q136" s="858"/>
      <c r="R136" s="853" t="s">
        <v>550</v>
      </c>
      <c r="S136" s="855" t="s">
        <v>517</v>
      </c>
      <c r="T136" s="855" t="s">
        <v>353</v>
      </c>
      <c r="U136" s="855" t="s">
        <v>554</v>
      </c>
      <c r="V136" s="855" t="s">
        <v>564</v>
      </c>
      <c r="W136" s="853" t="s">
        <v>564</v>
      </c>
    </row>
    <row r="137" spans="1:23">
      <c r="A137" s="860" t="str">
        <f>IF(B137&lt;&gt;"",ROW()-(ROW()-1),"")</f>
        <v/>
      </c>
      <c r="B137" s="872"/>
      <c r="C137" s="861">
        <f>IF(ISNA(VLOOKUP(B137,NXT!$Q$61:$S$81,2,0)),0,VLOOKUP(B137,NXT!$Q$61:$S$81,2,0))</f>
        <v>0</v>
      </c>
      <c r="D137" s="710">
        <f>ROUND(C137*O137,0)</f>
        <v>0</v>
      </c>
      <c r="E137" s="710"/>
      <c r="F137" s="710"/>
      <c r="G137" s="862">
        <f>D137*F137</f>
        <v>0</v>
      </c>
      <c r="H137" s="710">
        <f>IF($D$141&lt;&gt;0,H$141/($D$141+$E$141/5)*($D137+$E137/5),0)</f>
        <v>0</v>
      </c>
      <c r="I137" s="710">
        <f>IF($D$141&lt;&gt;0,I$141/$D$141*$D137,0)</f>
        <v>0</v>
      </c>
      <c r="J137" s="710">
        <f t="shared" ref="J137:K140" si="14">IF($D$141&lt;&gt;0,J$141/$D$141*$D137,0)</f>
        <v>0</v>
      </c>
      <c r="K137" s="710">
        <f t="shared" si="14"/>
        <v>0</v>
      </c>
      <c r="L137" s="862"/>
      <c r="M137" s="710" t="e">
        <f>34560000/($O$67+#REF!+#REF!)*O137</f>
        <v>#REF!</v>
      </c>
      <c r="N137" s="862">
        <f>ROUND(SUM(G137:L137),0)</f>
        <v>0</v>
      </c>
      <c r="O137" s="710"/>
      <c r="P137" s="710">
        <f>IF(N137&lt;&gt;0,N137/O137,0)</f>
        <v>0</v>
      </c>
      <c r="Q137" s="881"/>
      <c r="R137" s="864"/>
      <c r="S137" s="931"/>
      <c r="T137" s="272"/>
      <c r="U137" s="866"/>
      <c r="V137" s="862">
        <f t="shared" ref="V137:V146" si="15">ROUND(T137*U137,0)</f>
        <v>0</v>
      </c>
      <c r="W137" s="862"/>
    </row>
    <row r="138" spans="1:23">
      <c r="A138" s="860" t="str">
        <f>IF(B138&lt;&gt;"",A137+1,"")</f>
        <v/>
      </c>
      <c r="B138" s="591"/>
      <c r="C138" s="861">
        <f>IF(ISNA(VLOOKUP(B138,NXT!$Q$61:$S$81,2,0)),0,VLOOKUP(B138,NXT!$Q$61:$S$81,2,0))</f>
        <v>0</v>
      </c>
      <c r="D138" s="710">
        <f>ROUND(C138*O138,0)</f>
        <v>0</v>
      </c>
      <c r="E138" s="710"/>
      <c r="F138" s="710"/>
      <c r="G138" s="862">
        <f>D138*F138</f>
        <v>0</v>
      </c>
      <c r="H138" s="710">
        <f>IF($D$141&lt;&gt;0,H$141/($D$141+$E$141/5)*($D138+$E138/5),0)</f>
        <v>0</v>
      </c>
      <c r="I138" s="710">
        <f>IF($D$141&lt;&gt;0,I$141/$D$141*$D138,0)</f>
        <v>0</v>
      </c>
      <c r="J138" s="710">
        <f t="shared" si="14"/>
        <v>0</v>
      </c>
      <c r="K138" s="710">
        <f t="shared" si="14"/>
        <v>0</v>
      </c>
      <c r="L138" s="710"/>
      <c r="M138" s="710"/>
      <c r="N138" s="862">
        <f>ROUND(SUM(G138:L138),0)</f>
        <v>0</v>
      </c>
      <c r="O138" s="868"/>
      <c r="P138" s="710">
        <f>IF(N138&lt;&gt;0,N138/O138,0)</f>
        <v>0</v>
      </c>
      <c r="Q138" s="881"/>
      <c r="R138" s="869"/>
      <c r="S138" s="931"/>
      <c r="T138" s="272"/>
      <c r="U138" s="870"/>
      <c r="V138" s="862">
        <f t="shared" si="15"/>
        <v>0</v>
      </c>
      <c r="W138" s="878"/>
    </row>
    <row r="139" spans="1:23">
      <c r="A139" s="860" t="str">
        <f>IF(B139&lt;&gt;"",A138+1,"")</f>
        <v/>
      </c>
      <c r="B139" s="872"/>
      <c r="C139" s="861">
        <f>IF(ISNA(VLOOKUP(B139,NXT!$Q$61:$S$81,2,0)),0,VLOOKUP(B139,NXT!$Q$61:$S$81,2,0))</f>
        <v>0</v>
      </c>
      <c r="D139" s="710">
        <f>ROUND(C139*O139,0)</f>
        <v>0</v>
      </c>
      <c r="E139" s="710"/>
      <c r="F139" s="710"/>
      <c r="G139" s="862">
        <f>D139*F139</f>
        <v>0</v>
      </c>
      <c r="H139" s="710">
        <f>IF($D$141&lt;&gt;0,H$141/($D$141+$E$141/5)*($D139+$E139/5),0)</f>
        <v>0</v>
      </c>
      <c r="I139" s="710">
        <f>IF($D$141&lt;&gt;0,I$141/$D$141*$D139,0)</f>
        <v>0</v>
      </c>
      <c r="J139" s="710">
        <f t="shared" si="14"/>
        <v>0</v>
      </c>
      <c r="K139" s="710">
        <f t="shared" si="14"/>
        <v>0</v>
      </c>
      <c r="L139" s="710"/>
      <c r="M139" s="710">
        <v>25840000</v>
      </c>
      <c r="N139" s="862">
        <f>ROUND(SUM(G139:L139),0)</f>
        <v>0</v>
      </c>
      <c r="O139" s="868"/>
      <c r="P139" s="710">
        <f>IF(N139&lt;&gt;0,N139/O139,0)</f>
        <v>0</v>
      </c>
      <c r="Q139" s="881"/>
      <c r="R139" s="869"/>
      <c r="S139" s="931"/>
      <c r="T139" s="272"/>
      <c r="U139" s="870"/>
      <c r="V139" s="862">
        <f t="shared" si="15"/>
        <v>0</v>
      </c>
      <c r="W139" s="878"/>
    </row>
    <row r="140" spans="1:23">
      <c r="A140" s="860" t="str">
        <f>IF(B140&lt;&gt;"",#REF!+1,"")</f>
        <v/>
      </c>
      <c r="B140" s="872"/>
      <c r="C140" s="861"/>
      <c r="D140" s="710">
        <f>ROUND(C140*O140,0)</f>
        <v>0</v>
      </c>
      <c r="E140" s="710"/>
      <c r="F140" s="710"/>
      <c r="G140" s="862">
        <f>D140*F140</f>
        <v>0</v>
      </c>
      <c r="H140" s="710">
        <f>IF($D$141&lt;&gt;0,H$141/($D$141+$E$141/5)*($D140+$E140/5),0)</f>
        <v>0</v>
      </c>
      <c r="I140" s="710">
        <f>IF($D$141&lt;&gt;0,I$141/$D$141*$D140,0)</f>
        <v>0</v>
      </c>
      <c r="J140" s="710">
        <f t="shared" si="14"/>
        <v>0</v>
      </c>
      <c r="K140" s="710">
        <f t="shared" si="14"/>
        <v>0</v>
      </c>
      <c r="L140" s="710"/>
      <c r="M140" s="710" t="e">
        <f>34560000/($O$67+#REF!+#REF!)*O140</f>
        <v>#REF!</v>
      </c>
      <c r="N140" s="862">
        <f>ROUND(SUM(G140:L140),0)</f>
        <v>0</v>
      </c>
      <c r="O140" s="868"/>
      <c r="P140" s="710">
        <f>IF(N140&lt;&gt;0,N140/O140,0)</f>
        <v>0</v>
      </c>
      <c r="Q140" s="881"/>
      <c r="R140" s="869"/>
      <c r="S140" s="931"/>
      <c r="T140" s="892"/>
      <c r="U140" s="870"/>
      <c r="V140" s="862">
        <f t="shared" si="15"/>
        <v>0</v>
      </c>
      <c r="W140" s="878"/>
    </row>
    <row r="141" spans="1:23">
      <c r="A141" s="883"/>
      <c r="B141" s="884" t="s">
        <v>565</v>
      </c>
      <c r="C141" s="885"/>
      <c r="D141" s="886">
        <f>SUM(D137:D140)</f>
        <v>0</v>
      </c>
      <c r="E141" s="886"/>
      <c r="F141" s="886"/>
      <c r="G141" s="886">
        <f>SUM(G137:G140)</f>
        <v>0</v>
      </c>
      <c r="H141" s="887"/>
      <c r="I141" s="887">
        <f>V148</f>
        <v>0</v>
      </c>
      <c r="J141" s="887"/>
      <c r="K141" s="887"/>
      <c r="L141" s="886">
        <f>ROUND(SUM(L137:L140),0)</f>
        <v>0</v>
      </c>
      <c r="M141" s="886" t="e">
        <f>ROUND(SUM(M137:M140),0)</f>
        <v>#REF!</v>
      </c>
      <c r="N141" s="886">
        <f>ROUND(SUM(N137:N140),0)</f>
        <v>0</v>
      </c>
      <c r="O141" s="886">
        <f>ROUND(SUM(O137:O140),0)</f>
        <v>0</v>
      </c>
      <c r="P141" s="886"/>
      <c r="Q141" s="881"/>
      <c r="R141" s="869"/>
      <c r="S141" s="931"/>
      <c r="T141" s="272"/>
      <c r="U141" s="870"/>
      <c r="V141" s="862">
        <f t="shared" si="15"/>
        <v>0</v>
      </c>
      <c r="W141" s="878"/>
    </row>
    <row r="142" spans="1:23">
      <c r="Q142" s="881"/>
      <c r="R142" s="869"/>
      <c r="S142" s="931"/>
      <c r="T142" s="272"/>
      <c r="U142" s="870"/>
      <c r="V142" s="862">
        <f t="shared" si="15"/>
        <v>0</v>
      </c>
      <c r="W142" s="878"/>
    </row>
    <row r="143" spans="1:23" s="837" customFormat="1">
      <c r="A143" s="833"/>
      <c r="B143" s="833"/>
      <c r="C143" s="833"/>
      <c r="D143" s="833"/>
      <c r="E143" s="833"/>
      <c r="F143" s="833"/>
      <c r="G143" s="833"/>
      <c r="H143" s="833"/>
      <c r="I143" s="833"/>
      <c r="J143" s="833"/>
      <c r="K143" s="833"/>
      <c r="L143" s="833"/>
      <c r="M143" s="833"/>
      <c r="N143" s="833"/>
      <c r="O143" s="833"/>
      <c r="P143" s="833"/>
      <c r="Q143" s="881"/>
      <c r="R143" s="869"/>
      <c r="S143" s="931"/>
      <c r="T143" s="892"/>
      <c r="U143" s="892"/>
      <c r="V143" s="862">
        <f t="shared" si="15"/>
        <v>0</v>
      </c>
      <c r="W143" s="878"/>
    </row>
    <row r="144" spans="1:23">
      <c r="Q144" s="881"/>
      <c r="R144" s="869"/>
      <c r="S144" s="933"/>
      <c r="T144" s="892"/>
      <c r="U144" s="870"/>
      <c r="V144" s="862">
        <f t="shared" si="15"/>
        <v>0</v>
      </c>
      <c r="W144" s="878"/>
    </row>
    <row r="145" spans="1:23">
      <c r="Q145" s="881"/>
      <c r="R145" s="591"/>
      <c r="S145" s="931"/>
      <c r="T145" s="272"/>
      <c r="U145" s="272"/>
      <c r="V145" s="862">
        <f t="shared" si="15"/>
        <v>0</v>
      </c>
      <c r="W145" s="878"/>
    </row>
    <row r="146" spans="1:23">
      <c r="Q146" s="881"/>
      <c r="R146" s="934"/>
      <c r="S146" s="933"/>
      <c r="T146" s="892"/>
      <c r="U146" s="870"/>
      <c r="V146" s="862">
        <f t="shared" si="15"/>
        <v>0</v>
      </c>
      <c r="W146" s="878"/>
    </row>
    <row r="147" spans="1:23">
      <c r="Q147" s="881"/>
      <c r="R147" s="591"/>
      <c r="S147" s="865"/>
      <c r="T147" s="272"/>
      <c r="U147" s="272"/>
      <c r="V147" s="878"/>
      <c r="W147" s="878"/>
    </row>
    <row r="148" spans="1:23">
      <c r="R148" s="915"/>
      <c r="S148" s="916"/>
      <c r="T148" s="917"/>
      <c r="U148" s="936"/>
      <c r="V148" s="886">
        <f>SUM(V137:V147)</f>
        <v>0</v>
      </c>
      <c r="W148" s="896">
        <f>SUM(W137:W147)</f>
        <v>0</v>
      </c>
    </row>
    <row r="149" spans="1:23">
      <c r="R149" s="918"/>
      <c r="S149" s="931"/>
      <c r="T149" s="272"/>
      <c r="U149" s="272"/>
      <c r="V149" s="862">
        <f t="shared" ref="V149:V154" si="16">ROUND(T149*U149,0)</f>
        <v>0</v>
      </c>
      <c r="W149" s="862"/>
    </row>
    <row r="150" spans="1:23">
      <c r="R150" s="869"/>
      <c r="S150" s="931"/>
      <c r="T150" s="870"/>
      <c r="U150" s="870"/>
      <c r="V150" s="862">
        <f t="shared" si="16"/>
        <v>0</v>
      </c>
      <c r="W150" s="878"/>
    </row>
    <row r="151" spans="1:23">
      <c r="R151" s="869"/>
      <c r="S151" s="931"/>
      <c r="T151" s="870"/>
      <c r="U151" s="870"/>
      <c r="V151" s="862">
        <f t="shared" si="16"/>
        <v>0</v>
      </c>
      <c r="W151" s="878"/>
    </row>
    <row r="152" spans="1:23">
      <c r="R152" s="869"/>
      <c r="S152" s="931"/>
      <c r="T152" s="870"/>
      <c r="U152" s="870"/>
      <c r="V152" s="862">
        <f t="shared" si="16"/>
        <v>0</v>
      </c>
      <c r="W152" s="878"/>
    </row>
    <row r="153" spans="1:23">
      <c r="R153" s="869"/>
      <c r="S153" s="931"/>
      <c r="T153" s="870"/>
      <c r="U153" s="870"/>
      <c r="V153" s="862">
        <f t="shared" si="16"/>
        <v>0</v>
      </c>
      <c r="W153" s="878"/>
    </row>
    <row r="154" spans="1:23">
      <c r="R154" s="892"/>
      <c r="S154" s="865"/>
      <c r="T154" s="870"/>
      <c r="U154" s="870"/>
      <c r="V154" s="862">
        <f t="shared" si="16"/>
        <v>0</v>
      </c>
      <c r="W154" s="878"/>
    </row>
    <row r="155" spans="1:23" ht="16.5" customHeight="1">
      <c r="A155" s="837" t="s">
        <v>548</v>
      </c>
      <c r="B155" s="837"/>
      <c r="C155" s="838"/>
      <c r="D155" s="839"/>
      <c r="E155" s="839"/>
      <c r="F155" s="839"/>
      <c r="G155" s="836"/>
      <c r="H155" s="836"/>
      <c r="I155" s="836"/>
      <c r="J155" s="836"/>
      <c r="K155" s="836"/>
      <c r="L155" s="840"/>
      <c r="M155" s="836"/>
      <c r="N155" s="836"/>
      <c r="O155" s="841"/>
      <c r="P155" s="836"/>
      <c r="R155" s="836"/>
      <c r="S155" s="843"/>
    </row>
    <row r="156" spans="1:23" ht="16.5" customHeight="1">
      <c r="A156" s="844" t="s">
        <v>572</v>
      </c>
      <c r="B156" s="844"/>
      <c r="C156" s="844"/>
      <c r="D156" s="844"/>
      <c r="E156" s="844"/>
      <c r="F156" s="844"/>
      <c r="G156" s="844"/>
      <c r="H156" s="844"/>
      <c r="I156" s="844"/>
      <c r="J156" s="844"/>
      <c r="K156" s="844"/>
      <c r="L156" s="844"/>
      <c r="M156" s="844"/>
      <c r="N156" s="844"/>
      <c r="O156" s="844"/>
      <c r="P156" s="844"/>
      <c r="Q156" s="842"/>
      <c r="R156" s="836"/>
      <c r="S156" s="843"/>
    </row>
    <row r="157" spans="1:23" ht="11.25" customHeight="1">
      <c r="A157" s="845"/>
      <c r="B157" s="845"/>
      <c r="C157" s="846"/>
      <c r="D157" s="845"/>
      <c r="E157" s="845"/>
      <c r="F157" s="845"/>
      <c r="G157" s="845"/>
      <c r="H157" s="845"/>
      <c r="I157" s="845"/>
      <c r="J157" s="845"/>
      <c r="K157" s="845"/>
      <c r="L157" s="844"/>
      <c r="M157" s="845"/>
      <c r="N157" s="845"/>
      <c r="O157" s="847"/>
      <c r="P157" s="845"/>
      <c r="Q157" s="842"/>
      <c r="R157" s="836"/>
      <c r="S157" s="843"/>
    </row>
    <row r="158" spans="1:23" ht="11.25" customHeight="1">
      <c r="A158" s="848"/>
      <c r="B158" s="848"/>
      <c r="C158" s="849"/>
      <c r="D158" s="848"/>
      <c r="E158" s="848"/>
      <c r="F158" s="848"/>
      <c r="G158" s="848"/>
      <c r="H158" s="848"/>
      <c r="I158" s="848"/>
      <c r="J158" s="848"/>
      <c r="K158" s="848"/>
      <c r="L158" s="848"/>
      <c r="M158" s="848"/>
      <c r="N158" s="848"/>
      <c r="O158" s="850"/>
      <c r="P158" s="848"/>
      <c r="Q158" s="842"/>
      <c r="R158" s="836"/>
      <c r="S158" s="843"/>
    </row>
    <row r="159" spans="1:23" ht="28.5" customHeight="1">
      <c r="A159" s="853" t="s">
        <v>37</v>
      </c>
      <c r="B159" s="853" t="s">
        <v>550</v>
      </c>
      <c r="C159" s="854" t="s">
        <v>551</v>
      </c>
      <c r="D159" s="855" t="s">
        <v>552</v>
      </c>
      <c r="E159" s="855" t="s">
        <v>553</v>
      </c>
      <c r="F159" s="855" t="s">
        <v>554</v>
      </c>
      <c r="G159" s="855" t="s">
        <v>555</v>
      </c>
      <c r="H159" s="855" t="s">
        <v>556</v>
      </c>
      <c r="I159" s="855" t="s">
        <v>557</v>
      </c>
      <c r="J159" s="855" t="s">
        <v>558</v>
      </c>
      <c r="K159" s="856" t="s">
        <v>559</v>
      </c>
      <c r="L159" s="855" t="s">
        <v>560</v>
      </c>
      <c r="M159" s="856" t="s">
        <v>561</v>
      </c>
      <c r="N159" s="855" t="s">
        <v>562</v>
      </c>
      <c r="O159" s="857" t="s">
        <v>553</v>
      </c>
      <c r="P159" s="855" t="s">
        <v>563</v>
      </c>
      <c r="Q159" s="842"/>
      <c r="R159" s="853" t="s">
        <v>550</v>
      </c>
      <c r="S159" s="855" t="s">
        <v>517</v>
      </c>
      <c r="T159" s="855" t="s">
        <v>353</v>
      </c>
      <c r="U159" s="855" t="s">
        <v>554</v>
      </c>
      <c r="V159" s="855" t="s">
        <v>564</v>
      </c>
      <c r="W159" s="853" t="s">
        <v>564</v>
      </c>
    </row>
    <row r="160" spans="1:23" s="859" customFormat="1" ht="12" customHeight="1">
      <c r="A160" s="860" t="str">
        <f>IF(B160&lt;&gt;"",ROW()-(ROW()-1),"")</f>
        <v/>
      </c>
      <c r="B160" s="872"/>
      <c r="C160" s="861">
        <f>IF(ISNA(VLOOKUP(B160,NXT!$Q$61:$S$81,2,0)),0,VLOOKUP(B160,NXT!$Q$61:$S$81,2,0))</f>
        <v>0</v>
      </c>
      <c r="D160" s="710">
        <f>ROUND(C160*O160,0)</f>
        <v>0</v>
      </c>
      <c r="E160" s="710"/>
      <c r="F160" s="710"/>
      <c r="G160" s="862">
        <f>(D160+E160)*F160</f>
        <v>0</v>
      </c>
      <c r="H160" s="710">
        <f>IF($D$165&lt;&gt;0,H$165/($D$165+$E$165/5)*($D160+$E160/5),0)</f>
        <v>0</v>
      </c>
      <c r="I160" s="710">
        <f>IF($D$165&lt;&gt;0,I$165/$D$165*$D160,0)</f>
        <v>0</v>
      </c>
      <c r="J160" s="710">
        <f>IF($D$165&lt;&gt;0,J$165/$D$165*$D160,0)</f>
        <v>0</v>
      </c>
      <c r="K160" s="710">
        <f t="shared" ref="J160:K163" si="17">IF($D$165&lt;&gt;0,K$165/$D$165*$D160,0)</f>
        <v>0</v>
      </c>
      <c r="L160" s="862"/>
      <c r="M160" s="710" t="e">
        <f>34560000/($O$67+#REF!+#REF!)*O160</f>
        <v>#REF!</v>
      </c>
      <c r="N160" s="862">
        <f>ROUND(SUM(G160:L160),0)</f>
        <v>0</v>
      </c>
      <c r="O160" s="710"/>
      <c r="P160" s="710">
        <f>IF(N160&lt;&gt;0,N160/O160,0)</f>
        <v>0</v>
      </c>
      <c r="Q160" s="858"/>
      <c r="R160" s="864"/>
      <c r="S160" s="931"/>
      <c r="T160" s="272"/>
      <c r="U160" s="866"/>
      <c r="V160" s="862">
        <f t="shared" ref="V160:V170" si="18">ROUND(T160*U160,0)</f>
        <v>0</v>
      </c>
      <c r="W160" s="862"/>
    </row>
    <row r="161" spans="1:23" ht="12" customHeight="1">
      <c r="A161" s="860" t="str">
        <f>IF(B161&lt;&gt;"",A160+1,"")</f>
        <v/>
      </c>
      <c r="B161" s="872"/>
      <c r="C161" s="861">
        <f>IF(ISNA(VLOOKUP(B161,NXT!$Q$61:$S$81,2,0)),0,VLOOKUP(B161,NXT!$Q$61:$S$81,2,0))</f>
        <v>0</v>
      </c>
      <c r="D161" s="710">
        <f>ROUND(C161*O161,0)</f>
        <v>0</v>
      </c>
      <c r="E161" s="710"/>
      <c r="F161" s="710"/>
      <c r="G161" s="862">
        <f>(D161+E161)*F161</f>
        <v>0</v>
      </c>
      <c r="H161" s="710">
        <f>IF($D$165&lt;&gt;0,H$165/($D$165+$E$165/5)*($D161+$E161/5),0)</f>
        <v>0</v>
      </c>
      <c r="I161" s="710">
        <f>IF($D$165&lt;&gt;0,I$165/$D$165*$D161,0)</f>
        <v>0</v>
      </c>
      <c r="J161" s="710">
        <f t="shared" si="17"/>
        <v>0</v>
      </c>
      <c r="K161" s="710">
        <f t="shared" si="17"/>
        <v>0</v>
      </c>
      <c r="L161" s="710"/>
      <c r="M161" s="710">
        <v>25840000</v>
      </c>
      <c r="N161" s="862">
        <f>ROUND(SUM(G161:L161),0)</f>
        <v>0</v>
      </c>
      <c r="O161" s="868"/>
      <c r="P161" s="710">
        <f>IF(N161&lt;&gt;0,N161/O161,0)</f>
        <v>0</v>
      </c>
      <c r="Q161" s="881"/>
      <c r="R161" s="869"/>
      <c r="S161" s="931"/>
      <c r="T161" s="272"/>
      <c r="U161" s="870"/>
      <c r="V161" s="862">
        <f t="shared" si="18"/>
        <v>0</v>
      </c>
      <c r="W161" s="878"/>
    </row>
    <row r="162" spans="1:23" ht="12" customHeight="1">
      <c r="A162" s="860" t="str">
        <f>IF(B162&lt;&gt;"",A161+1,"")</f>
        <v/>
      </c>
      <c r="B162" s="872"/>
      <c r="C162" s="861">
        <f>IF(ISNA(VLOOKUP(B162,NXT!$Q$61:$S$81,2,0)),0,VLOOKUP(B162,NXT!$Q$61:$S$81,2,0))</f>
        <v>0</v>
      </c>
      <c r="D162" s="710">
        <f>ROUND(C162*O162,0)</f>
        <v>0</v>
      </c>
      <c r="E162" s="710"/>
      <c r="F162" s="710"/>
      <c r="G162" s="862">
        <f>(D162+E162)*F162</f>
        <v>0</v>
      </c>
      <c r="H162" s="710">
        <f>IF($D$165&lt;&gt;0,H$165/($D$165+$E$165/5)*($D162+$E162/5),0)</f>
        <v>0</v>
      </c>
      <c r="I162" s="710">
        <f>IF($D$165&lt;&gt;0,I$165/$D$165*$D162,0)</f>
        <v>0</v>
      </c>
      <c r="J162" s="710">
        <f t="shared" si="17"/>
        <v>0</v>
      </c>
      <c r="K162" s="710">
        <f t="shared" si="17"/>
        <v>0</v>
      </c>
      <c r="L162" s="710"/>
      <c r="M162" s="710" t="e">
        <f>34560000/($O$67+#REF!+#REF!)*O162</f>
        <v>#REF!</v>
      </c>
      <c r="N162" s="862">
        <f>ROUND(SUM(G162:L162),0)</f>
        <v>0</v>
      </c>
      <c r="O162" s="868"/>
      <c r="P162" s="710">
        <f>IF(N162&lt;&gt;0,N162/O162,0)</f>
        <v>0</v>
      </c>
      <c r="Q162" s="881"/>
      <c r="R162" s="869"/>
      <c r="S162" s="931"/>
      <c r="T162" s="272"/>
      <c r="U162" s="870"/>
      <c r="V162" s="862">
        <f t="shared" si="18"/>
        <v>0</v>
      </c>
      <c r="W162" s="878"/>
    </row>
    <row r="163" spans="1:23" ht="12" customHeight="1">
      <c r="A163" s="860" t="str">
        <f>IF(B163&lt;&gt;"",A162+1,"")</f>
        <v/>
      </c>
      <c r="B163" s="872"/>
      <c r="C163" s="861">
        <f>IF(ISNA(VLOOKUP(B163,NXT!$Q$61:$S$81,2,0)),0,VLOOKUP(B163,NXT!$Q$61:$S$81,2,0))</f>
        <v>0</v>
      </c>
      <c r="D163" s="710">
        <f>ROUND(C163*O163,0)</f>
        <v>0</v>
      </c>
      <c r="E163" s="710"/>
      <c r="F163" s="710"/>
      <c r="G163" s="862">
        <f>(D163+E163)*F163</f>
        <v>0</v>
      </c>
      <c r="H163" s="710">
        <f>IF($D$165&lt;&gt;0,H$165/($D$165+$E$165/5)*($D163+$E163/5),0)</f>
        <v>0</v>
      </c>
      <c r="I163" s="710">
        <f>IF($D$165&lt;&gt;0,I$165/$D$165*$D163,0)</f>
        <v>0</v>
      </c>
      <c r="J163" s="710">
        <f t="shared" si="17"/>
        <v>0</v>
      </c>
      <c r="K163" s="710">
        <f t="shared" si="17"/>
        <v>0</v>
      </c>
      <c r="L163" s="710"/>
      <c r="M163" s="710" t="e">
        <f>34560000/($O$67+#REF!+#REF!)*O163</f>
        <v>#REF!</v>
      </c>
      <c r="N163" s="862">
        <f>ROUND(SUM(G163:L163),0)</f>
        <v>0</v>
      </c>
      <c r="O163" s="868"/>
      <c r="P163" s="710">
        <f>IF(N163&lt;&gt;0,N163/O163,0)</f>
        <v>0</v>
      </c>
      <c r="Q163" s="881"/>
      <c r="R163" s="869"/>
      <c r="S163" s="931"/>
      <c r="T163" s="272"/>
      <c r="U163" s="870"/>
      <c r="V163" s="862">
        <f t="shared" si="18"/>
        <v>0</v>
      </c>
      <c r="W163" s="878"/>
    </row>
    <row r="164" spans="1:23" ht="12" customHeight="1">
      <c r="A164" s="860" t="str">
        <f>IF(B164&lt;&gt;"",#REF!+1,"")</f>
        <v/>
      </c>
      <c r="B164" s="873"/>
      <c r="C164" s="861">
        <f>IF(ISNA(VLOOKUP(B164,NXT!$Q$61:$S$81,2,0)),0,VLOOKUP(B164,NXT!$Q$61:$S$81,2,0))</f>
        <v>0</v>
      </c>
      <c r="D164" s="876"/>
      <c r="E164" s="876"/>
      <c r="F164" s="876"/>
      <c r="G164" s="877"/>
      <c r="H164" s="922"/>
      <c r="I164" s="876"/>
      <c r="J164" s="878"/>
      <c r="K164" s="876"/>
      <c r="L164" s="879"/>
      <c r="M164" s="876"/>
      <c r="N164" s="910"/>
      <c r="O164" s="880"/>
      <c r="P164" s="876"/>
      <c r="Q164" s="881"/>
      <c r="R164" s="869"/>
      <c r="S164" s="931"/>
      <c r="T164" s="272"/>
      <c r="U164" s="272"/>
      <c r="V164" s="862">
        <f t="shared" si="18"/>
        <v>0</v>
      </c>
      <c r="W164" s="878"/>
    </row>
    <row r="165" spans="1:23" ht="12" customHeight="1">
      <c r="A165" s="883"/>
      <c r="B165" s="884" t="s">
        <v>565</v>
      </c>
      <c r="C165" s="885"/>
      <c r="D165" s="886">
        <f>SUM(D160:D163)</f>
        <v>0</v>
      </c>
      <c r="E165" s="886">
        <f>SUM(E160:E163)</f>
        <v>0</v>
      </c>
      <c r="F165" s="886"/>
      <c r="G165" s="886">
        <f>SUM(G160:G163)</f>
        <v>0</v>
      </c>
      <c r="H165" s="887"/>
      <c r="I165" s="887">
        <f>V172</f>
        <v>0</v>
      </c>
      <c r="J165" s="887"/>
      <c r="K165" s="887"/>
      <c r="L165" s="886">
        <f>ROUND(SUM(L160:L164),0)</f>
        <v>0</v>
      </c>
      <c r="M165" s="886" t="e">
        <f>ROUND(SUM(M160:M164),0)</f>
        <v>#REF!</v>
      </c>
      <c r="N165" s="886">
        <f>ROUND(SUM(N160:N164),0)</f>
        <v>0</v>
      </c>
      <c r="O165" s="886">
        <f>ROUND(SUM(O160:O164),0)</f>
        <v>0</v>
      </c>
      <c r="P165" s="886"/>
      <c r="Q165" s="881"/>
      <c r="R165" s="869"/>
      <c r="S165" s="931"/>
      <c r="T165" s="272"/>
      <c r="U165" s="870"/>
      <c r="V165" s="862">
        <f t="shared" si="18"/>
        <v>0</v>
      </c>
      <c r="W165" s="878"/>
    </row>
    <row r="166" spans="1:23" ht="12" customHeight="1">
      <c r="Q166" s="881"/>
      <c r="R166" s="869"/>
      <c r="S166" s="931"/>
      <c r="T166" s="272"/>
      <c r="U166" s="892"/>
      <c r="V166" s="862">
        <f t="shared" si="18"/>
        <v>0</v>
      </c>
      <c r="W166" s="878"/>
    </row>
    <row r="167" spans="1:23" ht="12" customHeight="1">
      <c r="Q167" s="881"/>
      <c r="R167" s="869"/>
      <c r="S167" s="865"/>
      <c r="T167" s="892"/>
      <c r="U167" s="870"/>
      <c r="V167" s="862">
        <f t="shared" si="18"/>
        <v>0</v>
      </c>
      <c r="W167" s="878"/>
    </row>
    <row r="168" spans="1:23" ht="12" customHeight="1">
      <c r="Q168" s="881"/>
      <c r="R168" s="934"/>
      <c r="S168" s="865"/>
      <c r="T168" s="892"/>
      <c r="U168" s="870"/>
      <c r="V168" s="862">
        <f t="shared" si="18"/>
        <v>0</v>
      </c>
      <c r="W168" s="878"/>
    </row>
    <row r="169" spans="1:23" ht="12" customHeight="1">
      <c r="Q169" s="881"/>
      <c r="R169" s="869"/>
      <c r="S169" s="865"/>
      <c r="T169" s="272"/>
      <c r="U169" s="272"/>
      <c r="V169" s="862">
        <f t="shared" si="18"/>
        <v>0</v>
      </c>
      <c r="W169" s="878"/>
    </row>
    <row r="170" spans="1:23" ht="12" customHeight="1">
      <c r="Q170" s="881"/>
      <c r="R170" s="591"/>
      <c r="S170" s="865"/>
      <c r="T170" s="272"/>
      <c r="U170" s="272"/>
      <c r="V170" s="862">
        <f t="shared" si="18"/>
        <v>0</v>
      </c>
      <c r="W170" s="878"/>
    </row>
    <row r="171" spans="1:23" s="882" customFormat="1" ht="12" customHeight="1">
      <c r="A171" s="833"/>
      <c r="B171" s="833"/>
      <c r="C171" s="833"/>
      <c r="D171" s="833"/>
      <c r="E171" s="833"/>
      <c r="F171" s="833"/>
      <c r="G171" s="833"/>
      <c r="H171" s="833"/>
      <c r="I171" s="833"/>
      <c r="J171" s="833"/>
      <c r="K171" s="833"/>
      <c r="L171" s="833"/>
      <c r="M171" s="833"/>
      <c r="N171" s="833"/>
      <c r="O171" s="833"/>
      <c r="P171" s="833"/>
      <c r="Q171" s="881"/>
      <c r="R171" s="869"/>
      <c r="S171" s="865"/>
      <c r="T171" s="272"/>
      <c r="U171" s="272"/>
      <c r="V171" s="862"/>
      <c r="W171" s="878"/>
    </row>
    <row r="172" spans="1:23" s="837" customFormat="1" ht="12" customHeight="1">
      <c r="A172" s="833"/>
      <c r="B172" s="833"/>
      <c r="C172" s="833"/>
      <c r="D172" s="833"/>
      <c r="E172" s="833"/>
      <c r="F172" s="833"/>
      <c r="G172" s="833"/>
      <c r="H172" s="833"/>
      <c r="I172" s="833"/>
      <c r="J172" s="833"/>
      <c r="K172" s="833"/>
      <c r="L172" s="833"/>
      <c r="M172" s="833"/>
      <c r="N172" s="833"/>
      <c r="O172" s="833"/>
      <c r="P172" s="833"/>
      <c r="Q172" s="881"/>
      <c r="R172" s="915"/>
      <c r="S172" s="916"/>
      <c r="T172" s="917"/>
      <c r="U172" s="936"/>
      <c r="V172" s="896">
        <f>SUM(V160:V171)</f>
        <v>0</v>
      </c>
      <c r="W172" s="896">
        <f>SUM(W160:W171)</f>
        <v>0</v>
      </c>
    </row>
    <row r="173" spans="1:23" ht="12" customHeight="1">
      <c r="R173" s="869"/>
      <c r="S173" s="931"/>
      <c r="T173" s="870"/>
      <c r="U173" s="870"/>
      <c r="V173" s="862">
        <f t="shared" ref="V173:V180" si="19">ROUND(T173*U173,0)</f>
        <v>0</v>
      </c>
      <c r="W173" s="878"/>
    </row>
    <row r="174" spans="1:23" ht="12" customHeight="1">
      <c r="R174" s="918"/>
      <c r="S174" s="931"/>
      <c r="T174" s="272"/>
      <c r="U174" s="272"/>
      <c r="V174" s="862">
        <f t="shared" si="19"/>
        <v>0</v>
      </c>
      <c r="W174" s="862"/>
    </row>
    <row r="175" spans="1:23" ht="12" customHeight="1">
      <c r="R175" s="869"/>
      <c r="S175" s="865"/>
      <c r="T175" s="870"/>
      <c r="U175" s="870"/>
      <c r="V175" s="862">
        <f t="shared" si="19"/>
        <v>0</v>
      </c>
      <c r="W175" s="878"/>
    </row>
    <row r="176" spans="1:23" ht="12" customHeight="1">
      <c r="R176" s="869"/>
      <c r="S176" s="865"/>
      <c r="T176" s="870"/>
      <c r="U176" s="870"/>
      <c r="V176" s="862">
        <f t="shared" si="19"/>
        <v>0</v>
      </c>
      <c r="W176" s="878"/>
    </row>
    <row r="177" spans="1:23" ht="12" customHeight="1">
      <c r="R177" s="892"/>
      <c r="S177" s="865"/>
      <c r="T177" s="870"/>
      <c r="U177" s="870"/>
      <c r="V177" s="862">
        <f t="shared" si="19"/>
        <v>0</v>
      </c>
      <c r="W177" s="878"/>
    </row>
    <row r="178" spans="1:23" ht="12" customHeight="1">
      <c r="R178" s="892"/>
      <c r="S178" s="865"/>
      <c r="T178" s="870"/>
      <c r="U178" s="870"/>
      <c r="V178" s="862">
        <f t="shared" si="19"/>
        <v>0</v>
      </c>
      <c r="W178" s="878"/>
    </row>
    <row r="179" spans="1:23" ht="12" customHeight="1">
      <c r="R179" s="892"/>
      <c r="S179" s="865"/>
      <c r="T179" s="870"/>
      <c r="U179" s="870"/>
      <c r="V179" s="862">
        <f t="shared" si="19"/>
        <v>0</v>
      </c>
      <c r="W179" s="878"/>
    </row>
    <row r="180" spans="1:23" ht="12" customHeight="1">
      <c r="R180" s="892"/>
      <c r="S180" s="865"/>
      <c r="T180" s="870"/>
      <c r="U180" s="870"/>
      <c r="V180" s="862">
        <f t="shared" si="19"/>
        <v>0</v>
      </c>
      <c r="W180" s="878"/>
    </row>
    <row r="181" spans="1:23">
      <c r="R181" s="836"/>
      <c r="S181" s="843"/>
    </row>
    <row r="182" spans="1:23" ht="20.25" customHeight="1">
      <c r="A182" s="837" t="s">
        <v>548</v>
      </c>
      <c r="B182" s="837"/>
      <c r="C182" s="838"/>
      <c r="D182" s="839"/>
      <c r="E182" s="839"/>
      <c r="F182" s="839"/>
      <c r="G182" s="836"/>
      <c r="H182" s="836"/>
      <c r="I182" s="836"/>
      <c r="J182" s="836"/>
      <c r="K182" s="836"/>
      <c r="L182" s="840"/>
      <c r="M182" s="836"/>
      <c r="N182" s="836"/>
      <c r="O182" s="841"/>
      <c r="P182" s="836"/>
      <c r="R182" s="836"/>
      <c r="S182" s="843"/>
    </row>
    <row r="183" spans="1:23" ht="20.25" customHeight="1">
      <c r="A183" s="844" t="s">
        <v>573</v>
      </c>
      <c r="B183" s="844"/>
      <c r="C183" s="844"/>
      <c r="D183" s="844"/>
      <c r="E183" s="844"/>
      <c r="F183" s="844"/>
      <c r="G183" s="844"/>
      <c r="H183" s="844"/>
      <c r="I183" s="844"/>
      <c r="J183" s="844"/>
      <c r="K183" s="844"/>
      <c r="L183" s="844"/>
      <c r="M183" s="844"/>
      <c r="N183" s="844"/>
      <c r="O183" s="844"/>
      <c r="P183" s="844"/>
      <c r="Q183" s="842"/>
      <c r="R183" s="836"/>
      <c r="S183" s="843"/>
    </row>
    <row r="184" spans="1:23" ht="12" customHeight="1">
      <c r="A184" s="845"/>
      <c r="B184" s="845"/>
      <c r="C184" s="846"/>
      <c r="D184" s="845"/>
      <c r="E184" s="845"/>
      <c r="F184" s="845"/>
      <c r="G184" s="845"/>
      <c r="H184" s="845"/>
      <c r="I184" s="845"/>
      <c r="J184" s="845"/>
      <c r="K184" s="845"/>
      <c r="L184" s="844"/>
      <c r="M184" s="845"/>
      <c r="N184" s="845"/>
      <c r="O184" s="847"/>
      <c r="P184" s="845"/>
      <c r="Q184" s="842"/>
      <c r="R184" s="836"/>
      <c r="S184" s="843"/>
    </row>
    <row r="185" spans="1:23" ht="12" customHeight="1">
      <c r="A185" s="848"/>
      <c r="B185" s="848"/>
      <c r="C185" s="849"/>
      <c r="D185" s="848"/>
      <c r="E185" s="848"/>
      <c r="F185" s="848"/>
      <c r="G185" s="848"/>
      <c r="H185" s="848"/>
      <c r="I185" s="848"/>
      <c r="J185" s="848"/>
      <c r="K185" s="848"/>
      <c r="L185" s="848"/>
      <c r="M185" s="848"/>
      <c r="N185" s="848"/>
      <c r="O185" s="850"/>
      <c r="P185" s="848"/>
      <c r="Q185" s="842"/>
      <c r="R185" s="836"/>
      <c r="S185" s="843"/>
    </row>
    <row r="186" spans="1:23" ht="36.75" customHeight="1">
      <c r="A186" s="853" t="s">
        <v>37</v>
      </c>
      <c r="B186" s="853" t="s">
        <v>550</v>
      </c>
      <c r="C186" s="854" t="s">
        <v>551</v>
      </c>
      <c r="D186" s="855" t="s">
        <v>552</v>
      </c>
      <c r="E186" s="855" t="s">
        <v>553</v>
      </c>
      <c r="F186" s="855" t="s">
        <v>554</v>
      </c>
      <c r="G186" s="855" t="s">
        <v>555</v>
      </c>
      <c r="H186" s="855" t="s">
        <v>556</v>
      </c>
      <c r="I186" s="855" t="s">
        <v>557</v>
      </c>
      <c r="J186" s="855" t="s">
        <v>558</v>
      </c>
      <c r="K186" s="856" t="s">
        <v>559</v>
      </c>
      <c r="L186" s="855" t="s">
        <v>560</v>
      </c>
      <c r="M186" s="856" t="s">
        <v>561</v>
      </c>
      <c r="N186" s="855" t="s">
        <v>562</v>
      </c>
      <c r="O186" s="857" t="s">
        <v>553</v>
      </c>
      <c r="P186" s="855" t="s">
        <v>563</v>
      </c>
      <c r="Q186" s="842"/>
      <c r="R186" s="853" t="s">
        <v>550</v>
      </c>
      <c r="S186" s="855" t="s">
        <v>517</v>
      </c>
      <c r="T186" s="855" t="s">
        <v>353</v>
      </c>
      <c r="U186" s="855" t="s">
        <v>554</v>
      </c>
      <c r="V186" s="855" t="s">
        <v>564</v>
      </c>
      <c r="W186" s="853" t="s">
        <v>564</v>
      </c>
    </row>
    <row r="187" spans="1:23" s="859" customFormat="1" ht="13.5" customHeight="1">
      <c r="A187" s="860" t="str">
        <f>IF(B187&lt;&gt;"",ROW()-(ROW()-1),"")</f>
        <v/>
      </c>
      <c r="B187" s="872"/>
      <c r="C187" s="861">
        <f>IF(ISNA(VLOOKUP(B187,NXT!$Q$61:$S$81,2,0)),0,VLOOKUP(B187,NXT!$Q$61:$S$81,2,0))</f>
        <v>0</v>
      </c>
      <c r="D187" s="710">
        <f>ROUND(C187*O187,0)</f>
        <v>0</v>
      </c>
      <c r="E187" s="710"/>
      <c r="F187" s="710"/>
      <c r="G187" s="862">
        <f>(D187+E187)*F187</f>
        <v>0</v>
      </c>
      <c r="H187" s="710">
        <f>IF($E$193&lt;&gt;0,H$193/($D$193+$E$193/5)*($D187+$E187/5),0)</f>
        <v>0</v>
      </c>
      <c r="I187" s="710">
        <f>IF($D$193&lt;&gt;0,I$193/$D$193*$D187,0)</f>
        <v>0</v>
      </c>
      <c r="J187" s="710">
        <f t="shared" ref="J187:K191" si="20">IF($D$193&lt;&gt;0,J$193/$D$193*$D187,0)</f>
        <v>0</v>
      </c>
      <c r="K187" s="710">
        <f t="shared" si="20"/>
        <v>0</v>
      </c>
      <c r="L187" s="862"/>
      <c r="M187" s="710" t="e">
        <f>34560000/($O$67+#REF!+#REF!)*O187</f>
        <v>#REF!</v>
      </c>
      <c r="N187" s="862">
        <f>ROUND(SUM(G187:L187),0)</f>
        <v>0</v>
      </c>
      <c r="O187" s="710"/>
      <c r="P187" s="710">
        <f>IF(N187&lt;&gt;0,N187/O187,0)</f>
        <v>0</v>
      </c>
      <c r="Q187" s="858"/>
      <c r="R187" s="864"/>
      <c r="S187" s="931"/>
      <c r="T187" s="272"/>
      <c r="U187" s="272"/>
      <c r="V187" s="862">
        <f t="shared" ref="V187:V196" si="21">ROUND(T187*U187,0)</f>
        <v>0</v>
      </c>
      <c r="W187" s="862"/>
    </row>
    <row r="188" spans="1:23" ht="13.5" customHeight="1">
      <c r="A188" s="860" t="str">
        <f>IF(B188&lt;&gt;"",A187+1,"")</f>
        <v/>
      </c>
      <c r="B188" s="872"/>
      <c r="C188" s="861">
        <f>IF(ISNA(VLOOKUP(B188,NXT!$Q$61:$S$81,2,0)),0,VLOOKUP(B188,NXT!$Q$61:$S$81,2,0))</f>
        <v>0</v>
      </c>
      <c r="D188" s="710">
        <f>ROUND(C188*O188,0)</f>
        <v>0</v>
      </c>
      <c r="E188" s="710"/>
      <c r="F188" s="710"/>
      <c r="G188" s="862">
        <f>(D188+E188)*F188</f>
        <v>0</v>
      </c>
      <c r="H188" s="710">
        <f>IF($E$193&lt;&gt;0,H$193/($D$193+$E$193/5)*($D188+$E188/5),0)</f>
        <v>0</v>
      </c>
      <c r="I188" s="710">
        <f>IF($D$193&lt;&gt;0,I$193/$D$193*$D188,0)</f>
        <v>0</v>
      </c>
      <c r="J188" s="710">
        <f t="shared" si="20"/>
        <v>0</v>
      </c>
      <c r="K188" s="710">
        <f t="shared" si="20"/>
        <v>0</v>
      </c>
      <c r="L188" s="862"/>
      <c r="M188" s="710"/>
      <c r="N188" s="862">
        <f>ROUND(SUM(G188:L188),0)</f>
        <v>0</v>
      </c>
      <c r="O188" s="710"/>
      <c r="P188" s="710">
        <f>IF(N188&lt;&gt;0,N188/O188,0)</f>
        <v>0</v>
      </c>
      <c r="Q188" s="881"/>
      <c r="R188" s="869"/>
      <c r="S188" s="931"/>
      <c r="T188" s="272"/>
      <c r="U188" s="272"/>
      <c r="V188" s="862">
        <f t="shared" si="21"/>
        <v>0</v>
      </c>
      <c r="W188" s="878"/>
    </row>
    <row r="189" spans="1:23" ht="13.5" customHeight="1">
      <c r="A189" s="860" t="str">
        <f>IF(B189&lt;&gt;"",A188+1,"")</f>
        <v/>
      </c>
      <c r="B189" s="872"/>
      <c r="C189" s="861">
        <f>IF(ISNA(VLOOKUP(B189,NXT!$Q$61:$S$81,2,0)),0,VLOOKUP(B189,NXT!$Q$61:$S$81,2,0))</f>
        <v>0</v>
      </c>
      <c r="D189" s="710">
        <f>ROUND(C189*O189,0)</f>
        <v>0</v>
      </c>
      <c r="E189" s="710"/>
      <c r="F189" s="710"/>
      <c r="G189" s="862">
        <f>(D189+E189)*F189</f>
        <v>0</v>
      </c>
      <c r="H189" s="710">
        <f>IF($E$193&lt;&gt;0,H$193/($D$193+$E$193/5)*($D189+$E189/5),0)</f>
        <v>0</v>
      </c>
      <c r="I189" s="710">
        <f>IF($D$193&lt;&gt;0,I$193/$D$193*$D189,0)</f>
        <v>0</v>
      </c>
      <c r="J189" s="710">
        <f t="shared" si="20"/>
        <v>0</v>
      </c>
      <c r="K189" s="710">
        <f t="shared" si="20"/>
        <v>0</v>
      </c>
      <c r="L189" s="862"/>
      <c r="M189" s="710"/>
      <c r="N189" s="862">
        <f>ROUND(SUM(G189:L189),0)</f>
        <v>0</v>
      </c>
      <c r="O189" s="868"/>
      <c r="P189" s="710">
        <f>IF(N189&lt;&gt;0,N189/O189,0)</f>
        <v>0</v>
      </c>
      <c r="Q189" s="881"/>
      <c r="R189" s="869"/>
      <c r="S189" s="931"/>
      <c r="T189" s="272"/>
      <c r="U189" s="272"/>
      <c r="V189" s="862">
        <f t="shared" si="21"/>
        <v>0</v>
      </c>
      <c r="W189" s="878"/>
    </row>
    <row r="190" spans="1:23">
      <c r="A190" s="860" t="str">
        <f>IF(B190&lt;&gt;"",A189+1,"")</f>
        <v/>
      </c>
      <c r="B190" s="872"/>
      <c r="C190" s="861">
        <f>IF(ISNA(VLOOKUP(B190,NXT!$Q$61:$S$81,2,0)),0,VLOOKUP(B190,NXT!$Q$61:$S$81,2,0))</f>
        <v>0</v>
      </c>
      <c r="D190" s="710">
        <f>ROUND(C190*O190,0)</f>
        <v>0</v>
      </c>
      <c r="E190" s="710"/>
      <c r="F190" s="710"/>
      <c r="G190" s="862">
        <f>(D190+E190)*F190</f>
        <v>0</v>
      </c>
      <c r="H190" s="710">
        <f>IF($E$193&lt;&gt;0,H$193/($D$193+$E$193/5)*($D190+$E190/5),0)</f>
        <v>0</v>
      </c>
      <c r="I190" s="710">
        <f>IF($D$193&lt;&gt;0,I$193/$D$193*$D190,0)</f>
        <v>0</v>
      </c>
      <c r="J190" s="710">
        <f t="shared" si="20"/>
        <v>0</v>
      </c>
      <c r="K190" s="710">
        <f t="shared" si="20"/>
        <v>0</v>
      </c>
      <c r="L190" s="862"/>
      <c r="M190" s="710"/>
      <c r="N190" s="862">
        <f>ROUND(SUM(G190:L190),0)</f>
        <v>0</v>
      </c>
      <c r="O190" s="868"/>
      <c r="P190" s="710">
        <f>IF(N190&lt;&gt;0,N190/O190,0)</f>
        <v>0</v>
      </c>
      <c r="Q190" s="881"/>
      <c r="R190" s="869"/>
      <c r="S190" s="931"/>
      <c r="T190" s="272"/>
      <c r="U190" s="272"/>
      <c r="V190" s="862">
        <f t="shared" si="21"/>
        <v>0</v>
      </c>
      <c r="W190" s="878"/>
    </row>
    <row r="191" spans="1:23">
      <c r="A191" s="860" t="str">
        <f>IF(B191&lt;&gt;"",A190+1,"")</f>
        <v/>
      </c>
      <c r="B191" s="872"/>
      <c r="C191" s="861">
        <f>IF(ISNA(VLOOKUP(B191,NXT!$Q$61:$S$81,2,0)),0,VLOOKUP(B191,NXT!$Q$61:$S$81,2,0))</f>
        <v>0</v>
      </c>
      <c r="D191" s="710">
        <f>ROUND(C191*O191,0)</f>
        <v>0</v>
      </c>
      <c r="E191" s="710"/>
      <c r="F191" s="710"/>
      <c r="G191" s="862">
        <f>(D191+E191)*F191</f>
        <v>0</v>
      </c>
      <c r="H191" s="710">
        <f>IF($E$193&lt;&gt;0,H$193/($D$193+$E$193/5)*($D191+$E191/5),0)</f>
        <v>0</v>
      </c>
      <c r="I191" s="710">
        <f>IF($D$193&lt;&gt;0,I$193/$D$193*$D191,0)</f>
        <v>0</v>
      </c>
      <c r="J191" s="710">
        <f t="shared" si="20"/>
        <v>0</v>
      </c>
      <c r="K191" s="710">
        <f t="shared" si="20"/>
        <v>0</v>
      </c>
      <c r="L191" s="710"/>
      <c r="M191" s="710"/>
      <c r="N191" s="862">
        <f>ROUND(SUM(G191:L191),0)</f>
        <v>0</v>
      </c>
      <c r="O191" s="868"/>
      <c r="P191" s="710">
        <f>IF(N191&lt;&gt;0,N191/O191,0)</f>
        <v>0</v>
      </c>
      <c r="Q191" s="881"/>
      <c r="R191" s="869"/>
      <c r="S191" s="931"/>
      <c r="T191" s="272"/>
      <c r="U191" s="272"/>
      <c r="V191" s="862">
        <f t="shared" si="21"/>
        <v>0</v>
      </c>
      <c r="W191" s="878"/>
    </row>
    <row r="192" spans="1:23">
      <c r="A192" s="860" t="str">
        <f>IF(B192&lt;&gt;"",#REF!+1,"")</f>
        <v/>
      </c>
      <c r="B192" s="873"/>
      <c r="C192" s="874"/>
      <c r="D192" s="876"/>
      <c r="E192" s="876"/>
      <c r="F192" s="876"/>
      <c r="G192" s="877"/>
      <c r="H192" s="922"/>
      <c r="I192" s="876"/>
      <c r="J192" s="878"/>
      <c r="K192" s="876"/>
      <c r="L192" s="879"/>
      <c r="M192" s="876"/>
      <c r="N192" s="910"/>
      <c r="O192" s="880"/>
      <c r="P192" s="876"/>
      <c r="Q192" s="881"/>
      <c r="R192" s="869"/>
      <c r="S192" s="931"/>
      <c r="T192" s="272"/>
      <c r="U192" s="272"/>
      <c r="V192" s="862">
        <f t="shared" si="21"/>
        <v>0</v>
      </c>
      <c r="W192" s="878"/>
    </row>
    <row r="193" spans="1:23">
      <c r="A193" s="883"/>
      <c r="B193" s="884" t="s">
        <v>565</v>
      </c>
      <c r="C193" s="885"/>
      <c r="D193" s="886">
        <f>SUM(D187:D191)</f>
        <v>0</v>
      </c>
      <c r="E193" s="886">
        <f>SUM(E187:E191)</f>
        <v>0</v>
      </c>
      <c r="F193" s="886"/>
      <c r="G193" s="886">
        <f>SUM(G187:G191)</f>
        <v>0</v>
      </c>
      <c r="H193" s="887"/>
      <c r="I193" s="887">
        <f>V198</f>
        <v>0</v>
      </c>
      <c r="J193" s="887"/>
      <c r="K193" s="887"/>
      <c r="L193" s="886">
        <f>ROUND(SUM(L187:L192),0)</f>
        <v>0</v>
      </c>
      <c r="M193" s="886" t="e">
        <f>ROUND(SUM(M187:M192),0)</f>
        <v>#REF!</v>
      </c>
      <c r="N193" s="886">
        <f>ROUND(SUM(N187:N192),0)</f>
        <v>0</v>
      </c>
      <c r="O193" s="886">
        <f>ROUND(SUM(O187:O192),0)</f>
        <v>0</v>
      </c>
      <c r="P193" s="886"/>
      <c r="Q193" s="881"/>
      <c r="R193" s="869"/>
      <c r="S193" s="931"/>
      <c r="T193" s="272"/>
      <c r="U193" s="272"/>
      <c r="V193" s="862">
        <f t="shared" si="21"/>
        <v>0</v>
      </c>
      <c r="W193" s="878"/>
    </row>
    <row r="194" spans="1:23">
      <c r="Q194" s="881"/>
      <c r="R194" s="869"/>
      <c r="S194" s="931"/>
      <c r="T194" s="892"/>
      <c r="U194" s="870"/>
      <c r="V194" s="862">
        <f t="shared" si="21"/>
        <v>0</v>
      </c>
      <c r="W194" s="878"/>
    </row>
    <row r="195" spans="1:23">
      <c r="Q195" s="881"/>
      <c r="R195" s="934"/>
      <c r="S195" s="931"/>
      <c r="T195" s="892"/>
      <c r="U195" s="870"/>
      <c r="V195" s="862">
        <f t="shared" si="21"/>
        <v>0</v>
      </c>
      <c r="W195" s="878"/>
    </row>
    <row r="196" spans="1:23">
      <c r="Q196" s="881"/>
      <c r="R196" s="591"/>
      <c r="S196" s="931"/>
      <c r="T196" s="272"/>
      <c r="U196" s="272"/>
      <c r="V196" s="862">
        <f t="shared" si="21"/>
        <v>0</v>
      </c>
      <c r="W196" s="878"/>
    </row>
    <row r="197" spans="1:23" s="882" customFormat="1">
      <c r="A197" s="833"/>
      <c r="B197" s="833"/>
      <c r="C197" s="833"/>
      <c r="D197" s="833"/>
      <c r="E197" s="833"/>
      <c r="F197" s="833"/>
      <c r="G197" s="833"/>
      <c r="H197" s="833"/>
      <c r="I197" s="833"/>
      <c r="J197" s="833"/>
      <c r="K197" s="833"/>
      <c r="L197" s="833"/>
      <c r="M197" s="833"/>
      <c r="N197" s="833"/>
      <c r="O197" s="833"/>
      <c r="P197" s="833"/>
      <c r="Q197" s="881"/>
      <c r="R197" s="869"/>
      <c r="S197" s="865"/>
      <c r="T197" s="272"/>
      <c r="U197" s="272"/>
      <c r="V197" s="862"/>
      <c r="W197" s="878"/>
    </row>
    <row r="198" spans="1:23" s="837" customFormat="1">
      <c r="A198" s="833"/>
      <c r="B198" s="833"/>
      <c r="C198" s="833"/>
      <c r="D198" s="833"/>
      <c r="E198" s="833"/>
      <c r="F198" s="833"/>
      <c r="G198" s="833"/>
      <c r="H198" s="833"/>
      <c r="I198" s="833"/>
      <c r="J198" s="833"/>
      <c r="K198" s="833"/>
      <c r="L198" s="833"/>
      <c r="M198" s="833"/>
      <c r="N198" s="833"/>
      <c r="O198" s="833"/>
      <c r="P198" s="833"/>
      <c r="Q198" s="881"/>
      <c r="R198" s="915"/>
      <c r="S198" s="916"/>
      <c r="T198" s="917"/>
      <c r="U198" s="936"/>
      <c r="V198" s="896">
        <f>SUM(V187:V197)</f>
        <v>0</v>
      </c>
      <c r="W198" s="896">
        <f>SUM(W187:W197)</f>
        <v>0</v>
      </c>
    </row>
    <row r="199" spans="1:23">
      <c r="R199" s="918"/>
      <c r="S199" s="931"/>
      <c r="T199" s="272"/>
      <c r="U199" s="272"/>
      <c r="V199" s="862">
        <f t="shared" ref="V199:V206" si="22">ROUND(T199*U199,0)</f>
        <v>0</v>
      </c>
      <c r="W199" s="862"/>
    </row>
    <row r="200" spans="1:23">
      <c r="R200" s="918"/>
      <c r="S200" s="931"/>
      <c r="T200" s="870"/>
      <c r="U200" s="870"/>
      <c r="V200" s="862">
        <f t="shared" si="22"/>
        <v>0</v>
      </c>
      <c r="W200" s="878"/>
    </row>
    <row r="201" spans="1:23">
      <c r="R201" s="869"/>
      <c r="S201" s="931"/>
      <c r="T201" s="870"/>
      <c r="U201" s="870"/>
      <c r="V201" s="862">
        <f t="shared" si="22"/>
        <v>0</v>
      </c>
      <c r="W201" s="878"/>
    </row>
    <row r="202" spans="1:23">
      <c r="R202" s="892"/>
      <c r="S202" s="931"/>
      <c r="T202" s="870"/>
      <c r="U202" s="870"/>
      <c r="V202" s="862">
        <f t="shared" si="22"/>
        <v>0</v>
      </c>
      <c r="W202" s="878"/>
    </row>
    <row r="203" spans="1:23">
      <c r="R203" s="869"/>
      <c r="S203" s="865"/>
      <c r="T203" s="870"/>
      <c r="U203" s="870"/>
      <c r="V203" s="862">
        <f t="shared" si="22"/>
        <v>0</v>
      </c>
      <c r="W203" s="878"/>
    </row>
    <row r="204" spans="1:23">
      <c r="R204" s="869"/>
      <c r="S204" s="865"/>
      <c r="T204" s="870"/>
      <c r="U204" s="870"/>
      <c r="V204" s="862">
        <f t="shared" si="22"/>
        <v>0</v>
      </c>
      <c r="W204" s="878"/>
    </row>
    <row r="205" spans="1:23">
      <c r="R205" s="892"/>
      <c r="S205" s="865"/>
      <c r="T205" s="870"/>
      <c r="U205" s="870"/>
      <c r="V205" s="862">
        <f t="shared" si="22"/>
        <v>0</v>
      </c>
      <c r="W205" s="878"/>
    </row>
    <row r="206" spans="1:23">
      <c r="R206" s="892"/>
      <c r="S206" s="865"/>
      <c r="T206" s="870"/>
      <c r="U206" s="870"/>
      <c r="V206" s="862">
        <f t="shared" si="22"/>
        <v>0</v>
      </c>
      <c r="W206" s="878"/>
    </row>
    <row r="207" spans="1:23">
      <c r="A207" s="845"/>
      <c r="B207" s="845"/>
      <c r="C207" s="846"/>
      <c r="D207" s="845"/>
      <c r="E207" s="845"/>
      <c r="F207" s="845"/>
      <c r="G207" s="845"/>
      <c r="H207" s="845"/>
      <c r="I207" s="845"/>
      <c r="J207" s="845"/>
      <c r="K207" s="845"/>
      <c r="L207" s="844"/>
      <c r="M207" s="845"/>
      <c r="N207" s="845"/>
      <c r="O207" s="847"/>
      <c r="P207" s="845"/>
      <c r="R207" s="836"/>
      <c r="S207" s="843"/>
    </row>
    <row r="208" spans="1:23" ht="18.75" customHeight="1">
      <c r="A208" s="852"/>
      <c r="B208" s="852"/>
      <c r="C208" s="939"/>
      <c r="D208" s="852"/>
      <c r="E208" s="852"/>
      <c r="F208" s="852"/>
      <c r="G208" s="852"/>
      <c r="H208" s="852"/>
      <c r="I208" s="852"/>
      <c r="J208" s="852"/>
      <c r="K208" s="852"/>
      <c r="L208" s="852"/>
      <c r="M208" s="852"/>
      <c r="N208" s="852"/>
      <c r="O208" s="904"/>
      <c r="P208" s="852"/>
      <c r="Q208" s="842"/>
      <c r="R208" s="836"/>
      <c r="S208" s="843"/>
    </row>
    <row r="209" spans="1:23" ht="20.25" customHeight="1">
      <c r="A209" s="837" t="s">
        <v>548</v>
      </c>
      <c r="B209" s="837"/>
      <c r="C209" s="838"/>
      <c r="D209" s="839"/>
      <c r="E209" s="839"/>
      <c r="F209" s="839"/>
      <c r="G209" s="836"/>
      <c r="H209" s="836"/>
      <c r="I209" s="836"/>
      <c r="J209" s="836"/>
      <c r="K209" s="836"/>
      <c r="L209" s="840"/>
      <c r="M209" s="836"/>
      <c r="N209" s="836"/>
      <c r="O209" s="841"/>
      <c r="P209" s="836"/>
      <c r="Q209" s="842"/>
      <c r="R209" s="836"/>
      <c r="S209" s="843"/>
    </row>
    <row r="210" spans="1:23" ht="20.25" customHeight="1">
      <c r="A210" s="844" t="s">
        <v>574</v>
      </c>
      <c r="B210" s="844"/>
      <c r="C210" s="844"/>
      <c r="D210" s="844"/>
      <c r="E210" s="844"/>
      <c r="F210" s="844"/>
      <c r="G210" s="844"/>
      <c r="H210" s="844"/>
      <c r="I210" s="844"/>
      <c r="J210" s="844"/>
      <c r="K210" s="844"/>
      <c r="L210" s="844"/>
      <c r="M210" s="844"/>
      <c r="N210" s="844"/>
      <c r="O210" s="844"/>
      <c r="P210" s="844"/>
      <c r="Q210" s="842"/>
      <c r="R210" s="836"/>
      <c r="S210" s="843"/>
    </row>
    <row r="211" spans="1:23" ht="12" customHeight="1">
      <c r="A211" s="845"/>
      <c r="B211" s="845"/>
      <c r="C211" s="846"/>
      <c r="D211" s="845"/>
      <c r="E211" s="845"/>
      <c r="F211" s="845"/>
      <c r="G211" s="845"/>
      <c r="H211" s="845"/>
      <c r="I211" s="845"/>
      <c r="J211" s="845"/>
      <c r="K211" s="845"/>
      <c r="L211" s="844"/>
      <c r="M211" s="845"/>
      <c r="N211" s="845"/>
      <c r="O211" s="847"/>
      <c r="P211" s="845"/>
      <c r="Q211" s="842"/>
      <c r="R211" s="836"/>
      <c r="S211" s="843"/>
    </row>
    <row r="212" spans="1:23" ht="12" customHeight="1">
      <c r="A212" s="848"/>
      <c r="B212" s="848"/>
      <c r="C212" s="849"/>
      <c r="D212" s="848"/>
      <c r="E212" s="848"/>
      <c r="F212" s="848"/>
      <c r="G212" s="848"/>
      <c r="H212" s="848"/>
      <c r="I212" s="848"/>
      <c r="J212" s="848"/>
      <c r="K212" s="848"/>
      <c r="L212" s="848"/>
      <c r="M212" s="848"/>
      <c r="N212" s="848"/>
      <c r="O212" s="850"/>
      <c r="P212" s="848"/>
      <c r="Q212" s="842"/>
      <c r="R212" s="836"/>
      <c r="S212" s="843"/>
    </row>
    <row r="213" spans="1:23" ht="36.75" customHeight="1">
      <c r="A213" s="853" t="s">
        <v>37</v>
      </c>
      <c r="B213" s="853" t="s">
        <v>550</v>
      </c>
      <c r="C213" s="854" t="s">
        <v>551</v>
      </c>
      <c r="D213" s="855" t="s">
        <v>552</v>
      </c>
      <c r="E213" s="855" t="s">
        <v>553</v>
      </c>
      <c r="F213" s="855" t="s">
        <v>554</v>
      </c>
      <c r="G213" s="855" t="s">
        <v>555</v>
      </c>
      <c r="H213" s="855" t="s">
        <v>556</v>
      </c>
      <c r="I213" s="855" t="s">
        <v>557</v>
      </c>
      <c r="J213" s="855" t="s">
        <v>558</v>
      </c>
      <c r="K213" s="856" t="s">
        <v>559</v>
      </c>
      <c r="L213" s="855" t="s">
        <v>560</v>
      </c>
      <c r="M213" s="856" t="s">
        <v>561</v>
      </c>
      <c r="N213" s="855" t="s">
        <v>562</v>
      </c>
      <c r="O213" s="857" t="s">
        <v>553</v>
      </c>
      <c r="P213" s="855" t="s">
        <v>563</v>
      </c>
      <c r="Q213" s="842"/>
      <c r="R213" s="853" t="s">
        <v>550</v>
      </c>
      <c r="S213" s="855" t="s">
        <v>517</v>
      </c>
      <c r="T213" s="855" t="s">
        <v>353</v>
      </c>
      <c r="U213" s="855" t="s">
        <v>554</v>
      </c>
      <c r="V213" s="855" t="s">
        <v>564</v>
      </c>
      <c r="W213" s="853" t="s">
        <v>564</v>
      </c>
    </row>
    <row r="214" spans="1:23" s="859" customFormat="1" ht="13.5" customHeight="1">
      <c r="A214" s="860" t="str">
        <f>IF(B214&lt;&gt;"",ROW()-(ROW()-1),"")</f>
        <v/>
      </c>
      <c r="B214" s="872"/>
      <c r="C214" s="861">
        <f>IF(ISNA(VLOOKUP(B214,NXT!$Q$61:$S$81,2,0)),0,VLOOKUP(B214,NXT!$Q$61:$S$81,2,0))</f>
        <v>0</v>
      </c>
      <c r="D214" s="710">
        <f t="shared" ref="D214:D219" si="23">ROUND(C214*O214,0)</f>
        <v>0</v>
      </c>
      <c r="E214" s="710"/>
      <c r="F214" s="710"/>
      <c r="G214" s="862">
        <f t="shared" ref="G214:G219" si="24">(D214+E214)*F214</f>
        <v>0</v>
      </c>
      <c r="H214" s="710">
        <f t="shared" ref="H214:H219" si="25">IF($D$221&lt;&gt;0,H$221/($D$221+$E$221/4)*($D214+$E214/4),0)</f>
        <v>0</v>
      </c>
      <c r="I214" s="710">
        <f t="shared" ref="I214:K219" si="26">IF($D$221&lt;&gt;0,I$221/$D$221*$D214,0)</f>
        <v>0</v>
      </c>
      <c r="J214" s="710">
        <f t="shared" si="26"/>
        <v>0</v>
      </c>
      <c r="K214" s="710">
        <f t="shared" si="26"/>
        <v>0</v>
      </c>
      <c r="L214" s="710"/>
      <c r="M214" s="710"/>
      <c r="N214" s="862">
        <f t="shared" ref="N214:N219" si="27">ROUND(SUM(G214:L214),0)</f>
        <v>0</v>
      </c>
      <c r="O214" s="868"/>
      <c r="P214" s="710">
        <f t="shared" ref="P214:P219" si="28">IF(N214&lt;&gt;0,N214/O214,0)</f>
        <v>0</v>
      </c>
      <c r="Q214" s="858"/>
      <c r="R214" s="864"/>
      <c r="S214" s="931"/>
      <c r="T214" s="272"/>
      <c r="U214" s="272"/>
      <c r="V214" s="862">
        <f t="shared" ref="V214:V223" si="29">ROUND(T214*U214,0)</f>
        <v>0</v>
      </c>
      <c r="W214" s="862"/>
    </row>
    <row r="215" spans="1:23" ht="13.5" customHeight="1">
      <c r="A215" s="860" t="str">
        <f t="shared" ref="A215:A220" si="30">IF(B215&lt;&gt;"",A214+1,"")</f>
        <v/>
      </c>
      <c r="B215" s="872"/>
      <c r="C215" s="861">
        <f>IF(ISNA(VLOOKUP(B215,NXT!$Q$61:$S$81,2,0)),0,VLOOKUP(B215,NXT!$Q$61:$S$81,2,0))</f>
        <v>0</v>
      </c>
      <c r="D215" s="710">
        <f t="shared" si="23"/>
        <v>0</v>
      </c>
      <c r="E215" s="710"/>
      <c r="F215" s="710"/>
      <c r="G215" s="862">
        <f t="shared" si="24"/>
        <v>0</v>
      </c>
      <c r="H215" s="710">
        <f t="shared" si="25"/>
        <v>0</v>
      </c>
      <c r="I215" s="710">
        <f>IF($D$221&lt;&gt;0,I$221/$D$221*$D215,0)</f>
        <v>0</v>
      </c>
      <c r="J215" s="710">
        <f t="shared" si="26"/>
        <v>0</v>
      </c>
      <c r="K215" s="710">
        <f t="shared" si="26"/>
        <v>0</v>
      </c>
      <c r="L215" s="862"/>
      <c r="M215" s="710" t="e">
        <f>34560000/($O$67+#REF!+#REF!)*O215</f>
        <v>#REF!</v>
      </c>
      <c r="N215" s="862">
        <f t="shared" si="27"/>
        <v>0</v>
      </c>
      <c r="O215" s="710"/>
      <c r="P215" s="710">
        <f t="shared" si="28"/>
        <v>0</v>
      </c>
      <c r="Q215" s="881"/>
      <c r="R215" s="869"/>
      <c r="S215" s="931"/>
      <c r="T215" s="272"/>
      <c r="U215" s="272"/>
      <c r="V215" s="862">
        <f t="shared" si="29"/>
        <v>0</v>
      </c>
      <c r="W215" s="878"/>
    </row>
    <row r="216" spans="1:23" ht="13.5" customHeight="1">
      <c r="A216" s="860" t="str">
        <f t="shared" si="30"/>
        <v/>
      </c>
      <c r="B216" s="586"/>
      <c r="C216" s="861">
        <f>IF(ISNA(VLOOKUP(B216,NXT!$Q$61:$S$81,2,0)),0,VLOOKUP(B216,NXT!$Q$61:$S$81,2,0))</f>
        <v>0</v>
      </c>
      <c r="D216" s="710">
        <f t="shared" si="23"/>
        <v>0</v>
      </c>
      <c r="E216" s="710"/>
      <c r="F216" s="710"/>
      <c r="G216" s="862">
        <f t="shared" si="24"/>
        <v>0</v>
      </c>
      <c r="H216" s="710">
        <f t="shared" si="25"/>
        <v>0</v>
      </c>
      <c r="I216" s="710">
        <f t="shared" si="26"/>
        <v>0</v>
      </c>
      <c r="J216" s="710">
        <f t="shared" si="26"/>
        <v>0</v>
      </c>
      <c r="K216" s="710">
        <f t="shared" si="26"/>
        <v>0</v>
      </c>
      <c r="L216" s="710"/>
      <c r="M216" s="710"/>
      <c r="N216" s="862">
        <f t="shared" si="27"/>
        <v>0</v>
      </c>
      <c r="O216" s="868"/>
      <c r="P216" s="710">
        <f t="shared" si="28"/>
        <v>0</v>
      </c>
      <c r="Q216" s="881"/>
      <c r="R216" s="869"/>
      <c r="S216" s="931"/>
      <c r="T216" s="272"/>
      <c r="U216" s="272"/>
      <c r="V216" s="862">
        <f t="shared" si="29"/>
        <v>0</v>
      </c>
      <c r="W216" s="878"/>
    </row>
    <row r="217" spans="1:23" ht="13.5" customHeight="1">
      <c r="A217" s="860" t="str">
        <f t="shared" si="30"/>
        <v/>
      </c>
      <c r="B217" s="872"/>
      <c r="C217" s="861">
        <f>IF(ISNA(VLOOKUP(B217,NXT!$Q$61:$S$81,2,0)),0,VLOOKUP(B217,NXT!$Q$61:$S$81,2,0))</f>
        <v>0</v>
      </c>
      <c r="D217" s="710">
        <f t="shared" si="23"/>
        <v>0</v>
      </c>
      <c r="E217" s="710"/>
      <c r="F217" s="710"/>
      <c r="G217" s="862">
        <f t="shared" si="24"/>
        <v>0</v>
      </c>
      <c r="H217" s="710">
        <f t="shared" si="25"/>
        <v>0</v>
      </c>
      <c r="I217" s="710">
        <f t="shared" si="26"/>
        <v>0</v>
      </c>
      <c r="J217" s="710">
        <f t="shared" si="26"/>
        <v>0</v>
      </c>
      <c r="K217" s="710">
        <f t="shared" si="26"/>
        <v>0</v>
      </c>
      <c r="L217" s="710"/>
      <c r="M217" s="710"/>
      <c r="N217" s="862">
        <f t="shared" si="27"/>
        <v>0</v>
      </c>
      <c r="O217" s="868"/>
      <c r="P217" s="710">
        <f t="shared" si="28"/>
        <v>0</v>
      </c>
      <c r="Q217" s="881"/>
      <c r="R217" s="869"/>
      <c r="S217" s="931"/>
      <c r="T217" s="272"/>
      <c r="U217" s="272"/>
      <c r="V217" s="862">
        <f t="shared" si="29"/>
        <v>0</v>
      </c>
      <c r="W217" s="878"/>
    </row>
    <row r="218" spans="1:23" ht="13.5" customHeight="1">
      <c r="A218" s="860" t="str">
        <f t="shared" si="30"/>
        <v/>
      </c>
      <c r="B218" s="872"/>
      <c r="C218" s="861">
        <f>IF(ISNA(VLOOKUP(B218,NXT!$Q$61:$S$81,2,0)),0,VLOOKUP(B218,NXT!$Q$61:$S$81,2,0))</f>
        <v>0</v>
      </c>
      <c r="D218" s="710">
        <f t="shared" si="23"/>
        <v>0</v>
      </c>
      <c r="E218" s="710"/>
      <c r="F218" s="710"/>
      <c r="G218" s="862">
        <f t="shared" si="24"/>
        <v>0</v>
      </c>
      <c r="H218" s="710">
        <f t="shared" si="25"/>
        <v>0</v>
      </c>
      <c r="I218" s="710">
        <f t="shared" si="26"/>
        <v>0</v>
      </c>
      <c r="J218" s="710">
        <f t="shared" si="26"/>
        <v>0</v>
      </c>
      <c r="K218" s="710">
        <f t="shared" si="26"/>
        <v>0</v>
      </c>
      <c r="L218" s="710"/>
      <c r="M218" s="710"/>
      <c r="N218" s="862">
        <f t="shared" si="27"/>
        <v>0</v>
      </c>
      <c r="O218" s="868"/>
      <c r="P218" s="710">
        <f t="shared" si="28"/>
        <v>0</v>
      </c>
      <c r="Q218" s="881"/>
      <c r="R218" s="869"/>
      <c r="S218" s="931"/>
      <c r="T218" s="272"/>
      <c r="U218" s="272"/>
      <c r="V218" s="862">
        <f t="shared" si="29"/>
        <v>0</v>
      </c>
      <c r="W218" s="878"/>
    </row>
    <row r="219" spans="1:23">
      <c r="A219" s="860" t="str">
        <f t="shared" si="30"/>
        <v/>
      </c>
      <c r="B219" s="872"/>
      <c r="C219" s="861">
        <f>IF(ISNA(VLOOKUP(B219,NXT!$Q$61:$S$81,2,0)),0,VLOOKUP(B219,NXT!$Q$61:$S$81,2,0))</f>
        <v>0</v>
      </c>
      <c r="D219" s="710">
        <f t="shared" si="23"/>
        <v>0</v>
      </c>
      <c r="E219" s="710"/>
      <c r="F219" s="710"/>
      <c r="G219" s="862">
        <f t="shared" si="24"/>
        <v>0</v>
      </c>
      <c r="H219" s="710">
        <f t="shared" si="25"/>
        <v>0</v>
      </c>
      <c r="I219" s="710">
        <f t="shared" si="26"/>
        <v>0</v>
      </c>
      <c r="J219" s="710">
        <f t="shared" si="26"/>
        <v>0</v>
      </c>
      <c r="K219" s="710">
        <f t="shared" si="26"/>
        <v>0</v>
      </c>
      <c r="L219" s="710"/>
      <c r="M219" s="710"/>
      <c r="N219" s="862">
        <f t="shared" si="27"/>
        <v>0</v>
      </c>
      <c r="O219" s="868"/>
      <c r="P219" s="710">
        <f t="shared" si="28"/>
        <v>0</v>
      </c>
      <c r="Q219" s="881"/>
      <c r="R219" s="869"/>
      <c r="S219" s="931"/>
      <c r="T219" s="272"/>
      <c r="U219" s="870"/>
      <c r="V219" s="862">
        <f t="shared" si="29"/>
        <v>0</v>
      </c>
      <c r="W219" s="878"/>
    </row>
    <row r="220" spans="1:23">
      <c r="A220" s="860" t="str">
        <f t="shared" si="30"/>
        <v/>
      </c>
      <c r="B220" s="873"/>
      <c r="C220" s="874"/>
      <c r="D220" s="876"/>
      <c r="E220" s="876"/>
      <c r="F220" s="876"/>
      <c r="G220" s="877"/>
      <c r="H220" s="922"/>
      <c r="I220" s="876"/>
      <c r="J220" s="878"/>
      <c r="K220" s="876"/>
      <c r="L220" s="879"/>
      <c r="M220" s="876"/>
      <c r="N220" s="910"/>
      <c r="O220" s="880"/>
      <c r="P220" s="876"/>
      <c r="Q220" s="881"/>
      <c r="R220" s="869"/>
      <c r="S220" s="933"/>
      <c r="T220" s="272"/>
      <c r="U220" s="272"/>
      <c r="V220" s="862">
        <f t="shared" si="29"/>
        <v>0</v>
      </c>
      <c r="W220" s="878"/>
    </row>
    <row r="221" spans="1:23" s="882" customFormat="1">
      <c r="A221" s="883"/>
      <c r="B221" s="884" t="s">
        <v>565</v>
      </c>
      <c r="C221" s="885"/>
      <c r="D221" s="886">
        <f>SUM(D214:D219)</f>
        <v>0</v>
      </c>
      <c r="E221" s="886">
        <f>SUM(E214:E219)</f>
        <v>0</v>
      </c>
      <c r="F221" s="886"/>
      <c r="G221" s="886">
        <f>SUM(G214:G220)</f>
        <v>0</v>
      </c>
      <c r="H221" s="887"/>
      <c r="I221" s="887">
        <f>V225</f>
        <v>0</v>
      </c>
      <c r="J221" s="887"/>
      <c r="K221" s="887"/>
      <c r="L221" s="886">
        <f>ROUND(SUM(L214:L220),0)</f>
        <v>0</v>
      </c>
      <c r="M221" s="886" t="e">
        <f>ROUND(SUM(M214:M220),0)</f>
        <v>#REF!</v>
      </c>
      <c r="N221" s="886">
        <f>ROUND(SUM(N214:N220),0)</f>
        <v>0</v>
      </c>
      <c r="O221" s="886">
        <f>ROUND(SUM(O214:O220),0)</f>
        <v>0</v>
      </c>
      <c r="P221" s="886"/>
      <c r="Q221" s="881"/>
      <c r="R221" s="869"/>
      <c r="S221" s="933"/>
      <c r="T221" s="892"/>
      <c r="U221" s="870"/>
      <c r="V221" s="862">
        <f t="shared" si="29"/>
        <v>0</v>
      </c>
      <c r="W221" s="878"/>
    </row>
    <row r="222" spans="1:23" s="837" customFormat="1">
      <c r="A222" s="833"/>
      <c r="B222" s="833"/>
      <c r="C222" s="833"/>
      <c r="D222" s="833"/>
      <c r="E222" s="833"/>
      <c r="F222" s="833"/>
      <c r="G222" s="833"/>
      <c r="H222" s="833"/>
      <c r="I222" s="833"/>
      <c r="J222" s="833"/>
      <c r="K222" s="833"/>
      <c r="L222" s="833"/>
      <c r="M222" s="833"/>
      <c r="N222" s="833"/>
      <c r="O222" s="833"/>
      <c r="P222" s="833"/>
      <c r="Q222" s="881"/>
      <c r="R222" s="934"/>
      <c r="S222" s="933"/>
      <c r="T222" s="892"/>
      <c r="U222" s="870"/>
      <c r="V222" s="862">
        <f t="shared" si="29"/>
        <v>0</v>
      </c>
      <c r="W222" s="878"/>
    </row>
    <row r="223" spans="1:23">
      <c r="Q223" s="881"/>
      <c r="R223" s="591"/>
      <c r="S223" s="933"/>
      <c r="T223" s="272"/>
      <c r="U223" s="272"/>
      <c r="V223" s="862">
        <f t="shared" si="29"/>
        <v>0</v>
      </c>
      <c r="W223" s="878"/>
    </row>
    <row r="224" spans="1:23">
      <c r="Q224" s="881"/>
      <c r="R224" s="935"/>
      <c r="S224" s="865"/>
      <c r="T224" s="272"/>
      <c r="U224" s="272"/>
      <c r="V224" s="878"/>
      <c r="W224" s="878"/>
    </row>
    <row r="225" spans="1:23">
      <c r="Q225" s="881"/>
      <c r="R225" s="915"/>
      <c r="S225" s="916"/>
      <c r="T225" s="917"/>
      <c r="U225" s="936"/>
      <c r="V225" s="896">
        <f>SUM(V214:V224)</f>
        <v>0</v>
      </c>
      <c r="W225" s="896">
        <f>SUM(W214:W224)</f>
        <v>0</v>
      </c>
    </row>
    <row r="226" spans="1:23">
      <c r="R226" s="869"/>
      <c r="S226" s="931"/>
      <c r="T226" s="272"/>
      <c r="U226" s="870"/>
      <c r="V226" s="862">
        <f t="shared" ref="V226:V233" si="31">ROUND(T226*U226,0)</f>
        <v>0</v>
      </c>
      <c r="W226" s="862"/>
    </row>
    <row r="227" spans="1:23">
      <c r="R227" s="869"/>
      <c r="S227" s="931"/>
      <c r="T227" s="870"/>
      <c r="U227" s="870"/>
      <c r="V227" s="862">
        <f t="shared" si="31"/>
        <v>0</v>
      </c>
      <c r="W227" s="878"/>
    </row>
    <row r="228" spans="1:23">
      <c r="R228" s="603"/>
      <c r="S228" s="931"/>
      <c r="T228" s="870"/>
      <c r="U228" s="870"/>
      <c r="V228" s="862">
        <f t="shared" si="31"/>
        <v>0</v>
      </c>
      <c r="W228" s="878"/>
    </row>
    <row r="229" spans="1:23">
      <c r="R229" s="892"/>
      <c r="S229" s="931"/>
      <c r="T229" s="870"/>
      <c r="U229" s="870"/>
      <c r="V229" s="862">
        <f t="shared" si="31"/>
        <v>0</v>
      </c>
      <c r="W229" s="878"/>
    </row>
    <row r="230" spans="1:23">
      <c r="R230" s="869"/>
      <c r="S230" s="931"/>
      <c r="T230" s="870"/>
      <c r="U230" s="870"/>
      <c r="V230" s="862">
        <f t="shared" si="31"/>
        <v>0</v>
      </c>
      <c r="W230" s="878"/>
    </row>
    <row r="231" spans="1:23">
      <c r="R231" s="869"/>
      <c r="S231" s="865"/>
      <c r="T231" s="870"/>
      <c r="U231" s="870"/>
      <c r="V231" s="862">
        <f t="shared" si="31"/>
        <v>0</v>
      </c>
      <c r="W231" s="878"/>
    </row>
    <row r="232" spans="1:23">
      <c r="R232" s="892"/>
      <c r="S232" s="865"/>
      <c r="T232" s="870"/>
      <c r="U232" s="870"/>
      <c r="V232" s="862">
        <f t="shared" si="31"/>
        <v>0</v>
      </c>
      <c r="W232" s="878"/>
    </row>
    <row r="233" spans="1:23">
      <c r="R233" s="892"/>
      <c r="S233" s="865"/>
      <c r="T233" s="870"/>
      <c r="U233" s="870"/>
      <c r="V233" s="862">
        <f t="shared" si="31"/>
        <v>0</v>
      </c>
      <c r="W233" s="878"/>
    </row>
    <row r="234" spans="1:23">
      <c r="R234" s="842"/>
      <c r="S234" s="919"/>
      <c r="T234" s="852"/>
      <c r="U234" s="852"/>
      <c r="V234" s="890"/>
      <c r="W234" s="920"/>
    </row>
    <row r="235" spans="1:23" ht="20.25" customHeight="1">
      <c r="A235" s="837" t="s">
        <v>548</v>
      </c>
      <c r="B235" s="837"/>
      <c r="C235" s="838"/>
      <c r="D235" s="839"/>
      <c r="E235" s="839"/>
      <c r="F235" s="839"/>
      <c r="G235" s="836"/>
      <c r="H235" s="836"/>
      <c r="I235" s="836"/>
      <c r="J235" s="836"/>
      <c r="K235" s="836"/>
      <c r="L235" s="840"/>
      <c r="M235" s="836"/>
      <c r="N235" s="836"/>
      <c r="O235" s="841"/>
      <c r="P235" s="836"/>
      <c r="R235" s="836"/>
      <c r="S235" s="843"/>
    </row>
    <row r="236" spans="1:23" ht="20.25" customHeight="1">
      <c r="A236" s="844" t="s">
        <v>575</v>
      </c>
      <c r="B236" s="844"/>
      <c r="C236" s="844"/>
      <c r="D236" s="844"/>
      <c r="E236" s="844"/>
      <c r="F236" s="844"/>
      <c r="G236" s="844"/>
      <c r="H236" s="844"/>
      <c r="I236" s="844"/>
      <c r="J236" s="844"/>
      <c r="K236" s="844"/>
      <c r="L236" s="844"/>
      <c r="M236" s="844"/>
      <c r="N236" s="844"/>
      <c r="O236" s="844"/>
      <c r="P236" s="844"/>
      <c r="Q236" s="842"/>
      <c r="R236" s="836"/>
      <c r="S236" s="843"/>
    </row>
    <row r="237" spans="1:23" ht="12" customHeight="1">
      <c r="A237" s="845"/>
      <c r="B237" s="845"/>
      <c r="C237" s="846"/>
      <c r="D237" s="845"/>
      <c r="E237" s="845"/>
      <c r="F237" s="845"/>
      <c r="G237" s="845"/>
      <c r="H237" s="845"/>
      <c r="I237" s="845"/>
      <c r="J237" s="845"/>
      <c r="K237" s="845"/>
      <c r="L237" s="844"/>
      <c r="M237" s="845"/>
      <c r="N237" s="845"/>
      <c r="O237" s="847"/>
      <c r="P237" s="845"/>
      <c r="Q237" s="842"/>
      <c r="R237" s="836"/>
      <c r="S237" s="843"/>
    </row>
    <row r="238" spans="1:23" ht="12" customHeight="1">
      <c r="A238" s="848"/>
      <c r="B238" s="848"/>
      <c r="C238" s="849"/>
      <c r="D238" s="848"/>
      <c r="E238" s="848"/>
      <c r="F238" s="848"/>
      <c r="G238" s="848"/>
      <c r="H238" s="848"/>
      <c r="I238" s="848"/>
      <c r="J238" s="848"/>
      <c r="K238" s="848"/>
      <c r="L238" s="848"/>
      <c r="M238" s="848"/>
      <c r="N238" s="848"/>
      <c r="O238" s="850"/>
      <c r="P238" s="848"/>
      <c r="Q238" s="842"/>
      <c r="R238" s="836"/>
      <c r="S238" s="843"/>
    </row>
    <row r="239" spans="1:23" ht="36.75" customHeight="1">
      <c r="A239" s="853" t="s">
        <v>37</v>
      </c>
      <c r="B239" s="853" t="s">
        <v>550</v>
      </c>
      <c r="C239" s="854" t="s">
        <v>551</v>
      </c>
      <c r="D239" s="855" t="s">
        <v>552</v>
      </c>
      <c r="E239" s="855" t="s">
        <v>553</v>
      </c>
      <c r="F239" s="855" t="s">
        <v>554</v>
      </c>
      <c r="G239" s="855" t="s">
        <v>555</v>
      </c>
      <c r="H239" s="855" t="s">
        <v>556</v>
      </c>
      <c r="I239" s="855" t="s">
        <v>557</v>
      </c>
      <c r="J239" s="855" t="s">
        <v>558</v>
      </c>
      <c r="K239" s="856" t="s">
        <v>559</v>
      </c>
      <c r="L239" s="855" t="s">
        <v>560</v>
      </c>
      <c r="M239" s="856" t="s">
        <v>561</v>
      </c>
      <c r="N239" s="855" t="s">
        <v>562</v>
      </c>
      <c r="O239" s="857" t="s">
        <v>553</v>
      </c>
      <c r="P239" s="855" t="s">
        <v>563</v>
      </c>
      <c r="Q239" s="842"/>
      <c r="R239" s="853" t="s">
        <v>550</v>
      </c>
      <c r="S239" s="855" t="s">
        <v>517</v>
      </c>
      <c r="T239" s="855" t="s">
        <v>353</v>
      </c>
      <c r="U239" s="855" t="s">
        <v>554</v>
      </c>
      <c r="V239" s="855" t="s">
        <v>564</v>
      </c>
      <c r="W239" s="853" t="s">
        <v>564</v>
      </c>
    </row>
    <row r="240" spans="1:23" s="859" customFormat="1" ht="13.5" customHeight="1">
      <c r="A240" s="860" t="str">
        <f>IF(B240&lt;&gt;"",ROW()-(ROW()-1),"")</f>
        <v/>
      </c>
      <c r="B240" s="872"/>
      <c r="C240" s="861">
        <f>IF(ISNA(VLOOKUP(B240,NXT!$Q$61:$S$81,2,0)),0,VLOOKUP(B240,NXT!$Q$61:$S$81,2,0))</f>
        <v>0</v>
      </c>
      <c r="D240" s="710">
        <f t="shared" ref="D240:D245" si="32">ROUND(C240*O240,0)</f>
        <v>0</v>
      </c>
      <c r="E240" s="710"/>
      <c r="F240" s="710"/>
      <c r="G240" s="862">
        <f t="shared" ref="G240:G245" si="33">(D240+E240)*F240</f>
        <v>0</v>
      </c>
      <c r="H240" s="710">
        <f t="shared" ref="H240:H245" si="34">IF($D$247&lt;&gt;0,H$247/($D$247+$E$247/4)*($D240+$E240/4),0)</f>
        <v>0</v>
      </c>
      <c r="I240" s="710">
        <f t="shared" ref="I240:I245" si="35">IF($D$247&lt;&gt;0,I$247/$D$247*$D240,0)</f>
        <v>0</v>
      </c>
      <c r="J240" s="710">
        <f t="shared" ref="J240:K245" si="36">IF($D$247&lt;&gt;0,J$247/$D$247*$D240,0)</f>
        <v>0</v>
      </c>
      <c r="K240" s="710">
        <f t="shared" si="36"/>
        <v>0</v>
      </c>
      <c r="L240" s="862">
        <f t="shared" ref="L240:L245" si="37">V252</f>
        <v>0</v>
      </c>
      <c r="M240" s="710" t="e">
        <f>34560000/($O$67+#REF!+#REF!)*O240</f>
        <v>#REF!</v>
      </c>
      <c r="N240" s="862"/>
      <c r="O240" s="868"/>
      <c r="P240" s="710">
        <f t="shared" ref="P240:P245" si="38">IF(N240&lt;&gt;0,N240/O240,0)</f>
        <v>0</v>
      </c>
      <c r="Q240" s="858"/>
      <c r="R240" s="864"/>
      <c r="S240" s="931"/>
      <c r="T240" s="272"/>
      <c r="U240" s="272"/>
      <c r="V240" s="862">
        <f t="shared" ref="V240:V249" si="39">ROUND(T240*U240,0)</f>
        <v>0</v>
      </c>
      <c r="W240" s="862"/>
    </row>
    <row r="241" spans="1:23" ht="13.5" customHeight="1">
      <c r="A241" s="860" t="str">
        <f t="shared" ref="A241:A246" si="40">IF(B241&lt;&gt;"",A240+1,"")</f>
        <v/>
      </c>
      <c r="B241" s="872"/>
      <c r="C241" s="861">
        <f>IF(ISNA(VLOOKUP(B241,NXT!$Q$61:$S$81,2,0)),0,VLOOKUP(B241,NXT!$Q$61:$S$81,2,0))</f>
        <v>0</v>
      </c>
      <c r="D241" s="710">
        <f t="shared" si="32"/>
        <v>0</v>
      </c>
      <c r="E241" s="710"/>
      <c r="F241" s="710"/>
      <c r="G241" s="862">
        <f t="shared" si="33"/>
        <v>0</v>
      </c>
      <c r="H241" s="710">
        <f t="shared" si="34"/>
        <v>0</v>
      </c>
      <c r="I241" s="710">
        <f t="shared" si="35"/>
        <v>0</v>
      </c>
      <c r="J241" s="710">
        <f t="shared" si="36"/>
        <v>0</v>
      </c>
      <c r="K241" s="710">
        <f t="shared" si="36"/>
        <v>0</v>
      </c>
      <c r="L241" s="710">
        <f t="shared" si="37"/>
        <v>0</v>
      </c>
      <c r="M241" s="710"/>
      <c r="N241" s="862"/>
      <c r="O241" s="868"/>
      <c r="P241" s="710">
        <f t="shared" si="38"/>
        <v>0</v>
      </c>
      <c r="Q241" s="881"/>
      <c r="R241" s="869"/>
      <c r="S241" s="931"/>
      <c r="T241" s="272"/>
      <c r="U241" s="272"/>
      <c r="V241" s="862">
        <f t="shared" si="39"/>
        <v>0</v>
      </c>
      <c r="W241" s="878"/>
    </row>
    <row r="242" spans="1:23" ht="13.5" customHeight="1">
      <c r="A242" s="860" t="str">
        <f t="shared" si="40"/>
        <v/>
      </c>
      <c r="B242" s="872"/>
      <c r="C242" s="861">
        <f>IF(ISNA(VLOOKUP(B242,NXT!$Q$61:$S$81,2,0)),0,VLOOKUP(B242,NXT!$Q$61:$S$81,2,0))</f>
        <v>0</v>
      </c>
      <c r="D242" s="710">
        <f t="shared" si="32"/>
        <v>0</v>
      </c>
      <c r="E242" s="710"/>
      <c r="F242" s="710"/>
      <c r="G242" s="862">
        <f t="shared" si="33"/>
        <v>0</v>
      </c>
      <c r="H242" s="710">
        <f t="shared" si="34"/>
        <v>0</v>
      </c>
      <c r="I242" s="710">
        <f t="shared" si="35"/>
        <v>0</v>
      </c>
      <c r="J242" s="710">
        <f t="shared" si="36"/>
        <v>0</v>
      </c>
      <c r="K242" s="710">
        <f t="shared" si="36"/>
        <v>0</v>
      </c>
      <c r="L242" s="710">
        <f t="shared" si="37"/>
        <v>0</v>
      </c>
      <c r="M242" s="710">
        <v>25840000</v>
      </c>
      <c r="N242" s="862"/>
      <c r="O242" s="868"/>
      <c r="P242" s="710">
        <f t="shared" si="38"/>
        <v>0</v>
      </c>
      <c r="Q242" s="881"/>
      <c r="R242" s="869"/>
      <c r="S242" s="931"/>
      <c r="T242" s="272"/>
      <c r="U242" s="272"/>
      <c r="V242" s="862">
        <f t="shared" si="39"/>
        <v>0</v>
      </c>
      <c r="W242" s="878"/>
    </row>
    <row r="243" spans="1:23" ht="13.5" customHeight="1">
      <c r="A243" s="860" t="str">
        <f t="shared" si="40"/>
        <v/>
      </c>
      <c r="B243" s="872"/>
      <c r="C243" s="861">
        <f>IF(ISNA(VLOOKUP(B243,NXT!$Q$61:$S$81,2,0)),0,VLOOKUP(B243,NXT!$Q$61:$S$81,2,0))</f>
        <v>0</v>
      </c>
      <c r="D243" s="710">
        <f t="shared" si="32"/>
        <v>0</v>
      </c>
      <c r="E243" s="710"/>
      <c r="F243" s="710"/>
      <c r="G243" s="862">
        <f t="shared" si="33"/>
        <v>0</v>
      </c>
      <c r="H243" s="710">
        <f t="shared" si="34"/>
        <v>0</v>
      </c>
      <c r="I243" s="710">
        <f t="shared" si="35"/>
        <v>0</v>
      </c>
      <c r="J243" s="710">
        <f t="shared" si="36"/>
        <v>0</v>
      </c>
      <c r="K243" s="710">
        <f t="shared" si="36"/>
        <v>0</v>
      </c>
      <c r="L243" s="710">
        <f t="shared" si="37"/>
        <v>0</v>
      </c>
      <c r="M243" s="710" t="e">
        <f>34560000/($O$67+#REF!+#REF!)*O243</f>
        <v>#REF!</v>
      </c>
      <c r="N243" s="862"/>
      <c r="O243" s="868"/>
      <c r="P243" s="710">
        <f t="shared" si="38"/>
        <v>0</v>
      </c>
      <c r="Q243" s="881"/>
      <c r="R243" s="869"/>
      <c r="S243" s="931"/>
      <c r="T243" s="272"/>
      <c r="U243" s="272"/>
      <c r="V243" s="862">
        <f t="shared" si="39"/>
        <v>0</v>
      </c>
      <c r="W243" s="878"/>
    </row>
    <row r="244" spans="1:23" ht="13.5" customHeight="1">
      <c r="A244" s="860" t="str">
        <f t="shared" si="40"/>
        <v/>
      </c>
      <c r="B244" s="872"/>
      <c r="C244" s="861">
        <f>IF(ISNA(VLOOKUP(B244,NXT!$Q$61:$S$81,2,0)),0,VLOOKUP(B244,NXT!$Q$61:$S$81,2,0))</f>
        <v>0</v>
      </c>
      <c r="D244" s="710">
        <f t="shared" si="32"/>
        <v>0</v>
      </c>
      <c r="E244" s="710"/>
      <c r="F244" s="710"/>
      <c r="G244" s="862">
        <f t="shared" si="33"/>
        <v>0</v>
      </c>
      <c r="H244" s="710">
        <f t="shared" si="34"/>
        <v>0</v>
      </c>
      <c r="I244" s="710">
        <f t="shared" si="35"/>
        <v>0</v>
      </c>
      <c r="J244" s="710">
        <f t="shared" si="36"/>
        <v>0</v>
      </c>
      <c r="K244" s="710">
        <f t="shared" si="36"/>
        <v>0</v>
      </c>
      <c r="L244" s="710">
        <f t="shared" si="37"/>
        <v>0</v>
      </c>
      <c r="M244" s="710"/>
      <c r="N244" s="862"/>
      <c r="O244" s="868"/>
      <c r="P244" s="710">
        <f t="shared" si="38"/>
        <v>0</v>
      </c>
      <c r="Q244" s="881"/>
      <c r="R244" s="869"/>
      <c r="S244" s="931"/>
      <c r="T244" s="272"/>
      <c r="U244" s="272"/>
      <c r="V244" s="862">
        <f t="shared" si="39"/>
        <v>0</v>
      </c>
      <c r="W244" s="878"/>
    </row>
    <row r="245" spans="1:23">
      <c r="A245" s="860" t="str">
        <f t="shared" si="40"/>
        <v/>
      </c>
      <c r="B245" s="872"/>
      <c r="C245" s="861"/>
      <c r="D245" s="710">
        <f t="shared" si="32"/>
        <v>0</v>
      </c>
      <c r="E245" s="710"/>
      <c r="F245" s="710"/>
      <c r="G245" s="862">
        <f t="shared" si="33"/>
        <v>0</v>
      </c>
      <c r="H245" s="710">
        <f t="shared" si="34"/>
        <v>0</v>
      </c>
      <c r="I245" s="710">
        <f t="shared" si="35"/>
        <v>0</v>
      </c>
      <c r="J245" s="710">
        <f t="shared" si="36"/>
        <v>0</v>
      </c>
      <c r="K245" s="710">
        <f t="shared" si="36"/>
        <v>0</v>
      </c>
      <c r="L245" s="710">
        <f t="shared" si="37"/>
        <v>0</v>
      </c>
      <c r="M245" s="710" t="e">
        <f>34560000/($O$67+#REF!+#REF!)*O245</f>
        <v>#REF!</v>
      </c>
      <c r="N245" s="862"/>
      <c r="O245" s="868"/>
      <c r="P245" s="710">
        <f t="shared" si="38"/>
        <v>0</v>
      </c>
      <c r="Q245" s="881"/>
      <c r="R245" s="869"/>
      <c r="S245" s="931"/>
      <c r="T245" s="272"/>
      <c r="U245" s="870"/>
      <c r="V245" s="862">
        <f t="shared" si="39"/>
        <v>0</v>
      </c>
      <c r="W245" s="878"/>
    </row>
    <row r="246" spans="1:23">
      <c r="A246" s="860" t="str">
        <f t="shared" si="40"/>
        <v/>
      </c>
      <c r="B246" s="873"/>
      <c r="C246" s="874"/>
      <c r="D246" s="876"/>
      <c r="E246" s="876"/>
      <c r="F246" s="876"/>
      <c r="G246" s="877"/>
      <c r="H246" s="922"/>
      <c r="I246" s="876"/>
      <c r="J246" s="878"/>
      <c r="K246" s="876"/>
      <c r="L246" s="879"/>
      <c r="M246" s="876"/>
      <c r="N246" s="910"/>
      <c r="O246" s="880"/>
      <c r="P246" s="876"/>
      <c r="Q246" s="881"/>
      <c r="R246" s="869"/>
      <c r="S246" s="933"/>
      <c r="T246" s="272"/>
      <c r="U246" s="272"/>
      <c r="V246" s="862">
        <f t="shared" si="39"/>
        <v>0</v>
      </c>
      <c r="W246" s="878"/>
    </row>
    <row r="247" spans="1:23" s="882" customFormat="1">
      <c r="A247" s="883"/>
      <c r="B247" s="884" t="s">
        <v>565</v>
      </c>
      <c r="C247" s="885"/>
      <c r="D247" s="886">
        <f>SUM(D240:D245)</f>
        <v>0</v>
      </c>
      <c r="E247" s="886">
        <f>SUM(E240:E245)</f>
        <v>0</v>
      </c>
      <c r="F247" s="886"/>
      <c r="G247" s="886">
        <f>SUM(G240:G245)</f>
        <v>0</v>
      </c>
      <c r="H247" s="887"/>
      <c r="I247" s="887">
        <f>V251</f>
        <v>0</v>
      </c>
      <c r="J247" s="887"/>
      <c r="K247" s="887"/>
      <c r="L247" s="886">
        <f>ROUND(SUM(L240:L246),0)</f>
        <v>0</v>
      </c>
      <c r="M247" s="886" t="e">
        <f>ROUND(SUM(M240:M246),0)</f>
        <v>#REF!</v>
      </c>
      <c r="N247" s="886">
        <f>ROUND(SUM(N240:N246),0)</f>
        <v>0</v>
      </c>
      <c r="O247" s="886">
        <f>ROUND(SUM(O240:O246),0)</f>
        <v>0</v>
      </c>
      <c r="P247" s="886"/>
      <c r="Q247" s="881"/>
      <c r="R247" s="869"/>
      <c r="S247" s="933"/>
      <c r="T247" s="892"/>
      <c r="U247" s="870"/>
      <c r="V247" s="862">
        <f t="shared" si="39"/>
        <v>0</v>
      </c>
      <c r="W247" s="878"/>
    </row>
    <row r="248" spans="1:23" s="837" customFormat="1">
      <c r="A248" s="833"/>
      <c r="B248" s="833"/>
      <c r="C248" s="833"/>
      <c r="D248" s="833"/>
      <c r="E248" s="833"/>
      <c r="F248" s="833"/>
      <c r="G248" s="833"/>
      <c r="H248" s="833"/>
      <c r="I248" s="833"/>
      <c r="J248" s="833"/>
      <c r="K248" s="833"/>
      <c r="L248" s="833"/>
      <c r="M248" s="833"/>
      <c r="N248" s="833"/>
      <c r="O248" s="833"/>
      <c r="P248" s="833"/>
      <c r="Q248" s="881"/>
      <c r="R248" s="934"/>
      <c r="S248" s="933"/>
      <c r="T248" s="892"/>
      <c r="U248" s="870"/>
      <c r="V248" s="862">
        <f t="shared" si="39"/>
        <v>0</v>
      </c>
      <c r="W248" s="878"/>
    </row>
    <row r="249" spans="1:23">
      <c r="Q249" s="881"/>
      <c r="R249" s="591"/>
      <c r="S249" s="933"/>
      <c r="T249" s="272"/>
      <c r="U249" s="272"/>
      <c r="V249" s="862">
        <f t="shared" si="39"/>
        <v>0</v>
      </c>
      <c r="W249" s="878"/>
    </row>
    <row r="250" spans="1:23">
      <c r="Q250" s="881"/>
      <c r="R250" s="935"/>
      <c r="S250" s="865"/>
      <c r="T250" s="272"/>
      <c r="U250" s="272"/>
      <c r="V250" s="878"/>
      <c r="W250" s="878"/>
    </row>
    <row r="251" spans="1:23">
      <c r="Q251" s="881"/>
      <c r="R251" s="915"/>
      <c r="S251" s="916"/>
      <c r="T251" s="917"/>
      <c r="U251" s="936"/>
      <c r="V251" s="896">
        <f>SUM(V240:V250)</f>
        <v>0</v>
      </c>
      <c r="W251" s="896">
        <f>SUM(W240:W250)</f>
        <v>0</v>
      </c>
    </row>
    <row r="252" spans="1:23">
      <c r="R252" s="892"/>
      <c r="S252" s="931"/>
      <c r="T252" s="272"/>
      <c r="U252" s="272"/>
      <c r="V252" s="862">
        <f t="shared" ref="V252:V257" si="41">ROUND(T252*U252,0)</f>
        <v>0</v>
      </c>
      <c r="W252" s="862"/>
    </row>
    <row r="253" spans="1:23">
      <c r="R253" s="869"/>
      <c r="S253" s="931"/>
      <c r="T253" s="870"/>
      <c r="U253" s="870"/>
      <c r="V253" s="862">
        <f t="shared" si="41"/>
        <v>0</v>
      </c>
      <c r="W253" s="878"/>
    </row>
    <row r="254" spans="1:23">
      <c r="R254" s="892"/>
      <c r="S254" s="931"/>
      <c r="T254" s="870"/>
      <c r="U254" s="870"/>
      <c r="V254" s="862">
        <f t="shared" si="41"/>
        <v>0</v>
      </c>
      <c r="W254" s="878"/>
    </row>
    <row r="255" spans="1:23">
      <c r="R255" s="869"/>
      <c r="S255" s="865"/>
      <c r="T255" s="870"/>
      <c r="U255" s="870"/>
      <c r="V255" s="862">
        <f t="shared" si="41"/>
        <v>0</v>
      </c>
      <c r="W255" s="878"/>
    </row>
    <row r="256" spans="1:23">
      <c r="R256" s="869"/>
      <c r="S256" s="865"/>
      <c r="T256" s="870"/>
      <c r="U256" s="870"/>
      <c r="V256" s="862">
        <f t="shared" si="41"/>
        <v>0</v>
      </c>
      <c r="W256" s="878"/>
    </row>
    <row r="257" spans="1:23">
      <c r="R257" s="892"/>
      <c r="S257" s="865"/>
      <c r="T257" s="870"/>
      <c r="U257" s="870"/>
      <c r="V257" s="862">
        <f t="shared" si="41"/>
        <v>0</v>
      </c>
      <c r="W257" s="878"/>
    </row>
    <row r="258" spans="1:23">
      <c r="R258" s="892"/>
      <c r="S258" s="865"/>
      <c r="T258" s="870"/>
      <c r="U258" s="870"/>
      <c r="V258" s="941">
        <f>SUM(V252:V257)</f>
        <v>0</v>
      </c>
      <c r="W258" s="878"/>
    </row>
    <row r="259" spans="1:23">
      <c r="A259" s="844"/>
      <c r="B259" s="844"/>
      <c r="C259" s="844"/>
      <c r="D259" s="844"/>
      <c r="E259" s="844"/>
      <c r="F259" s="844"/>
      <c r="G259" s="844"/>
      <c r="H259" s="844"/>
      <c r="I259" s="844"/>
      <c r="J259" s="844"/>
      <c r="K259" s="844"/>
      <c r="L259" s="844"/>
      <c r="M259" s="844"/>
      <c r="N259" s="844"/>
      <c r="O259" s="844"/>
      <c r="P259" s="844"/>
      <c r="R259" s="836"/>
      <c r="S259" s="843"/>
    </row>
    <row r="260" spans="1:23" ht="20.25" customHeight="1">
      <c r="A260" s="837" t="s">
        <v>548</v>
      </c>
      <c r="B260" s="837"/>
      <c r="C260" s="838"/>
      <c r="D260" s="839"/>
      <c r="E260" s="839"/>
      <c r="F260" s="839"/>
      <c r="G260" s="836"/>
      <c r="H260" s="836"/>
      <c r="I260" s="836"/>
      <c r="J260" s="836"/>
      <c r="K260" s="836"/>
      <c r="L260" s="840"/>
      <c r="M260" s="836"/>
      <c r="N260" s="836"/>
      <c r="O260" s="841"/>
      <c r="P260" s="836"/>
      <c r="Q260" s="842"/>
      <c r="R260" s="836"/>
      <c r="S260" s="843"/>
    </row>
    <row r="261" spans="1:23" ht="20.25" customHeight="1">
      <c r="A261" s="844" t="s">
        <v>576</v>
      </c>
      <c r="B261" s="844"/>
      <c r="C261" s="844"/>
      <c r="D261" s="844"/>
      <c r="E261" s="844"/>
      <c r="F261" s="844"/>
      <c r="G261" s="844"/>
      <c r="H261" s="844"/>
      <c r="I261" s="844"/>
      <c r="J261" s="844"/>
      <c r="K261" s="844"/>
      <c r="L261" s="844"/>
      <c r="M261" s="844"/>
      <c r="N261" s="844"/>
      <c r="O261" s="844"/>
      <c r="P261" s="844"/>
      <c r="Q261" s="842"/>
      <c r="R261" s="836"/>
      <c r="S261" s="843"/>
    </row>
    <row r="262" spans="1:23" ht="12" customHeight="1">
      <c r="A262" s="845"/>
      <c r="B262" s="845"/>
      <c r="C262" s="846"/>
      <c r="D262" s="845"/>
      <c r="E262" s="845"/>
      <c r="F262" s="845"/>
      <c r="G262" s="845"/>
      <c r="H262" s="845"/>
      <c r="I262" s="845"/>
      <c r="J262" s="845"/>
      <c r="K262" s="845"/>
      <c r="L262" s="844"/>
      <c r="M262" s="845"/>
      <c r="N262" s="845"/>
      <c r="O262" s="847"/>
      <c r="P262" s="845"/>
      <c r="Q262" s="842"/>
      <c r="R262" s="836"/>
      <c r="S262" s="843"/>
    </row>
    <row r="263" spans="1:23" ht="12" customHeight="1">
      <c r="A263" s="848"/>
      <c r="B263" s="848"/>
      <c r="C263" s="849"/>
      <c r="D263" s="848"/>
      <c r="E263" s="848"/>
      <c r="F263" s="848"/>
      <c r="G263" s="848"/>
      <c r="H263" s="848"/>
      <c r="I263" s="848"/>
      <c r="J263" s="848"/>
      <c r="K263" s="848"/>
      <c r="L263" s="848"/>
      <c r="M263" s="848"/>
      <c r="N263" s="848"/>
      <c r="O263" s="850"/>
      <c r="P263" s="848"/>
      <c r="Q263" s="842"/>
      <c r="R263" s="836"/>
      <c r="S263" s="843"/>
    </row>
    <row r="264" spans="1:23" ht="36.75" customHeight="1">
      <c r="A264" s="853" t="s">
        <v>37</v>
      </c>
      <c r="B264" s="853" t="s">
        <v>550</v>
      </c>
      <c r="C264" s="854" t="s">
        <v>551</v>
      </c>
      <c r="D264" s="855" t="s">
        <v>552</v>
      </c>
      <c r="E264" s="855" t="s">
        <v>553</v>
      </c>
      <c r="F264" s="855" t="s">
        <v>554</v>
      </c>
      <c r="G264" s="855" t="s">
        <v>555</v>
      </c>
      <c r="H264" s="855" t="s">
        <v>556</v>
      </c>
      <c r="I264" s="855" t="s">
        <v>557</v>
      </c>
      <c r="J264" s="855" t="s">
        <v>558</v>
      </c>
      <c r="K264" s="856" t="s">
        <v>559</v>
      </c>
      <c r="L264" s="855" t="s">
        <v>560</v>
      </c>
      <c r="M264" s="856" t="s">
        <v>561</v>
      </c>
      <c r="N264" s="855" t="s">
        <v>562</v>
      </c>
      <c r="O264" s="857" t="s">
        <v>553</v>
      </c>
      <c r="P264" s="855" t="s">
        <v>563</v>
      </c>
      <c r="Q264" s="842"/>
      <c r="R264" s="853" t="s">
        <v>550</v>
      </c>
      <c r="S264" s="855" t="s">
        <v>517</v>
      </c>
      <c r="T264" s="855" t="s">
        <v>353</v>
      </c>
      <c r="U264" s="855" t="s">
        <v>554</v>
      </c>
      <c r="V264" s="855" t="s">
        <v>564</v>
      </c>
      <c r="W264" s="853" t="s">
        <v>564</v>
      </c>
    </row>
    <row r="265" spans="1:23" s="859" customFormat="1" ht="13.5" customHeight="1">
      <c r="A265" s="860" t="str">
        <f>IF(B265&lt;&gt;"",ROW()-(ROW()-1),"")</f>
        <v/>
      </c>
      <c r="B265" s="938"/>
      <c r="C265" s="861">
        <f>IF(ISNA(VLOOKUP(B265,NXT!$Q$61:$S$81,2,0)),0,VLOOKUP(B265,NXT!$Q$61:$S$81,2,0))</f>
        <v>0</v>
      </c>
      <c r="D265" s="710">
        <f t="shared" ref="D265:D270" si="42">ROUND(C265*O265,0)</f>
        <v>0</v>
      </c>
      <c r="E265" s="710"/>
      <c r="F265" s="710"/>
      <c r="G265" s="862">
        <f t="shared" ref="G265:G270" si="43">(D265+E265)*F265</f>
        <v>0</v>
      </c>
      <c r="H265" s="710">
        <f t="shared" ref="H265:H270" si="44">IF($D$272&lt;&gt;0,H$272/($D$272+$E$272/4)*($D265+$E265/4),0)</f>
        <v>0</v>
      </c>
      <c r="I265" s="710">
        <f t="shared" ref="I265:I270" si="45">IF($D$272&lt;&gt;0,I$272/$D$272*$D265,0)</f>
        <v>0</v>
      </c>
      <c r="J265" s="710">
        <f t="shared" ref="J265:K270" si="46">IF($D$272&lt;&gt;0,J$272/$D$272*$D265,0)</f>
        <v>0</v>
      </c>
      <c r="K265" s="710">
        <f t="shared" si="46"/>
        <v>0</v>
      </c>
      <c r="L265" s="942"/>
      <c r="M265" s="710" t="e">
        <f>34560000/($O$67+#REF!+#REF!)*O265</f>
        <v>#REF!</v>
      </c>
      <c r="N265" s="862">
        <f t="shared" ref="N265:N270" si="47">ROUND(SUM(G265:L265),0)</f>
        <v>0</v>
      </c>
      <c r="O265" s="710"/>
      <c r="P265" s="710">
        <f t="shared" ref="P265:P270" si="48">IF(N265&lt;&gt;0,N265/O265,0)</f>
        <v>0</v>
      </c>
      <c r="Q265" s="858"/>
      <c r="R265" s="864"/>
      <c r="S265" s="931"/>
      <c r="T265" s="272"/>
      <c r="U265" s="272"/>
      <c r="V265" s="862">
        <f t="shared" ref="V265:V274" si="49">ROUND(T265*U265,0)</f>
        <v>0</v>
      </c>
      <c r="W265" s="862"/>
    </row>
    <row r="266" spans="1:23" ht="13.5" customHeight="1">
      <c r="A266" s="860" t="str">
        <f t="shared" ref="A266:A271" si="50">IF(B266&lt;&gt;"",A265+1,"")</f>
        <v/>
      </c>
      <c r="B266" s="872"/>
      <c r="C266" s="861">
        <f>IF(ISNA(VLOOKUP(B266,NXT!$Q$61:$S$81,2,0)),0,VLOOKUP(B266,NXT!$Q$61:$S$81,2,0))</f>
        <v>0</v>
      </c>
      <c r="D266" s="710">
        <f t="shared" si="42"/>
        <v>0</v>
      </c>
      <c r="E266" s="710"/>
      <c r="F266" s="710"/>
      <c r="G266" s="862">
        <f t="shared" si="43"/>
        <v>0</v>
      </c>
      <c r="H266" s="710">
        <f t="shared" si="44"/>
        <v>0</v>
      </c>
      <c r="I266" s="710">
        <f t="shared" si="45"/>
        <v>0</v>
      </c>
      <c r="J266" s="710">
        <f t="shared" si="46"/>
        <v>0</v>
      </c>
      <c r="K266" s="710">
        <f t="shared" si="46"/>
        <v>0</v>
      </c>
      <c r="L266" s="942"/>
      <c r="M266" s="710"/>
      <c r="N266" s="862">
        <f t="shared" si="47"/>
        <v>0</v>
      </c>
      <c r="O266" s="868"/>
      <c r="P266" s="710">
        <f t="shared" si="48"/>
        <v>0</v>
      </c>
      <c r="Q266" s="881"/>
      <c r="R266" s="869"/>
      <c r="S266" s="931"/>
      <c r="T266" s="272"/>
      <c r="U266" s="272"/>
      <c r="V266" s="862">
        <f t="shared" si="49"/>
        <v>0</v>
      </c>
      <c r="W266" s="878"/>
    </row>
    <row r="267" spans="1:23" ht="13.5" customHeight="1">
      <c r="A267" s="860" t="str">
        <f t="shared" si="50"/>
        <v/>
      </c>
      <c r="B267" s="872"/>
      <c r="C267" s="861">
        <f>IF(ISNA(VLOOKUP(B267,NXT!$Q$61:$S$81,2,0)),0,VLOOKUP(B267,NXT!$Q$61:$S$81,2,0))</f>
        <v>0</v>
      </c>
      <c r="D267" s="710">
        <f t="shared" si="42"/>
        <v>0</v>
      </c>
      <c r="E267" s="710"/>
      <c r="F267" s="710"/>
      <c r="G267" s="862">
        <f t="shared" si="43"/>
        <v>0</v>
      </c>
      <c r="H267" s="710">
        <f t="shared" si="44"/>
        <v>0</v>
      </c>
      <c r="I267" s="710">
        <f t="shared" si="45"/>
        <v>0</v>
      </c>
      <c r="J267" s="710">
        <f t="shared" si="46"/>
        <v>0</v>
      </c>
      <c r="K267" s="710">
        <f t="shared" si="46"/>
        <v>0</v>
      </c>
      <c r="L267" s="942"/>
      <c r="M267" s="710">
        <v>25840000</v>
      </c>
      <c r="N267" s="862">
        <f t="shared" si="47"/>
        <v>0</v>
      </c>
      <c r="O267" s="868"/>
      <c r="P267" s="710">
        <f t="shared" si="48"/>
        <v>0</v>
      </c>
      <c r="Q267" s="881"/>
      <c r="R267" s="869"/>
      <c r="S267" s="931"/>
      <c r="T267" s="272"/>
      <c r="U267" s="272"/>
      <c r="V267" s="862">
        <f t="shared" si="49"/>
        <v>0</v>
      </c>
      <c r="W267" s="878"/>
    </row>
    <row r="268" spans="1:23" ht="13.5" customHeight="1">
      <c r="A268" s="860" t="str">
        <f t="shared" si="50"/>
        <v/>
      </c>
      <c r="B268" s="872"/>
      <c r="C268" s="861">
        <f>IF(ISNA(VLOOKUP(B268,NXT!$Q$61:$S$81,2,0)),0,VLOOKUP(B268,NXT!$Q$61:$S$81,2,0))</f>
        <v>0</v>
      </c>
      <c r="D268" s="710">
        <f t="shared" si="42"/>
        <v>0</v>
      </c>
      <c r="E268" s="710"/>
      <c r="F268" s="710"/>
      <c r="G268" s="862">
        <f t="shared" si="43"/>
        <v>0</v>
      </c>
      <c r="H268" s="710">
        <f t="shared" si="44"/>
        <v>0</v>
      </c>
      <c r="I268" s="710">
        <f t="shared" si="45"/>
        <v>0</v>
      </c>
      <c r="J268" s="710">
        <f t="shared" si="46"/>
        <v>0</v>
      </c>
      <c r="K268" s="710">
        <f t="shared" si="46"/>
        <v>0</v>
      </c>
      <c r="L268" s="710"/>
      <c r="M268" s="710" t="e">
        <f>34560000/($O$67+#REF!+#REF!)*O268</f>
        <v>#REF!</v>
      </c>
      <c r="N268" s="862">
        <f t="shared" si="47"/>
        <v>0</v>
      </c>
      <c r="O268" s="868"/>
      <c r="P268" s="710">
        <f t="shared" si="48"/>
        <v>0</v>
      </c>
      <c r="Q268" s="881"/>
      <c r="R268" s="869"/>
      <c r="S268" s="931"/>
      <c r="T268" s="272"/>
      <c r="U268" s="272"/>
      <c r="V268" s="862">
        <f t="shared" si="49"/>
        <v>0</v>
      </c>
      <c r="W268" s="878"/>
    </row>
    <row r="269" spans="1:23" ht="13.5" customHeight="1">
      <c r="A269" s="860" t="str">
        <f t="shared" si="50"/>
        <v/>
      </c>
      <c r="B269" s="872"/>
      <c r="C269" s="861">
        <f>IF(ISNA(VLOOKUP(B269,NXT!$Q$61:$S$81,2,0)),0,VLOOKUP(B269,NXT!$Q$61:$S$81,2,0))</f>
        <v>0</v>
      </c>
      <c r="D269" s="710">
        <f t="shared" si="42"/>
        <v>0</v>
      </c>
      <c r="E269" s="710"/>
      <c r="F269" s="710"/>
      <c r="G269" s="862">
        <f t="shared" si="43"/>
        <v>0</v>
      </c>
      <c r="H269" s="710">
        <f t="shared" si="44"/>
        <v>0</v>
      </c>
      <c r="I269" s="710">
        <f t="shared" si="45"/>
        <v>0</v>
      </c>
      <c r="J269" s="710">
        <f t="shared" si="46"/>
        <v>0</v>
      </c>
      <c r="K269" s="710">
        <f t="shared" si="46"/>
        <v>0</v>
      </c>
      <c r="L269" s="710"/>
      <c r="M269" s="710"/>
      <c r="N269" s="862">
        <f t="shared" si="47"/>
        <v>0</v>
      </c>
      <c r="O269" s="868"/>
      <c r="P269" s="710">
        <f t="shared" si="48"/>
        <v>0</v>
      </c>
      <c r="Q269" s="881"/>
      <c r="R269" s="869"/>
      <c r="S269" s="931"/>
      <c r="T269" s="272"/>
      <c r="U269" s="272"/>
      <c r="V269" s="862">
        <f t="shared" si="49"/>
        <v>0</v>
      </c>
      <c r="W269" s="878"/>
    </row>
    <row r="270" spans="1:23">
      <c r="A270" s="860" t="str">
        <f t="shared" si="50"/>
        <v/>
      </c>
      <c r="B270" s="872"/>
      <c r="C270" s="861">
        <f>IF(ISNA(VLOOKUP(B270,NXT!$Q$61:$S$81,2,0)),0,VLOOKUP(B270,NXT!$Q$61:$S$81,2,0))</f>
        <v>0</v>
      </c>
      <c r="D270" s="710">
        <f t="shared" si="42"/>
        <v>0</v>
      </c>
      <c r="E270" s="710"/>
      <c r="F270" s="710"/>
      <c r="G270" s="862">
        <f t="shared" si="43"/>
        <v>0</v>
      </c>
      <c r="H270" s="710">
        <f t="shared" si="44"/>
        <v>0</v>
      </c>
      <c r="I270" s="710">
        <f t="shared" si="45"/>
        <v>0</v>
      </c>
      <c r="J270" s="710">
        <f t="shared" si="46"/>
        <v>0</v>
      </c>
      <c r="K270" s="710">
        <f t="shared" si="46"/>
        <v>0</v>
      </c>
      <c r="L270" s="710"/>
      <c r="M270" s="710" t="e">
        <f>34560000/($O$67+#REF!+#REF!)*O270</f>
        <v>#REF!</v>
      </c>
      <c r="N270" s="862">
        <f t="shared" si="47"/>
        <v>0</v>
      </c>
      <c r="O270" s="868"/>
      <c r="P270" s="710">
        <f t="shared" si="48"/>
        <v>0</v>
      </c>
      <c r="Q270" s="881"/>
      <c r="R270" s="869"/>
      <c r="S270" s="931"/>
      <c r="T270" s="272"/>
      <c r="U270" s="870"/>
      <c r="V270" s="862">
        <f t="shared" si="49"/>
        <v>0</v>
      </c>
      <c r="W270" s="878"/>
    </row>
    <row r="271" spans="1:23">
      <c r="A271" s="860" t="str">
        <f t="shared" si="50"/>
        <v/>
      </c>
      <c r="B271" s="873"/>
      <c r="C271" s="874"/>
      <c r="D271" s="876"/>
      <c r="E271" s="876"/>
      <c r="F271" s="876"/>
      <c r="G271" s="877"/>
      <c r="H271" s="922"/>
      <c r="I271" s="876"/>
      <c r="J271" s="878"/>
      <c r="K271" s="876"/>
      <c r="L271" s="879"/>
      <c r="M271" s="876"/>
      <c r="N271" s="910"/>
      <c r="O271" s="880"/>
      <c r="P271" s="876"/>
      <c r="Q271" s="881"/>
      <c r="R271" s="869"/>
      <c r="S271" s="931"/>
      <c r="T271" s="272"/>
      <c r="U271" s="272"/>
      <c r="V271" s="862">
        <f t="shared" si="49"/>
        <v>0</v>
      </c>
      <c r="W271" s="878"/>
    </row>
    <row r="272" spans="1:23" s="882" customFormat="1">
      <c r="A272" s="883"/>
      <c r="B272" s="884" t="s">
        <v>565</v>
      </c>
      <c r="C272" s="885"/>
      <c r="D272" s="886">
        <f>SUM(D265:D270)</f>
        <v>0</v>
      </c>
      <c r="E272" s="886">
        <f>SUM(E265:E270)</f>
        <v>0</v>
      </c>
      <c r="F272" s="886"/>
      <c r="G272" s="886">
        <f>SUM(G265:G270)</f>
        <v>0</v>
      </c>
      <c r="H272" s="887"/>
      <c r="I272" s="887">
        <f>V276</f>
        <v>0</v>
      </c>
      <c r="J272" s="887"/>
      <c r="K272" s="887"/>
      <c r="L272" s="886">
        <f>ROUND(SUM(L265:L271),0)</f>
        <v>0</v>
      </c>
      <c r="M272" s="886" t="e">
        <f>ROUND(SUM(M265:M271),0)</f>
        <v>#REF!</v>
      </c>
      <c r="N272" s="886">
        <f>ROUND(SUM(N265:N271),0)</f>
        <v>0</v>
      </c>
      <c r="O272" s="886">
        <f>ROUND(SUM(O265:O271),0)</f>
        <v>0</v>
      </c>
      <c r="P272" s="886"/>
      <c r="Q272" s="881"/>
      <c r="R272" s="869"/>
      <c r="S272" s="865"/>
      <c r="T272" s="892"/>
      <c r="U272" s="870"/>
      <c r="V272" s="862">
        <f t="shared" si="49"/>
        <v>0</v>
      </c>
      <c r="W272" s="878"/>
    </row>
    <row r="273" spans="1:23" s="837" customFormat="1">
      <c r="A273" s="833"/>
      <c r="B273" s="833"/>
      <c r="C273" s="833"/>
      <c r="D273" s="833"/>
      <c r="E273" s="833"/>
      <c r="F273" s="833"/>
      <c r="G273" s="833"/>
      <c r="H273" s="833"/>
      <c r="I273" s="833"/>
      <c r="J273" s="833"/>
      <c r="K273" s="833"/>
      <c r="L273" s="833"/>
      <c r="M273" s="833"/>
      <c r="N273" s="833"/>
      <c r="O273" s="833"/>
      <c r="P273" s="833"/>
      <c r="Q273" s="881"/>
      <c r="R273" s="934"/>
      <c r="S273" s="865"/>
      <c r="T273" s="892"/>
      <c r="U273" s="870"/>
      <c r="V273" s="862">
        <f t="shared" si="49"/>
        <v>0</v>
      </c>
      <c r="W273" s="878"/>
    </row>
    <row r="274" spans="1:23">
      <c r="L274" s="841">
        <f>L272-V284</f>
        <v>0</v>
      </c>
      <c r="Q274" s="881"/>
      <c r="R274" s="591"/>
      <c r="S274" s="865"/>
      <c r="T274" s="272"/>
      <c r="U274" s="272"/>
      <c r="V274" s="862">
        <f t="shared" si="49"/>
        <v>0</v>
      </c>
      <c r="W274" s="878"/>
    </row>
    <row r="275" spans="1:23">
      <c r="Q275" s="881"/>
      <c r="R275" s="935"/>
      <c r="S275" s="865"/>
      <c r="T275" s="272"/>
      <c r="U275" s="272"/>
      <c r="V275" s="878"/>
      <c r="W275" s="878"/>
    </row>
    <row r="276" spans="1:23">
      <c r="Q276" s="881"/>
      <c r="R276" s="915"/>
      <c r="S276" s="916"/>
      <c r="T276" s="917"/>
      <c r="U276" s="936"/>
      <c r="V276" s="896">
        <f>SUM(V265:V275)</f>
        <v>0</v>
      </c>
      <c r="W276" s="896">
        <f>SUM(W265:W275)</f>
        <v>0</v>
      </c>
    </row>
    <row r="277" spans="1:23">
      <c r="R277" s="918"/>
      <c r="S277" s="931"/>
      <c r="T277" s="272"/>
      <c r="U277" s="272"/>
      <c r="V277" s="862">
        <f t="shared" ref="V277:V283" si="51">ROUND(T277*U277,0)</f>
        <v>0</v>
      </c>
      <c r="W277" s="862"/>
    </row>
    <row r="278" spans="1:23">
      <c r="R278" s="869"/>
      <c r="S278" s="931"/>
      <c r="T278" s="870"/>
      <c r="U278" s="272"/>
      <c r="V278" s="862">
        <f t="shared" si="51"/>
        <v>0</v>
      </c>
      <c r="W278" s="878"/>
    </row>
    <row r="279" spans="1:23">
      <c r="R279" s="869"/>
      <c r="S279" s="931"/>
      <c r="T279" s="870"/>
      <c r="U279" s="272"/>
      <c r="V279" s="862">
        <f t="shared" si="51"/>
        <v>0</v>
      </c>
      <c r="W279" s="878"/>
    </row>
    <row r="280" spans="1:23">
      <c r="R280" s="869"/>
      <c r="S280" s="931"/>
      <c r="T280" s="870"/>
      <c r="U280" s="870"/>
      <c r="V280" s="862">
        <f t="shared" si="51"/>
        <v>0</v>
      </c>
      <c r="W280" s="878"/>
    </row>
    <row r="281" spans="1:23">
      <c r="R281" s="869"/>
      <c r="S281" s="865"/>
      <c r="T281" s="870"/>
      <c r="U281" s="870"/>
      <c r="V281" s="862">
        <f t="shared" si="51"/>
        <v>0</v>
      </c>
      <c r="W281" s="878"/>
    </row>
    <row r="282" spans="1:23">
      <c r="R282" s="869"/>
      <c r="S282" s="865"/>
      <c r="T282" s="870"/>
      <c r="U282" s="870"/>
      <c r="V282" s="862">
        <f t="shared" si="51"/>
        <v>0</v>
      </c>
      <c r="W282" s="878"/>
    </row>
    <row r="283" spans="1:23">
      <c r="R283" s="892"/>
      <c r="S283" s="865"/>
      <c r="T283" s="870"/>
      <c r="U283" s="870"/>
      <c r="V283" s="862">
        <f t="shared" si="51"/>
        <v>0</v>
      </c>
      <c r="W283" s="878"/>
    </row>
    <row r="284" spans="1:23">
      <c r="R284" s="892"/>
      <c r="S284" s="865"/>
      <c r="T284" s="870"/>
      <c r="U284" s="870"/>
      <c r="V284" s="941">
        <f>SUM(V277:V283)</f>
        <v>0</v>
      </c>
      <c r="W284" s="878"/>
    </row>
    <row r="286" spans="1:23">
      <c r="G286" s="836"/>
      <c r="N286" s="836"/>
    </row>
    <row r="287" spans="1:23">
      <c r="G287" s="836"/>
      <c r="H287" s="836"/>
      <c r="I287" s="836"/>
      <c r="J287" s="836"/>
      <c r="K287" s="836"/>
      <c r="L287" s="836"/>
      <c r="M287" s="836"/>
      <c r="N287" s="836"/>
    </row>
    <row r="288" spans="1:23">
      <c r="G288" s="898"/>
      <c r="N288" s="898"/>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2" customWidth="1"/>
    <col min="2" max="2" width="15.7109375" style="972" customWidth="1"/>
    <col min="3" max="3" width="16.85546875" style="972" customWidth="1"/>
    <col min="4" max="8" width="15.28515625" style="972" customWidth="1"/>
    <col min="9" max="9" width="10.140625" style="972" customWidth="1"/>
    <col min="10" max="10" width="5.85546875" style="972" customWidth="1"/>
    <col min="11" max="16384" width="10.28515625" style="972"/>
  </cols>
  <sheetData>
    <row r="1" spans="1:10" s="944" customFormat="1" ht="15" customHeight="1">
      <c r="A1" s="943" t="s">
        <v>332</v>
      </c>
      <c r="B1" s="943"/>
      <c r="D1" s="945"/>
      <c r="E1" s="945"/>
      <c r="F1" s="1271" t="s">
        <v>577</v>
      </c>
      <c r="G1" s="1271"/>
      <c r="H1" s="1271"/>
      <c r="I1" s="946"/>
      <c r="J1" s="947"/>
    </row>
    <row r="2" spans="1:10" s="944" customFormat="1" ht="29.25" customHeight="1">
      <c r="A2" s="943" t="s">
        <v>578</v>
      </c>
      <c r="B2" s="943"/>
      <c r="D2" s="948"/>
      <c r="E2" s="948"/>
      <c r="F2" s="1272" t="s">
        <v>146</v>
      </c>
      <c r="G2" s="1272"/>
      <c r="H2" s="1272"/>
      <c r="I2" s="946"/>
      <c r="J2" s="800">
        <v>1</v>
      </c>
    </row>
    <row r="3" spans="1:10" s="944" customFormat="1" ht="15">
      <c r="A3" s="949"/>
      <c r="B3" s="950"/>
      <c r="C3" s="948"/>
      <c r="D3" s="948"/>
      <c r="E3" s="948"/>
      <c r="F3" s="1272"/>
      <c r="G3" s="1272"/>
      <c r="H3" s="1272"/>
      <c r="I3" s="946"/>
    </row>
    <row r="4" spans="1:10" s="952" customFormat="1" ht="17.25" customHeight="1">
      <c r="A4" s="1273" t="s">
        <v>579</v>
      </c>
      <c r="B4" s="1273"/>
      <c r="C4" s="1273"/>
      <c r="D4" s="1273"/>
      <c r="E4" s="1273"/>
      <c r="F4" s="1273"/>
      <c r="G4" s="1273"/>
      <c r="H4" s="1273"/>
      <c r="I4" s="951"/>
    </row>
    <row r="5" spans="1:10" s="953" customFormat="1" ht="17.25" customHeight="1">
      <c r="B5" s="954"/>
      <c r="C5" s="955" t="s">
        <v>483</v>
      </c>
      <c r="D5" s="954" t="str">
        <f>IF($J$2&lt;10,"0"&amp;$J$2&amp;"  năm 2016",$J$2&amp;"  năm 2016")</f>
        <v>01  năm 2016</v>
      </c>
      <c r="E5" s="954"/>
      <c r="F5" s="954"/>
      <c r="G5" s="954"/>
      <c r="H5" s="954"/>
      <c r="I5" s="956"/>
    </row>
    <row r="6" spans="1:10" s="953" customFormat="1" ht="17.25" customHeight="1">
      <c r="B6" s="957"/>
      <c r="C6" s="1274" t="s">
        <v>580</v>
      </c>
      <c r="D6" s="1274"/>
      <c r="E6" s="1275" t="s">
        <v>468</v>
      </c>
      <c r="F6" s="1275"/>
      <c r="H6" s="957"/>
      <c r="I6" s="956"/>
    </row>
    <row r="7" spans="1:10" s="960" customFormat="1" ht="9.75" customHeight="1">
      <c r="A7" s="958"/>
      <c r="B7" s="958"/>
      <c r="C7" s="958"/>
      <c r="D7" s="958"/>
      <c r="E7" s="958"/>
      <c r="F7" s="958"/>
      <c r="G7" s="958"/>
      <c r="H7" s="958"/>
      <c r="I7" s="959"/>
    </row>
    <row r="8" spans="1:10" s="962" customFormat="1" ht="17.25" customHeight="1">
      <c r="A8" s="1276" t="s">
        <v>581</v>
      </c>
      <c r="B8" s="1277" t="s">
        <v>582</v>
      </c>
      <c r="C8" s="1277" t="s">
        <v>583</v>
      </c>
      <c r="D8" s="1277"/>
      <c r="E8" s="1277"/>
      <c r="F8" s="1277"/>
      <c r="G8" s="1277"/>
      <c r="H8" s="1277"/>
      <c r="I8" s="961"/>
    </row>
    <row r="9" spans="1:10" s="965" customFormat="1" ht="28.5">
      <c r="A9" s="1276"/>
      <c r="B9" s="1277"/>
      <c r="C9" s="963" t="s">
        <v>584</v>
      </c>
      <c r="D9" s="963" t="s">
        <v>585</v>
      </c>
      <c r="E9" s="963" t="s">
        <v>586</v>
      </c>
      <c r="F9" s="963" t="s">
        <v>587</v>
      </c>
      <c r="G9" s="963" t="s">
        <v>588</v>
      </c>
      <c r="H9" s="963" t="s">
        <v>589</v>
      </c>
      <c r="I9" s="964"/>
    </row>
    <row r="10" spans="1:10" s="968" customFormat="1" ht="15">
      <c r="A10" s="966" t="s">
        <v>2</v>
      </c>
      <c r="B10" s="967">
        <v>1</v>
      </c>
      <c r="C10" s="967">
        <v>2</v>
      </c>
      <c r="D10" s="967">
        <v>3</v>
      </c>
      <c r="E10" s="967">
        <v>4</v>
      </c>
      <c r="F10" s="967">
        <v>5</v>
      </c>
      <c r="G10" s="967">
        <v>6</v>
      </c>
      <c r="H10" s="967">
        <v>7</v>
      </c>
      <c r="I10" s="946"/>
    </row>
    <row r="11" spans="1:10" s="953" customFormat="1" ht="15">
      <c r="A11" s="969" t="s">
        <v>590</v>
      </c>
      <c r="B11" s="970">
        <f>ROUND(SUM(C11:H11),0)</f>
        <v>0</v>
      </c>
      <c r="C11" s="970">
        <v>0</v>
      </c>
      <c r="D11" s="970">
        <v>0</v>
      </c>
      <c r="E11" s="970">
        <v>0</v>
      </c>
      <c r="F11" s="970">
        <v>0</v>
      </c>
      <c r="G11" s="970">
        <v>0</v>
      </c>
      <c r="H11" s="970">
        <v>0</v>
      </c>
      <c r="I11" s="956"/>
    </row>
    <row r="12" spans="1:10" s="953" customFormat="1" ht="15">
      <c r="A12" s="969" t="s">
        <v>591</v>
      </c>
      <c r="B12" s="970">
        <f ca="1">ROUND(SUM(C12:H12),0)</f>
        <v>0</v>
      </c>
      <c r="C12" s="970">
        <f ca="1">IF(ISNA(VLOOKUP($E6,INDIRECT("DSSP"&amp;$J$2),6,0)),0,VLOOKUP($E6,INDIRECT("DSSP"&amp;$J$2),6,0))</f>
        <v>0</v>
      </c>
      <c r="D12" s="970">
        <f ca="1">IF(ISNA(VLOOKUP($E6,INDIRECT("DSSP"&amp;$J$2),7,0)),0,VLOOKUP($E6,INDIRECT("DSSP"&amp;$J$2),7,0))</f>
        <v>0</v>
      </c>
      <c r="E12" s="970">
        <f ca="1">IF(ISNA(VLOOKUP($E6,INDIRECT("DSSP"&amp;$J$2),8,0)),0,VLOOKUP($E6,INDIRECT("DSSP"&amp;$J$2),8,0))</f>
        <v>0</v>
      </c>
      <c r="F12" s="970">
        <f ca="1">IF(ISNA(VLOOKUP($E6,INDIRECT("DSSP"&amp;$J$2),9,0)),0,VLOOKUP($E6,INDIRECT("DSSP"&amp;$J$2),9,0))</f>
        <v>0</v>
      </c>
      <c r="G12" s="970">
        <f ca="1">IF(ISNA(VLOOKUP($E6,INDIRECT("DSSP"&amp;$J$2),10,0)),0,VLOOKUP($E6,INDIRECT("DSSP"&amp;$J$2),10,0))</f>
        <v>0</v>
      </c>
      <c r="H12" s="970">
        <f ca="1">IF(ISNA(VLOOKUP($E6,INDIRECT("DSSP"&amp;$J$2),11,0)),0,VLOOKUP($E6,INDIRECT("DSSP"&amp;$J$2),11,0))</f>
        <v>0</v>
      </c>
      <c r="I12" s="956"/>
    </row>
    <row r="13" spans="1:10" s="953" customFormat="1" ht="15">
      <c r="A13" s="969" t="s">
        <v>592</v>
      </c>
      <c r="B13" s="970">
        <f ca="1">ROUND(IF(ISNA(VLOOKUP($E6,INDIRECT("DSSP"&amp;$J$2),13,0)),0,VLOOKUP($E6,INDIRECT("DSSP"&amp;$J$2),13,0)),0)</f>
        <v>0</v>
      </c>
      <c r="C13" s="970">
        <f t="shared" ref="C13:H13" ca="1" si="0">C12</f>
        <v>0</v>
      </c>
      <c r="D13" s="970">
        <f t="shared" ca="1" si="0"/>
        <v>0</v>
      </c>
      <c r="E13" s="970">
        <f t="shared" ca="1" si="0"/>
        <v>0</v>
      </c>
      <c r="F13" s="970">
        <f t="shared" ca="1" si="0"/>
        <v>0</v>
      </c>
      <c r="G13" s="970">
        <f t="shared" ca="1" si="0"/>
        <v>0</v>
      </c>
      <c r="H13" s="970">
        <f t="shared" ca="1" si="0"/>
        <v>0</v>
      </c>
      <c r="I13" s="956"/>
    </row>
    <row r="14" spans="1:10" s="953" customFormat="1" ht="15">
      <c r="A14" s="969" t="s">
        <v>593</v>
      </c>
      <c r="B14" s="970">
        <f ca="1">B12-B13</f>
        <v>0</v>
      </c>
      <c r="C14" s="970">
        <f t="shared" ref="C14:H14" ca="1" si="1">C12-C13</f>
        <v>0</v>
      </c>
      <c r="D14" s="970">
        <f t="shared" ca="1" si="1"/>
        <v>0</v>
      </c>
      <c r="E14" s="970">
        <f t="shared" ca="1" si="1"/>
        <v>0</v>
      </c>
      <c r="F14" s="970">
        <f t="shared" ca="1" si="1"/>
        <v>0</v>
      </c>
      <c r="G14" s="970">
        <f t="shared" ca="1" si="1"/>
        <v>0</v>
      </c>
      <c r="H14" s="970">
        <f t="shared" ca="1" si="1"/>
        <v>0</v>
      </c>
      <c r="I14" s="956"/>
    </row>
    <row r="15" spans="1:10" s="953" customFormat="1" ht="15">
      <c r="B15" s="956"/>
      <c r="C15" s="956"/>
      <c r="D15" s="956"/>
      <c r="E15" s="956"/>
      <c r="F15" s="956"/>
      <c r="G15" s="956"/>
      <c r="H15" s="956"/>
      <c r="I15" s="956"/>
    </row>
    <row r="16" spans="1:10" s="953" customFormat="1" ht="15">
      <c r="B16" s="956"/>
      <c r="C16" s="956"/>
      <c r="D16" s="956"/>
      <c r="E16" s="1270" t="str">
        <f xml:space="preserve"> IF(OR($J$2=1,$J$2=4,$J$2=6,$J$2=9,$J$2=11),"Ngày  30  tháng  "&amp;$J$2&amp;"  năm 2016",IF(OR($J$2=3,$J$2=5,$J$2=7,$J$2=8,$J$2=10,$J$2=12),"Ngày  31  tháng  "&amp;$J$2&amp;"  năm 2016","Ngày  29  tháng  "&amp;$J$2&amp;"  năm 2016"))</f>
        <v>Ngày  30  tháng  1  năm 2016</v>
      </c>
      <c r="F16" s="1270"/>
      <c r="G16" s="1270"/>
      <c r="H16" s="1270"/>
      <c r="I16" s="956"/>
    </row>
    <row r="17" spans="1:9" s="953" customFormat="1" ht="15">
      <c r="A17" s="971" t="s">
        <v>594</v>
      </c>
      <c r="B17" s="956"/>
      <c r="C17" s="956"/>
      <c r="D17" s="956"/>
      <c r="E17" s="1270" t="s">
        <v>12</v>
      </c>
      <c r="F17" s="1270"/>
      <c r="G17" s="1270"/>
      <c r="H17" s="1270"/>
      <c r="I17" s="956"/>
    </row>
    <row r="19" spans="1:9" ht="15">
      <c r="E19" s="973"/>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97" customWidth="1"/>
    <col min="2" max="2" width="11" style="497" customWidth="1"/>
    <col min="3" max="3" width="22.140625" style="497" customWidth="1"/>
    <col min="4" max="4" width="6.7109375" style="497" customWidth="1"/>
    <col min="5" max="5" width="6.42578125" style="497" customWidth="1"/>
    <col min="6" max="6" width="8.85546875" style="497" customWidth="1"/>
    <col min="7" max="7" width="20.7109375" style="497" customWidth="1"/>
    <col min="8" max="11" width="9.140625" style="497"/>
    <col min="12" max="12" width="10.85546875" style="497" customWidth="1"/>
    <col min="13" max="16384" width="9.140625" style="497"/>
  </cols>
  <sheetData>
    <row r="1" spans="1:12">
      <c r="A1" s="135" t="s">
        <v>139</v>
      </c>
      <c r="D1" s="1280"/>
      <c r="E1" s="1280"/>
      <c r="F1" s="1280"/>
      <c r="G1" s="1280"/>
      <c r="I1" s="1280" t="s">
        <v>270</v>
      </c>
      <c r="J1" s="1280"/>
      <c r="K1" s="1280"/>
      <c r="L1" s="1280"/>
    </row>
    <row r="2" spans="1:12">
      <c r="A2" s="452" t="s">
        <v>140</v>
      </c>
      <c r="D2" s="1280"/>
      <c r="E2" s="1280"/>
      <c r="F2" s="1280"/>
      <c r="G2" s="1280"/>
      <c r="I2" s="1280" t="s">
        <v>251</v>
      </c>
      <c r="J2" s="1280"/>
      <c r="K2" s="1280"/>
      <c r="L2" s="1280"/>
    </row>
    <row r="3" spans="1:12">
      <c r="D3" s="1280"/>
      <c r="E3" s="1280"/>
      <c r="F3" s="1280"/>
      <c r="G3" s="1280"/>
      <c r="I3" s="1280" t="s">
        <v>271</v>
      </c>
      <c r="J3" s="1280"/>
      <c r="K3" s="1280"/>
      <c r="L3" s="1280"/>
    </row>
    <row r="8" spans="1:12" ht="40.5" customHeight="1">
      <c r="H8" s="498"/>
      <c r="I8" s="498"/>
      <c r="J8" s="498"/>
    </row>
    <row r="10" spans="1:12" ht="29.25" customHeight="1">
      <c r="A10" s="1278" t="s">
        <v>112</v>
      </c>
      <c r="B10" s="1278"/>
      <c r="C10" s="1278"/>
      <c r="D10" s="1278"/>
      <c r="E10" s="1278"/>
      <c r="F10" s="1278"/>
      <c r="G10" s="1278"/>
    </row>
    <row r="11" spans="1:12" ht="6" customHeight="1">
      <c r="H11" s="499"/>
      <c r="I11" s="499"/>
    </row>
    <row r="12" spans="1:12" ht="20.25">
      <c r="A12" s="1279" t="s">
        <v>272</v>
      </c>
      <c r="B12" s="1279"/>
      <c r="C12" s="1279"/>
      <c r="D12" s="1279"/>
      <c r="E12" s="1279"/>
      <c r="F12" s="1279"/>
      <c r="G12" s="1279"/>
    </row>
    <row r="13" spans="1:12" ht="64.5" customHeight="1"/>
    <row r="16" spans="1:12" ht="22.5" customHeight="1">
      <c r="B16" s="500" t="s">
        <v>273</v>
      </c>
    </row>
    <row r="17" spans="2:2" ht="22.5" customHeight="1">
      <c r="B17" s="500" t="s">
        <v>274</v>
      </c>
    </row>
    <row r="18" spans="2:2" ht="22.5" customHeight="1">
      <c r="B18" s="500" t="s">
        <v>275</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1331</vt:lpstr>
      <vt:lpstr>131</vt:lpstr>
      <vt:lpstr>131-CT</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2016-03-14T05:17:46Z</cp:lastPrinted>
  <dcterms:created xsi:type="dcterms:W3CDTF">1996-10-14T23:33:28Z</dcterms:created>
  <dcterms:modified xsi:type="dcterms:W3CDTF">2016-03-14T06:16:01Z</dcterms:modified>
</cp:coreProperties>
</file>